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18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eryHidden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Cursos!$A$1:$D$1</definedName>
    <definedName name="_xlnm._FilterDatabase" localSheetId="2" hidden="1">'Quantidade de respostas'!$A$1:$I$1</definedName>
  </definedNames>
  <calcPr calcId="191028"/>
</workbook>
</file>

<file path=xl/sharedStrings.xml><?xml version="1.0" encoding="utf-8"?>
<sst xmlns="http://schemas.openxmlformats.org/spreadsheetml/2006/main" count="437" uniqueCount="437">
  <si>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</si>
  <si>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</si>
  <si>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</si>
  <si>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</si>
  <si>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</si>
  <si>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</si>
  <si>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</si>
  <si>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</si>
  <si>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</si>
  <si>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</si>
  <si>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</si>
  <si>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</si>
  <si>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</si>
  <si>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</si>
  <si>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</si>
  <si>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</si>
  <si>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</si>
  <si>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</si>
  <si>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</si>
  <si>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</si>
  <si>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</si>
  <si>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</si>
  <si>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</si>
  <si>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</si>
  <si>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</si>
  <si>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</si>
  <si>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</si>
  <si>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</si>
  <si>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</si>
  <si>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</si>
  <si>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</si>
  <si>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</si>
  <si>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</si>
  <si>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</si>
  <si>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</si>
  <si>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</si>
  <si>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</si>
  <si>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</si>
  <si>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</si>
  <si>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</si>
  <si>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</si>
  <si>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</si>
  <si>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</si>
  <si>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</si>
  <si>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</si>
  <si>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</si>
  <si>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</si>
  <si>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</si>
  <si>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</si>
  <si>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</si>
  <si>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</si>
  <si>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</si>
  <si>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</si>
  <si>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</si>
  <si>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</si>
  <si>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</si>
  <si>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</si>
  <si>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</si>
  <si>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</si>
  <si>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</si>
  <si>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</si>
  <si>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</si>
  <si>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</si>
  <si>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</si>
  <si>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</si>
  <si>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</si>
  <si>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</si>
  <si>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</si>
  <si>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</si>
  <si>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</si>
  <si>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</si>
  <si>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</si>
  <si>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</si>
  <si>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</si>
  <si>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</si>
  <si>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</si>
  <si>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</si>
  <si>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</si>
  <si>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</si>
  <si>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</si>
  <si>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</si>
  <si>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</si>
  <si>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</si>
  <si>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</si>
  <si>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</si>
  <si>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</si>
  <si>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</si>
  <si>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</si>
  <si>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</si>
  <si>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</si>
  <si>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</si>
  <si>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</si>
  <si>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</si>
  <si>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</si>
  <si>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</si>
  <si>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</si>
  <si>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</si>
  <si>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</si>
  <si>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</si>
  <si>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</si>
  <si>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</si>
  <si>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</si>
  <si>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</si>
  <si>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</si>
  <si>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</si>
  <si>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</si>
  <si>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</si>
  <si>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</si>
  <si>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</si>
  <si>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</si>
  <si>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</si>
  <si>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</si>
  <si>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</si>
  <si>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</si>
  <si>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</si>
  <si>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</si>
  <si>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</si>
  <si>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</si>
  <si>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</si>
  <si>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</si>
  <si>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</si>
  <si>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</si>
  <si>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</si>
  <si>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</si>
  <si>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</si>
  <si>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</si>
  <si>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</si>
  <si>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</si>
  <si>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</si>
  <si>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</si>
  <si>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</si>
  <si>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</si>
  <si>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</si>
  <si>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</si>
  <si>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</si>
  <si>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</si>
  <si>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</si>
  <si>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</si>
  <si>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</si>
  <si>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</si>
  <si>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</si>
  <si>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</si>
  <si>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</si>
  <si>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</si>
  <si>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</si>
  <si>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</si>
  <si>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</si>
  <si>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</si>
  <si>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</si>
  <si>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</si>
  <si>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</si>
  <si>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</si>
  <si>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</si>
  <si>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</si>
  <si>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</si>
  <si>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</si>
  <si>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</si>
  <si>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</si>
  <si>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</si>
  <si>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</si>
  <si>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</si>
  <si>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</si>
  <si>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</si>
  <si>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</si>
  <si>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</si>
  <si>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</si>
  <si>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</si>
  <si>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</si>
  <si>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</si>
  <si>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</si>
  <si>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</si>
  <si>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</si>
  <si>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</si>
  <si>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</si>
  <si>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</si>
  <si>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</si>
  <si>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</si>
  <si>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</si>
  <si>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</si>
  <si>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</si>
  <si>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</si>
  <si>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</si>
  <si>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</si>
  <si>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</si>
  <si>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</si>
  <si>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</si>
  <si>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</si>
  <si>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</si>
  <si>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</si>
  <si>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</si>
  <si>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</si>
  <si>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</si>
  <si>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</si>
  <si>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</si>
  <si>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</si>
  <si>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</si>
  <si>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</si>
  <si>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</si>
  <si>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</si>
  <si>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</si>
  <si>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</si>
  <si>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</si>
  <si>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</si>
  <si>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</si>
  <si>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</si>
  <si>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</si>
  <si>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</si>
  <si>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</si>
  <si>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</si>
  <si>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</si>
  <si>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</si>
  <si>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</si>
  <si>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</si>
  <si>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</si>
  <si>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</si>
  <si>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</si>
  <si>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</si>
  <si>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</si>
  <si>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</si>
  <si>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</si>
  <si>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</si>
  <si>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</si>
  <si>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</si>
  <si>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</si>
  <si>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</si>
  <si>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</si>
  <si>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</si>
  <si>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</si>
  <si>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</si>
  <si>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</si>
  <si>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</si>
  <si>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</si>
  <si>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</si>
  <si>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</si>
  <si>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</si>
  <si>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</si>
  <si>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</si>
  <si>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</si>
  <si>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</si>
  <si>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</si>
  <si>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</si>
  <si>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</si>
  <si>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</si>
  <si>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</si>
  <si>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</si>
  <si>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</si>
  <si>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</si>
  <si>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</si>
  <si>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</si>
  <si>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</si>
  <si>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</si>
  <si>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</si>
  <si>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</si>
  <si>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</si>
  <si>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</si>
  <si>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</si>
  <si>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</si>
  <si>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</si>
  <si>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</si>
  <si>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</si>
  <si>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</si>
  <si>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</si>
  <si>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</si>
  <si>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</si>
  <si>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</si>
  <si>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</si>
  <si>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</si>
  <si>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</si>
  <si>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</si>
  <si>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</si>
  <si>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</si>
  <si>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</si>
  <si>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</si>
  <si>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</si>
  <si>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</si>
  <si>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</si>
  <si>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</si>
  <si>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</si>
  <si>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</si>
  <si>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</si>
  <si>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</si>
  <si>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</si>
  <si>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</si>
  <si>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</si>
  <si>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</si>
  <si>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</si>
  <si>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</si>
  <si>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</si>
  <si>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</si>
  <si>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</si>
  <si>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</si>
  <si>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</si>
  <si>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</si>
  <si>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</si>
  <si>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</si>
  <si>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</si>
  <si>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</si>
  <si>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</si>
  <si>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</si>
  <si>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</si>
  <si>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</si>
  <si>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</si>
  <si>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</si>
  <si>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</si>
  <si>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</si>
  <si>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</si>
  <si>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</si>
  <si>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</si>
  <si>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</si>
  <si>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</si>
  <si>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</si>
  <si>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</si>
  <si>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</si>
  <si>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</si>
  <si>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</si>
  <si>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</si>
  <si>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</si>
  <si>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</si>
  <si>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</si>
  <si>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</si>
  <si>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</si>
  <si>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</si>
  <si>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</si>
  <si>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</si>
  <si>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</si>
  <si>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</si>
  <si>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</si>
  <si>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</si>
  <si>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</si>
  <si>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</si>
  <si>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</si>
  <si>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</si>
  <si>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</si>
  <si>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</si>
  <si>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</si>
  <si>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</si>
  <si>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</si>
  <si>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</si>
  <si>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</si>
  <si>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</si>
  <si>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</si>
  <si>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</si>
  <si>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</si>
  <si>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</si>
  <si>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</si>
  <si>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</si>
  <si>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</si>
  <si>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</si>
  <si>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</si>
  <si>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</si>
  <si>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</si>
  <si>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</si>
  <si>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</si>
  <si>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</si>
  <si>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</si>
  <si>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</si>
  <si>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</si>
  <si>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</si>
  <si>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</si>
  <si>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</si>
  <si>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</si>
  <si>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</si>
  <si>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</si>
  <si>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</si>
  <si>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</si>
  <si>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</si>
  <si>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</si>
  <si>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</si>
  <si>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</si>
  <si>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</si>
  <si>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</si>
  <si>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</si>
  <si>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</si>
  <si>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</si>
  <si>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</si>
  <si>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</si>
  <si>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</si>
  <si>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</si>
  <si>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</si>
  <si>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</si>
  <si>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</si>
  <si>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</si>
  <si>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</si>
  <si>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</si>
  <si>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</si>
  <si>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</si>
  <si>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</si>
  <si>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</si>
  <si>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</si>
  <si>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</si>
  <si>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</si>
  <si>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</si>
  <si>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</si>
  <si>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</si>
  <si>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</si>
  <si>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</si>
  <si>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</si>
  <si>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</si>
  <si>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</si>
  <si>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</si>
  <si>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</si>
  <si>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</si>
  <si>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</si>
  <si>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</si>
  <si>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</si>
  <si>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</si>
  <si>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</si>
  <si>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</si>
  <si>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</si>
  <si>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</si>
  <si>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</si>
  <si>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</si>
  <si>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</si>
  <si>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</si>
  <si>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</si>
  <si>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</si>
  <si>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</si>
  <si>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</si>
  <si>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</si>
  <si>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</si>
  <si>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</si>
  <si>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</si>
  <si>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</si>
  <si>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</si>
  <si>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</si>
  <si>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</si>
  <si>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</si>
  <si>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</si>
  <si>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</si>
  <si>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</si>
  <si>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</si>
  <si>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</si>
  <si>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</si>
  <si>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</si>
  <si>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>106a</t>
  </si>
  <si>
    <t xml:space="preserve">106A</t>
  </si>
  <si>
    <t xml:space="preserve">106B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</si>
</sst>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4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8" tint="-0.249977111117893"/>
      <name val="Calibri"/>
      <family val="2"/>
    </font>
    <font>
      <sz val="11"/>
      <color theme="8" tint="-0.249977111117893"/>
      <name val="Calibri"/>
      <family val="2"/>
      <scheme val="minor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bottom style="thin">
        <color indexed="64"/>
      </bottom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9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1" fontId="5" fillId="0" borderId="0" xfId="0" applyFont="1" applyNumberFormat="1"/>
    <xf numFmtId="0" fontId="6" fillId="3" borderId="0" xfId="0" applyFont="1" applyFill="1" applyAlignment="1">
      <alignment horizontal="center" vertical="center" wrapText="1"/>
    </xf>
    <xf numFmtId="1" fontId="6" fillId="3" borderId="0" xfId="0" applyFont="1" applyNumberFormat="1" applyFill="1" applyAlignment="1">
      <alignment horizontal="center" vertical="center" wrapText="1"/>
    </xf>
    <xf numFmtId="0" fontId="6" fillId="4" borderId="0" xfId="0" applyFont="1" applyFill="1"/>
    <xf numFmtId="0" fontId="7" fillId="4" borderId="1" xfId="0" applyFont="1" applyFill="1" applyBorder="1"/>
    <xf numFmtId="0" fontId="5" fillId="0" borderId="0" xfId="0" applyFont="1" applyAlignment="1">
      <alignment horizontal="right"/>
    </xf>
    <xf numFmtId="0" fontId="8" fillId="0" borderId="0" xfId="0" applyFont="1"/>
    <xf numFmtId="0" fontId="2" fillId="5" borderId="2" xfId="0" applyFont="1" applyFill="1" applyBorder="1" applyAlignment="1">
      <alignment horizontal="center"/>
    </xf>
    <xf numFmtId="0" fontId="9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9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10" fillId="5" borderId="2" xfId="0" applyFont="1" applyFill="1" applyBorder="1"/>
    <xf numFmtId="0" fontId="11" fillId="5" borderId="2" xfId="0" applyFont="1" applyFill="1" applyBorder="1"/>
    <xf numFmtId="0" fontId="10" fillId="0" borderId="3" xfId="0" applyFont="1" applyBorder="1"/>
    <xf numFmtId="0" fontId="11" fillId="0" borderId="3" xfId="0" applyFont="1" applyBorder="1"/>
    <xf numFmtId="0" fontId="10" fillId="5" borderId="3" xfId="0" applyFont="1" applyFill="1" applyBorder="1"/>
    <xf numFmtId="0" fontId="11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2" fillId="0" borderId="0" xfId="0" applyFont="1" applyAlignment="1">
      <alignment vertical="center"/>
    </xf>
    <xf numFmtId="0" fontId="12" fillId="0" borderId="3" xfId="0" applyFont="1" applyBorder="1"/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12" fillId="0" borderId="3" xfId="0" applyFont="1" applyBorder="1" applyAlignment="1">
      <alignment horizontal="left" vertical="center"/>
    </xf>
    <xf numFmtId="0" fontId="13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16" fillId="0" borderId="5" xfId="0" applyFont="1" applyBorder="1"/>
    <xf numFmtId="0" fontId="14" fillId="6" borderId="0" xfId="0" applyFont="1" applyFill="1"/>
    <xf numFmtId="0" fontId="13" fillId="7" borderId="0" xfId="0" applyFont="1" applyFill="1"/>
    <xf numFmtId="0" fontId="14" fillId="8" borderId="0" xfId="0" applyFont="1" applyFill="1"/>
    <xf numFmtId="0" fontId="14" fillId="9" borderId="0" xfId="0" applyFont="1" applyFill="1"/>
    <xf numFmtId="0" fontId="14" fillId="0" borderId="0" xfId="0" applyFont="1"/>
    <xf numFmtId="0" fontId="14" fillId="10" borderId="0" xfId="0" applyFont="1" applyFill="1"/>
    <xf numFmtId="0" fontId="6" fillId="3" borderId="0" xfId="0" applyFont="1" applyFill="1" applyAlignment="1">
      <alignment horizontal="center"/>
    </xf>
    <xf numFmtId="0" fontId="17" fillId="0" borderId="0" xfId="0" applyFont="1"/>
    <xf numFmtId="0" fontId="5" fillId="0" borderId="0" xfId="0" applyFont="1" applyAlignment="1">
      <alignment horizontal="left"/>
    </xf>
    <xf numFmtId="0" fontId="7" fillId="0" borderId="0" xfId="0" applyFont="1"/>
    <xf numFmtId="0" fontId="5" fillId="11" borderId="6" xfId="0" applyFont="1" applyFill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12" borderId="6" xfId="0" applyFont="1" applyFill="1" applyBorder="1"/>
    <xf numFmtId="2" fontId="14" fillId="11" borderId="6" xfId="0" applyFont="1" applyNumberFormat="1" applyFill="1" applyBorder="1" applyAlignment="1">
      <alignment horizontal="center"/>
    </xf>
    <xf numFmtId="2" fontId="5" fillId="11" borderId="6" xfId="0" applyFont="1" applyNumberFormat="1" applyFill="1" applyBorder="1"/>
    <xf numFmtId="0" fontId="6" fillId="0" borderId="0" xfId="0" applyFont="1"/>
    <xf numFmtId="2" fontId="5" fillId="0" borderId="0" xfId="0" applyFont="1" applyNumberFormat="1" applyAlignment="1">
      <alignment horizontal="right"/>
    </xf>
    <xf numFmtId="2" fontId="18" fillId="0" borderId="0" xfId="0" applyFont="1" applyNumberFormat="1"/>
    <xf numFmtId="0" fontId="5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5" fillId="12" borderId="0" xfId="0" applyFont="1" applyFill="1"/>
    <xf numFmtId="0" fontId="14" fillId="11" borderId="6" xfId="0" applyFont="1" applyFill="1" applyBorder="1" applyAlignment="1">
      <alignment horizontal="center"/>
    </xf>
    <xf numFmtId="0" fontId="15" fillId="13" borderId="5" xfId="0" applyFont="1" applyFill="1" applyBorder="1" applyAlignment="1">
      <alignment horizontal="center" vertical="center" wrapText="1"/>
    </xf>
    <xf numFmtId="0" fontId="5" fillId="12" borderId="8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/>
    </xf>
    <xf numFmtId="0" fontId="5" fillId="12" borderId="6" xfId="0" applyFont="1" applyFill="1" applyBorder="1" applyAlignment="1">
      <alignment horizontal="center"/>
    </xf>
    <xf numFmtId="0" fontId="5" fillId="14" borderId="6" xfId="0" applyFont="1" applyFill="1" applyBorder="1" applyAlignment="1">
      <alignment horizontal="center"/>
    </xf>
    <xf numFmtId="0" fontId="6" fillId="15" borderId="6" xfId="0" applyFont="1" applyFill="1" applyBorder="1" applyAlignment="1">
      <alignment horizontal="center"/>
    </xf>
    <xf numFmtId="0" fontId="5" fillId="12" borderId="0" xfId="0" applyFont="1" applyFill="1" applyAlignment="1">
      <alignment horizontal="center"/>
    </xf>
    <xf numFmtId="0" fontId="5" fillId="14" borderId="0" xfId="0" applyFont="1" applyFill="1" applyAlignment="1">
      <alignment horizontal="center"/>
    </xf>
    <xf numFmtId="0" fontId="6" fillId="15" borderId="0" xfId="0" applyFont="1" applyFill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15" fillId="13" borderId="5" xfId="0" applyFont="1" applyFill="1" applyBorder="1" applyAlignment="1">
      <alignment horizontal="center" vertical="center"/>
    </xf>
    <xf numFmtId="0" fontId="5" fillId="11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19" fillId="0" borderId="0" xfId="0" applyFont="1" applyAlignment="1">
      <alignment horizontal="left"/>
    </xf>
    <xf numFmtId="0" fontId="19" fillId="0" borderId="5" xfId="0" applyFont="1" applyBorder="1" applyAlignment="1">
      <alignment horizontal="left" wrapText="1"/>
    </xf>
    <xf numFmtId="0" fontId="19" fillId="0" borderId="5" xfId="0" applyFont="1" applyBorder="1" applyAlignment="1">
      <alignment horizontal="left"/>
    </xf>
    <xf numFmtId="0" fontId="20" fillId="16" borderId="12" xfId="0" applyFont="1" applyFill="1" applyBorder="1" applyAlignment="1">
      <alignment horizontal="center" vertical="center"/>
    </xf>
    <xf numFmtId="0" fontId="20" fillId="16" borderId="13" xfId="0" applyFont="1" applyFill="1" applyBorder="1" applyAlignment="1">
      <alignment horizontal="center" vertical="center"/>
    </xf>
    <xf numFmtId="0" fontId="20" fillId="16" borderId="14" xfId="0" applyFont="1" applyFill="1" applyBorder="1" applyAlignment="1">
      <alignment horizontal="center" vertical="center"/>
    </xf>
    <xf numFmtId="0" fontId="20" fillId="16" borderId="15" xfId="0" applyFont="1" applyFill="1" applyBorder="1" applyAlignment="1">
      <alignment horizontal="center" vertical="center"/>
    </xf>
    <xf numFmtId="0" fontId="20" fillId="16" borderId="16" xfId="0" applyFont="1" applyFill="1" applyBorder="1" applyAlignment="1">
      <alignment horizontal="center" vertical="center"/>
    </xf>
    <xf numFmtId="0" fontId="20" fillId="16" borderId="17" xfId="0" applyFont="1" applyFill="1" applyBorder="1" applyAlignment="1">
      <alignment horizontal="center" vertical="center"/>
    </xf>
    <xf numFmtId="0" fontId="21" fillId="14" borderId="18" xfId="0" applyFont="1" applyFill="1" applyBorder="1" applyAlignment="1">
      <alignment horizontal="left" vertical="center" wrapText="1"/>
    </xf>
    <xf numFmtId="0" fontId="21" fillId="14" borderId="19" xfId="0" applyFont="1" applyFill="1" applyBorder="1" applyAlignment="1">
      <alignment horizontal="left" vertical="center" wrapText="1"/>
    </xf>
    <xf numFmtId="0" fontId="21" fillId="14" borderId="20" xfId="0" applyFont="1" applyFill="1" applyBorder="1" applyAlignment="1">
      <alignment horizontal="left" vertical="center" wrapText="1"/>
    </xf>
    <xf numFmtId="0" fontId="22" fillId="14" borderId="16" xfId="0" applyFont="1" applyFill="1" applyBorder="1" applyAlignment="1">
      <alignment horizontal="left" vertical="center"/>
    </xf>
    <xf numFmtId="0" fontId="23" fillId="14" borderId="16" xfId="0" applyFont="1" applyFill="1" applyBorder="1" applyAlignment="1">
      <alignment horizontal="left" vertical="center"/>
    </xf>
    <xf numFmtId="0" fontId="23" fillId="14" borderId="17" xfId="0" applyFont="1" applyFill="1" applyBorder="1" applyAlignment="1">
      <alignment horizontal="left" vertical="center"/>
    </xf>
    <xf numFmtId="0" fontId="24" fillId="14" borderId="21" xfId="0" applyFont="1" applyFill="1" applyBorder="1" applyAlignment="1">
      <alignment horizontal="center" vertical="center"/>
    </xf>
    <xf numFmtId="0" fontId="24" fillId="14" borderId="22" xfId="0" applyFont="1" applyFill="1" applyBorder="1" applyAlignment="1">
      <alignment horizontal="center" vertical="center"/>
    </xf>
    <xf numFmtId="0" fontId="25" fillId="17" borderId="12" xfId="0" applyFont="1" applyFill="1" applyBorder="1" applyAlignment="1">
      <alignment horizontal="center" vertical="center"/>
    </xf>
    <xf numFmtId="0" fontId="25" fillId="17" borderId="13" xfId="0" applyFont="1" applyFill="1" applyBorder="1" applyAlignment="1">
      <alignment horizontal="center" vertical="center"/>
    </xf>
    <xf numFmtId="0" fontId="25" fillId="17" borderId="14" xfId="0" applyFont="1" applyFill="1" applyBorder="1" applyAlignment="1">
      <alignment horizontal="center" vertical="center"/>
    </xf>
    <xf numFmtId="0" fontId="25" fillId="17" borderId="15" xfId="0" applyFont="1" applyFill="1" applyBorder="1" applyAlignment="1">
      <alignment horizontal="center" vertical="center"/>
    </xf>
    <xf numFmtId="0" fontId="25" fillId="17" borderId="16" xfId="0" applyFont="1" applyFill="1" applyBorder="1" applyAlignment="1">
      <alignment horizontal="center" vertical="center"/>
    </xf>
    <xf numFmtId="0" fontId="25" fillId="17" borderId="17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17" borderId="1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" fillId="0" borderId="23" xfId="0" applyFont="1" applyBorder="1" applyAlignment="1">
      <alignment horizontal="left" vertical="center"/>
    </xf>
    <xf numFmtId="0" fontId="14" fillId="0" borderId="11" xfId="0" applyFont="1" applyBorder="1" applyAlignment="1">
      <alignment horizontal="left"/>
    </xf>
    <xf numFmtId="0" fontId="5" fillId="11" borderId="6" xfId="0" applyFont="1" applyFill="1" applyBorder="1" applyAlignment="1">
      <alignment horizontal="left"/>
    </xf>
    <xf numFmtId="0" fontId="5" fillId="11" borderId="11" xfId="0" applyFont="1" applyFill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5" fillId="12" borderId="24" xfId="0" applyFont="1" applyFill="1" applyBorder="1" applyAlignment="1">
      <alignment horizontal="center"/>
    </xf>
    <xf numFmtId="0" fontId="5" fillId="12" borderId="23" xfId="0" applyFont="1" applyFill="1" applyBorder="1" applyAlignment="1">
      <alignment horizontal="center"/>
    </xf>
    <xf numFmtId="0" fontId="5" fillId="12" borderId="25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2" fontId="14" fillId="0" borderId="0" xfId="0" applyFont="1" applyNumberFormat="1" applyAlignment="1">
      <alignment horizontal="center"/>
    </xf>
    <xf numFmtId="0" fontId="26" fillId="6" borderId="0" xfId="0" applyFont="1" applyFill="1"/>
    <xf numFmtId="0" fontId="27" fillId="7" borderId="0" xfId="0" applyFont="1" applyFill="1"/>
    <xf numFmtId="0" fontId="26" fillId="8" borderId="0" xfId="0" applyFont="1" applyFill="1"/>
    <xf numFmtId="0" fontId="26" fillId="9" borderId="0" xfId="0" applyFont="1" applyFill="1"/>
    <xf numFmtId="0" fontId="9" fillId="0" borderId="0" xfId="0" applyFont="1"/>
    <xf numFmtId="0" fontId="2" fillId="0" borderId="0" xfId="0" applyFont="1" applyAlignment="1">
      <alignment horizontal="center" vertical="center"/>
    </xf>
    <xf numFmtId="0" fontId="14" fillId="0" borderId="4" xfId="0" applyFont="1" applyBorder="1"/>
    <xf numFmtId="0" fontId="26" fillId="6" borderId="4" xfId="0" applyFont="1" applyFill="1" applyBorder="1"/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30" fillId="0" borderId="0" xfId="0" applyFont="1"/>
    <xf numFmtId="0" fontId="5" fillId="11" borderId="26" xfId="0" applyFont="1" applyFill="1" applyBorder="1" applyAlignment="1">
      <alignment horizontal="center"/>
    </xf>
    <xf numFmtId="2" fontId="14" fillId="11" borderId="26" xfId="0" applyFont="1" applyNumberFormat="1" applyFill="1" applyBorder="1" applyAlignment="1">
      <alignment horizontal="center"/>
    </xf>
    <xf numFmtId="0" fontId="5" fillId="11" borderId="26" xfId="0" applyFont="1" applyFill="1" applyBorder="1"/>
    <xf numFmtId="0" fontId="14" fillId="11" borderId="4" xfId="0" applyFont="1" applyFill="1" applyBorder="1" applyAlignment="1">
      <alignment horizontal="center"/>
    </xf>
    <xf numFmtId="0" fontId="5" fillId="11" borderId="4" xfId="0" applyFont="1" applyFill="1" applyBorder="1" applyAlignment="1">
      <alignment horizontal="center"/>
    </xf>
    <xf numFmtId="2" fontId="14" fillId="11" borderId="4" xfId="0" applyFont="1" applyNumberFormat="1" applyFill="1" applyBorder="1" applyAlignment="1">
      <alignment horizontal="center"/>
    </xf>
    <xf numFmtId="0" fontId="14" fillId="11" borderId="26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" fontId="5" fillId="0" borderId="0" xfId="0" applyFont="1" applyNumberFormat="1"/>
    <xf numFmtId="2" fontId="5" fillId="11" borderId="26" xfId="0" applyFont="1" applyNumberFormat="1" applyFill="1" applyBorder="1"/>
    <xf numFmtId="2" fontId="9" fillId="0" borderId="0" xfId="0" applyFont="1" applyNumberFormat="1"/>
    <xf numFmtId="0" fontId="32" fillId="18" borderId="0" xfId="0" applyFont="1" applyFill="1" applyAlignment="1">
      <alignment horizontal="left" vertical="center"/>
    </xf>
    <xf numFmtId="0" fontId="32" fillId="18" borderId="0" xfId="0" applyFont="1" applyFill="1"/>
    <xf numFmtId="0" fontId="32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5" fillId="11" borderId="27" xfId="0" applyFont="1" applyNumberFormat="1" applyFill="1" applyBorder="1"/>
    <xf numFmtId="0" fontId="5" fillId="0" borderId="4" xfId="0" applyFont="1" applyBorder="1" applyAlignment="1">
      <alignment horizontal="right" wrapText="1"/>
    </xf>
    <xf numFmtId="0" fontId="5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5" fillId="0" borderId="4" xfId="0" applyFont="1" applyNumberFormat="1" applyBorder="1" applyAlignment="1">
      <alignment horizontal="right" wrapText="1"/>
    </xf>
    <xf numFmtId="2" fontId="5" fillId="0" borderId="0" xfId="0" applyFont="1" applyNumberFormat="1" applyAlignment="1">
      <alignment horizontal="right" wrapText="1"/>
    </xf>
    <xf numFmtId="2" fontId="5" fillId="0" borderId="27" xfId="0" applyFont="1" applyNumberFormat="1" applyBorder="1" applyAlignment="1">
      <alignment horizontal="right" wrapText="1"/>
    </xf>
    <xf numFmtId="2" fontId="14" fillId="11" borderId="27" xfId="0" applyFont="1" applyNumberForma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0" fontId="5" fillId="11" borderId="28" xfId="0" applyFont="1" applyFill="1" applyBorder="1"/>
    <xf numFmtId="2" fontId="5" fillId="11" borderId="28" xfId="0" applyFont="1" applyNumberFormat="1" applyFill="1" applyBorder="1"/>
    <xf numFmtId="0" fontId="5" fillId="17" borderId="1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8" fillId="17" borderId="29" xfId="0" applyFont="1" applyFill="1" applyBorder="1" applyAlignment="1">
      <alignment horizontal="left" vertical="center"/>
    </xf>
    <xf numFmtId="0" fontId="15" fillId="14" borderId="30" xfId="0" applyFont="1" applyFill="1" applyBorder="1" applyAlignment="1">
      <alignment horizontal="center" vertical="center"/>
    </xf>
    <xf numFmtId="0" fontId="33" fillId="14" borderId="3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5" fillId="3" borderId="0" xfId="0" applyFont="1" applyFill="1" applyAlignment="1">
      <alignment vertical="center" wrapText="1"/>
    </xf>
    <xf numFmtId="0" fontId="5" fillId="3" borderId="0" xfId="0" applyFont="1" applyFill="1" applyAlignment="1">
      <alignment vertical="center"/>
    </xf>
    <xf numFmtId="0" fontId="19" fillId="3" borderId="0" xfId="0" applyFont="1" applyFill="1" applyAlignment="1">
      <alignment wrapText="1"/>
    </xf>
    <xf numFmtId="0" fontId="32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15" fillId="0" borderId="0" xfId="0" applyFont="1" applyAlignment="1">
      <alignment vertical="center" wrapText="1"/>
    </xf>
    <xf numFmtId="0" fontId="19" fillId="0" borderId="0" xfId="0" applyFont="1" applyAlignment="1">
      <alignment wrapText="1"/>
    </xf>
    <xf numFmtId="0" fontId="19" fillId="0" borderId="0" xfId="0" applyFont="1"/>
    <xf numFmtId="0" fontId="1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32" fillId="0" borderId="0" xfId="0" applyFont="1"/>
    <xf numFmtId="0" fontId="31" fillId="0" borderId="0" xfId="0" applyFont="1"/>
    <xf numFmtId="0" fontId="33" fillId="14" borderId="32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left"/>
    </xf>
    <xf numFmtId="0" fontId="8" fillId="12" borderId="10" xfId="0" applyFont="1" applyFill="1" applyBorder="1" applyAlignment="1">
      <alignment horizontal="center"/>
    </xf>
    <xf numFmtId="0" fontId="8" fillId="12" borderId="8" xfId="0" applyFont="1" applyFill="1" applyBorder="1" applyAlignment="1">
      <alignment horizontal="center" vertical="center"/>
    </xf>
    <xf numFmtId="0" fontId="8" fillId="12" borderId="6" xfId="0" applyFont="1" applyFill="1" applyBorder="1" applyAlignment="1">
      <alignment horizontal="center" vertical="center"/>
    </xf>
    <xf numFmtId="0" fontId="8" fillId="12" borderId="9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1" fillId="14" borderId="33" xfId="0" applyFont="1" applyFill="1" applyBorder="1" applyAlignment="1">
      <alignment horizontal="left" vertical="center" wrapText="1"/>
    </xf>
    <xf numFmtId="0" fontId="21" fillId="14" borderId="35" xfId="0" applyFont="1" applyFill="1" applyBorder="1" applyAlignment="1">
      <alignment horizontal="left" vertical="center" wrapText="1"/>
    </xf>
    <xf numFmtId="0" fontId="21" fillId="14" borderId="36" xfId="0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8" fillId="17" borderId="19" xfId="0" applyFont="1" applyFill="1" applyBorder="1" applyAlignment="1">
      <alignment horizontal="left" vertical="center"/>
    </xf>
    <xf numFmtId="0" fontId="8" fillId="12" borderId="8" xfId="0" applyFont="1" applyFill="1" applyBorder="1" applyAlignment="1">
      <alignment horizontal="center"/>
    </xf>
    <xf numFmtId="0" fontId="8" fillId="12" borderId="6" xfId="0" applyFont="1" applyFill="1" applyBorder="1" applyAlignment="1">
      <alignment horizontal="center"/>
    </xf>
    <xf numFmtId="0" fontId="8" fillId="12" borderId="9" xfId="0" applyFont="1" applyFill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17" borderId="8" xfId="0" applyFont="1" applyFill="1" applyBorder="1" applyAlignment="1">
      <alignment horizontal="center" vertical="center"/>
    </xf>
    <xf numFmtId="0" fontId="5" fillId="17" borderId="6" xfId="0" applyFont="1" applyFill="1" applyBorder="1" applyAlignment="1">
      <alignment horizontal="center" vertical="center"/>
    </xf>
    <xf numFmtId="0" fontId="5" fillId="17" borderId="9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5" fillId="14" borderId="23" xfId="0" applyFont="1" applyFill="1" applyBorder="1" applyAlignment="1">
      <alignment horizontal="center"/>
    </xf>
    <xf numFmtId="0" fontId="6" fillId="15" borderId="23" xfId="0" applyFont="1" applyFill="1" applyBorder="1" applyAlignment="1">
      <alignment horizontal="center"/>
    </xf>
  </cellXfs>
  <cellStyles count="1">
    <cellStyle name="Normal" xfId="0" builtinId="0"/>
  </cellStyles>
  <dxfs count="70"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16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52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33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16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51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31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42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36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31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23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16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14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29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43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22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43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36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22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27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65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59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51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61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40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32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40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21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24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31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24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14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73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1"/>
                      <c:pt idx="0">
                        <c:v>Ações Urgência Atenção  Aprimoramento 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11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58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27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26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23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26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31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49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50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43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42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46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26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23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25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30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25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49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39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25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42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49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30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57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48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50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49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21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21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57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9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49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10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55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58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15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40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33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48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50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57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49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9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55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58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15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31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30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8"/>
    <tableColumn id="1" xr3:uid="{0AACA2BD-4B76-43C9-95D9-6F8E41BCF71A}" name="CURSO" dataDxfId="7"/>
    <tableColumn id="4" xr3:uid="{A7F441D9-9B54-4C57-A0CC-FD5970A8572F}" name="COD_SETOR_CURSO" dataDxfId="6"/>
    <tableColumn id="5" xr3:uid="{4A1FF0DC-9BF4-4DB7-B1F0-D1AD4598DDD2}" name="SETOR_CURSO"/>
    <tableColumn id="3" xr3:uid="{D9EC6F48-6480-432C-A905-A820C24DF675}" name="QTD_RESPOSTAS_CURSO" dataDxfId="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9">
  <autoFilter ref="A1:N21668" xr:uid="{795FB9FB-A33E-41EF-A553-397D5FFD3B12}"/>
  <sortState ref="A2:N21668">
    <sortCondition ref="G1:G21668"/>
  </sortState>
  <tableColumns count="14">
    <tableColumn id="1" xr3:uid="{81EC9B49-D1F5-4252-A124-4F9DB67E64B6}" name="ID_PESQUISA" dataDxfId="68"/>
    <tableColumn id="2" xr3:uid="{74ED79DC-3096-481F-87A6-4A3C1CEA6D48}" name="ID_QUESTIONARIO" dataDxfId="67"/>
    <tableColumn id="3" xr3:uid="{D508B034-07E8-4337-A711-C712F960193D}" name="QUESTIONARIO" dataDxfId="66"/>
    <tableColumn id="4" xr3:uid="{35F4267F-EF5E-4FF8-B034-76EA91B3F027}" name="ID_PERGUNTA" dataDxfId="65"/>
    <tableColumn id="5" xr3:uid="{BE71103E-1901-4AF3-A232-0A996BF5EFF6}" name="PERGUNTA" dataDxfId="64"/>
    <tableColumn id="6" xr3:uid="{7AD16653-AEED-48D0-812E-9E0AD9857C1B}" name="RESPOSTA" dataDxfId="63"/>
    <tableColumn id="7" xr3:uid="{7AC6AB58-123F-4326-8A8E-F0EE885C07EA}" name="CURSO" dataDxfId="62"/>
    <tableColumn id="8" xr3:uid="{02AE5C01-0877-47EC-87EA-3A132934C88D}" name="COD_CURSO" dataDxfId="61"/>
    <tableColumn id="9" xr3:uid="{E4B6BC45-413C-4500-9906-F9B65B3038A0}" name="SETOR_CURSO" dataDxfId="60"/>
    <tableColumn id="10" xr3:uid="{D8113A77-9397-4214-A12E-9AC0DB7588CB}" name="COD_SETOR_CURSO" dataDxfId="59"/>
    <tableColumn id="11" xr3:uid="{EFC3EFF1-55D9-4ED7-85EB-70A6448C4520}" name="TIPO_QUEST2" dataDxfId="58"/>
    <tableColumn id="13" xr3:uid="{0DD5960A-1505-4B9A-A861-2BA38B733215}" name="Instituição" dataDxfId="57"/>
    <tableColumn id="15" xr3:uid="{3CD163B7-A041-48BA-BD63-168AF7EC3420}" name="COD_HABILITAÇÃO_CURSO" dataDxfId="56"/>
    <tableColumn id="14" xr3:uid="{4E172758-C6BE-4E34-96B0-94143B8FBAB0}" name="HABILITAÇÃO_CURSO" dataDxfId="5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D17" totalsRowShown="0" dataDxfId="0">
  <autoFilter ref="A1:D17" xr:uid="{60634AE0-DFA0-454B-8218-1CABF03E418F}"/>
  <tableColumns count="4">
    <tableColumn id="3" xr3:uid="{48DEAC9B-A366-46E5-AEBB-A876C421E191}" name="COD_HAB_CURSO" dataDxfId="4"/>
    <tableColumn id="1" xr3:uid="{16465C37-94B6-4414-9C59-A4D62F51AF6C}" name="HABILITAÇÃO_CURSO" dataDxfId="3"/>
    <tableColumn id="4" xr3:uid="{10FA1412-9327-44E2-B904-171423319594}" name="COD_SETOR_CURSO" dataDxfId="2"/>
    <tableColumn id="2" xr3:uid="{2D4DDA1E-1CFF-4446-B932-861AC17B92A7}" name="SETOR_CURSO" dataDxfId="1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54">
  <autoFilter ref="A1:L556" xr:uid="{39A608A5-C346-494C-A1A6-448EC49EDEB3}"/>
  <sortState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53"/>
    <tableColumn id="4" xr3:uid="{DEFC2DDA-EBC2-4D99-A9F2-C5B04AFA4B3F}" name="COD_CURSO" totalsRowDxfId="52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51">
      <calculatedColumnFormula>Tabela4[[#This Row],[QTD_RESPOSTAS_CURSO]]/Tabela4[[#This Row],[QTD_RESPONDENTES_CURSO]]</calculatedColumnFormula>
    </tableColumn>
    <tableColumn id="7" xr3:uid="{949D484B-ED55-499A-AD6F-E7940D329786}" name="COD_SETOR_CURSO" dataDxfId="50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9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8" dataDxfId="47" totalsRowDxfId="46">
  <autoFilter ref="A1:C28" xr:uid="{3EF6346A-46FC-42B4-9860-095CC009A929}"/>
  <tableColumns count="3">
    <tableColumn id="1" xr3:uid="{A9D1486F-1B42-4C0E-B479-E01AC15C1407}" name="Frequência de respostas" totalsRowLabel="Total" dataDxfId="45" totalsRowDxfId="44"/>
    <tableColumn id="2" xr3:uid="{829D3032-8829-4DD4-B542-8B946B2B6E90}" name="Quantidade de alunos" totalsRowFunction="custom" dataDxfId="43" totalsRowDxfId="42">
      <totalsRowFormula>SUM(Tabela10[Quantidade de alunos])</totalsRowFormula>
    </tableColumn>
    <tableColumn id="3" xr3:uid="{4996BA5E-7ABC-462C-8107-74213F3B0A23}" name="Total de respostas" totalsRowFunction="custom" dataDxfId="41" totalsRowDxfId="40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9" dataDxfId="38" tableBorderDxfId="37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6"/>
    <tableColumn id="2" xr3:uid="{CAD7AFF1-27A3-43F5-828E-6654B9A74423}" name="cod_pesquisa" dataDxfId="35"/>
    <tableColumn id="3" xr3:uid="{EE487EB2-613C-422F-97AD-C9B74DB60916}" name="pesquisa" dataDxfId="34"/>
    <tableColumn id="4" xr3:uid="{A8D24B22-BED3-429F-A02E-B5DDCF562C48}" name="cod_questionario" dataDxfId="33"/>
    <tableColumn id="5" xr3:uid="{6F1C39F4-3DE0-42BE-9C5F-04FC23CC819F}" name="eixo_questionario" dataDxfId="32"/>
    <tableColumn id="6" xr3:uid="{51CAA2BF-2B51-4FB8-8834-3A0700F259B9}" name="cabeçalho_questionario" dataDxfId="31"/>
    <tableColumn id="7" xr3:uid="{2A875D1A-2F12-45C7-8029-38EF552CD3C4}" name="rodape_cabecalho"/>
    <tableColumn id="8" xr3:uid="{FB35EBC6-D136-4E23-8987-5CD0CEF9EC49}" name="cod_questao_matriz" dataDxfId="30"/>
    <tableColumn id="9" xr3:uid="{9CEC42B8-AAED-4D0A-BABB-E5D19D86CA78}" name="enunciado_questao_matriz" dataDxfId="29"/>
    <tableColumn id="10" xr3:uid="{6327701D-F55B-4670-8E1C-40D5FFBD63B9}" name="cod_questao" dataDxfId="28"/>
    <tableColumn id="11" xr3:uid="{4CEB5217-8F21-48A5-AEF0-D64814357682}" name="enunciado_questao" dataDxfId="27"/>
    <tableColumn id="12" xr3:uid="{323D4D12-54AD-4CAB-887C-1969384623C5}" name="rodape_enunciado_questao"/>
    <tableColumn id="13" xr3:uid="{D349281F-548F-4AE8-B6F6-001D4A114CBB}" name="resp 1" dataDxfId="26"/>
    <tableColumn id="14" xr3:uid="{2810DF4A-CD41-48A9-B2F0-56DF6458E55D}" name="resp 2" dataDxfId="25"/>
    <tableColumn id="15" xr3:uid="{54C25DB1-FD79-4DC2-8168-39A6EE641101}" name="resp 3" dataDxfId="24"/>
    <tableColumn id="16" xr3:uid="{44C4D69D-A640-4059-9863-FD06A13E7218}" name="resp 4" dataDxfId="23"/>
    <tableColumn id="17" xr3:uid="{59530C43-54EB-412A-939C-CB8C1530C8BB}" name="resp 5" dataDxfId="22"/>
    <tableColumn id="18" xr3:uid="{572C11EB-82FB-4481-B540-7AAAB2671819}" name="resp 6" dataDxfId="21"/>
    <tableColumn id="19" xr3:uid="{426BA7ED-2DF5-4478-93D6-D8885E7F17D6}" name="tipo_quest" dataDxfId="20"/>
    <tableColumn id="20" xr3:uid="{A0CE8691-B6ED-4B0B-B144-3A249E539036}" name="qtd_quest" dataDxfId="19"/>
    <tableColumn id="21" xr3:uid="{D425B1CD-2A1A-430D-AD0C-7344869EF993}" name="class_quest" dataDxfId="1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7"/>
    <tableColumn id="2" xr3:uid="{8AA466A3-73E9-4FC6-AADE-E05BBD7E4FF0}" name="qtd_resp" dataDxfId="16"/>
    <tableColumn id="8" xr3:uid="{C7ABAA18-237C-4FF6-8169-A73CBEEC3BDC}" name="class_quest" dataDxfId="15"/>
    <tableColumn id="3" xr3:uid="{382B0F5B-59E5-4F37-BBF7-EF44752943D5}" name="Urgência"/>
    <tableColumn id="4" xr3:uid="{C85AE656-7DC3-4507-832C-5AD8D18DDCF7}" name="Atenção " dataDxfId="14"/>
    <tableColumn id="5" xr3:uid="{52C6A6D3-775C-4386-95E8-BD5B296A65F1}" name="Aprimoramento" dataDxfId="13"/>
    <tableColumn id="6" xr3:uid="{835D0EBF-99AC-4CAA-93FA-643A2D3E686C}" name="Manutenção" dataDxfId="12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11">
  <autoFilter ref="A1:C17" xr:uid="{76AE17A5-96F0-4A8B-B757-3E38B3251A45}"/>
  <tableColumns count="3">
    <tableColumn id="1" xr3:uid="{BD4E4169-4C0A-4BBB-9953-5E2A690ABB6C}" name="SETOR_CURSO" dataDxfId="10"/>
    <tableColumn id="2" xr3:uid="{7AD5FDC5-7F80-4EB4-B8DD-E9F38F0AC40C}" name="COD_SETOR" dataDxfId="9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H13511" workbookViewId="0">
      <selection activeCell="N13524" sqref="N13524"/>
    </sheetView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zoomScaleSheetLayoutView="50" workbookViewId="0">
      <pane ySplit="8" topLeftCell="A9" activePane="bottomLeft" state="frozen"/>
      <selection pane="bottomLeft" activeCell="G88" sqref="G8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86" t="s">
        <v>417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</row>
    <row r="4" ht="22.5" customHeight="1">
      <c r="A4" s="164"/>
      <c r="B4" s="180" t="s">
        <v>418</v>
      </c>
      <c r="C4" s="181" t="s">
        <v>436</v>
      </c>
      <c r="D4" s="187" t="str">
        <f>VLOOKUP(C4, hab_letras[],2,0)</f>
        <v>106A - Letras Japonês - Licenciatura - Noturno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9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INDEX(Questoes!E:E,MATCH(SEGURANÇA!C14,Questoes!J:J,0))</f>
        <v>SEGURANÇA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</v>
      </c>
      <c r="D10" s="83" t="str">
        <f>INDEX(Questoes!F:F,MATCH(C14,Questoes!J:J,0))</f>
        <v>Aponte sua percepção sobre as ações de segurança institucional nos ambientes da UFPR que você mais frequenta: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1052</v>
      </c>
      <c r="D14" s="81" t="str">
        <f>VLOOKUP(C14, Questoes!J:K,2, 0)</f>
        <v>Proteção e segurança predial e do patrimônio público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1052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1052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e">
        <f t="shared" ref="F22:F27" si="0">ROUND(E22/E$28*100,3)</f>
        <v>#DIV/0!</v>
      </c>
      <c r="G22" t="n">
        <f>COUNTIFS(dados[RESPOSTA],C22, dados[ID_PERGUNTA],$C$14,dados[COD_SETOR_CURSO],$C$5)</f>
        <v>0</v>
      </c>
      <c r="H22" s="141" t="n">
        <f t="shared" ref="H22:H27" si="1">ROUND(G22/G$28*100,3)</f>
        <v>0</v>
      </c>
      <c r="I22" t="n">
        <f>COUNTIFS(dados[RESPOSTA],C22, dados[ID_PERGUNTA],$C$14,dados[Instituição],$A$2)</f>
        <v>9</v>
      </c>
      <c r="J22" s="141" t="n">
        <f t="shared" ref="J22:J27" si="2">ROUND(I22/I$28*100,3)</f>
        <v>1.627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e">
        <f t="shared" ref="F23:F27" si="3">ROUND(E23/E$28*100,3)</f>
        <v>#DIV/0!</v>
      </c>
      <c r="G23" t="n">
        <f>COUNTIFS(dados[RESPOSTA],C23, dados[ID_PERGUNTA],$C$14,dados[COD_SETOR_CURSO],$C$5)</f>
        <v>19</v>
      </c>
      <c r="H23" s="141" t="n">
        <f t="shared" si="1"/>
        <v>23.75</v>
      </c>
      <c r="I23" t="n">
        <f>COUNTIFS(dados[RESPOSTA],C23, dados[ID_PERGUNTA],$C$14,dados[Instituição],$A$2)</f>
        <v>133</v>
      </c>
      <c r="J23" s="141" t="n">
        <f t="shared" si="2"/>
        <v>24.050999999999998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e">
        <f t="shared" si="3"/>
        <v>#DIV/0!</v>
      </c>
      <c r="G24" t="n">
        <f>COUNTIFS(dados[RESPOSTA],C24, dados[ID_PERGUNTA],$C$14,dados[COD_SETOR_CURSO],$C$5)</f>
        <v>32</v>
      </c>
      <c r="H24" s="141" t="n">
        <f t="shared" si="1"/>
        <v>40</v>
      </c>
      <c r="I24" t="n">
        <f>COUNTIFS(dados[RESPOSTA],C24, dados[ID_PERGUNTA],$C$14,dados[Instituição],$A$2)</f>
        <v>249</v>
      </c>
      <c r="J24" s="141" t="n">
        <f t="shared" si="2"/>
        <v>45.027000000000001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e">
        <f t="shared" si="3"/>
        <v>#DIV/0!</v>
      </c>
      <c r="G25" t="n">
        <f>COUNTIFS(dados[RESPOSTA],C25, dados[ID_PERGUNTA],$C$14,dados[COD_SETOR_CURSO],$C$5)</f>
        <v>24</v>
      </c>
      <c r="H25" s="141" t="n">
        <f t="shared" si="1"/>
        <v>30</v>
      </c>
      <c r="I25" t="n">
        <f>COUNTIFS(dados[RESPOSTA],C25, dados[ID_PERGUNTA],$C$14,dados[Instituição],$A$2)</f>
        <v>126</v>
      </c>
      <c r="J25" s="141" t="n">
        <f t="shared" si="2"/>
        <v>22.785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e">
        <f t="shared" si="3"/>
        <v>#DIV/0!</v>
      </c>
      <c r="G26" t="n">
        <f>COUNTIFS(dados[RESPOSTA],C26, dados[ID_PERGUNTA],$C$14,dados[COD_SETOR_CURSO],$C$5)</f>
        <v>4</v>
      </c>
      <c r="H26" s="141" t="n">
        <f t="shared" si="1"/>
        <v>5</v>
      </c>
      <c r="I26" t="n">
        <f>COUNTIFS(dados[RESPOSTA],C26, dados[ID_PERGUNTA],$C$14,dados[Instituição],$A$2)</f>
        <v>29</v>
      </c>
      <c r="J26" s="141" t="n">
        <f t="shared" si="2"/>
        <v>5.2439999999999998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e">
        <f t="shared" si="3"/>
        <v>#DIV/0!</v>
      </c>
      <c r="G27" t="n">
        <f>COUNTIFS(dados[RESPOSTA],C27, dados[ID_PERGUNTA],$C$14,dados[COD_SETOR_CURSO],$C$5)</f>
        <v>1</v>
      </c>
      <c r="H27" s="141" t="n">
        <f t="shared" si="1"/>
        <v>1.25</v>
      </c>
      <c r="I27" t="n">
        <f>COUNTIFS(dados[RESPOSTA],C27, dados[ID_PERGUNTA],$C$14,dados[Instituição],$A$2)</f>
        <v>7</v>
      </c>
      <c r="J27" s="141" t="n">
        <f t="shared" si="2"/>
        <v>1.266</v>
      </c>
    </row>
    <row r="28">
      <c r="C28" s="111" t="s">
        <v>313</v>
      </c>
      <c r="D28" s="111"/>
      <c r="E28" s="62" t="n">
        <f t="shared" ref="E28:J28" si="4">SUM(E22:E27)</f>
        <v>0</v>
      </c>
      <c r="F28" s="58" t="e">
        <f t="shared" si="4"/>
        <v>#DIV/0!</v>
      </c>
      <c r="G28" s="62" t="n">
        <f t="shared" si="4"/>
        <v>80</v>
      </c>
      <c r="H28" s="58" t="n">
        <f t="shared" si="4"/>
        <v>100</v>
      </c>
      <c r="I28" s="62" t="n">
        <f t="shared" si="4"/>
        <v>553</v>
      </c>
      <c r="J28" s="58" t="n">
        <f t="shared" si="4"/>
        <v>100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5">E27+E26</f>
        <v>0</v>
      </c>
      <c r="F34" s="60" t="e">
        <f t="shared" si="5"/>
        <v>#DIV/0!</v>
      </c>
      <c r="G34" s="12" t="n">
        <f t="shared" si="5"/>
        <v>5</v>
      </c>
      <c r="H34" s="60" t="n">
        <f t="shared" si="5"/>
        <v>6.25</v>
      </c>
      <c r="I34" s="12" t="n">
        <f t="shared" si="5"/>
        <v>36</v>
      </c>
      <c r="J34" s="60" t="n">
        <f t="shared" si="5"/>
        <v>6.51</v>
      </c>
      <c r="N34" s="124"/>
    </row>
    <row r="35">
      <c r="C35" s="120" t="s">
        <v>402</v>
      </c>
      <c r="D35" s="48" t="s">
        <v>45</v>
      </c>
      <c r="E35" s="12" t="n">
        <f t="shared" ref="E35:J35" si="6">E22</f>
        <v>0</v>
      </c>
      <c r="F35" s="60" t="e">
        <f t="shared" si="6"/>
        <v>#DIV/0!</v>
      </c>
      <c r="G35" s="12" t="n">
        <f t="shared" si="6"/>
        <v>0</v>
      </c>
      <c r="H35" s="60" t="n">
        <f t="shared" si="6"/>
        <v>0</v>
      </c>
      <c r="I35" s="12" t="n">
        <f t="shared" si="6"/>
        <v>9</v>
      </c>
      <c r="J35" s="60" t="n">
        <f t="shared" si="6"/>
        <v>1.627</v>
      </c>
      <c r="N35" s="124"/>
    </row>
    <row r="36">
      <c r="C36" s="121" t="s">
        <v>403</v>
      </c>
      <c r="D36" s="48" t="s">
        <v>29</v>
      </c>
      <c r="E36" s="12" t="n">
        <f t="shared" ref="E36:J36" si="7">E25</f>
        <v>0</v>
      </c>
      <c r="F36" s="60" t="e">
        <f t="shared" si="7"/>
        <v>#DIV/0!</v>
      </c>
      <c r="G36" s="12" t="n">
        <f t="shared" si="7"/>
        <v>24</v>
      </c>
      <c r="H36" s="60" t="n">
        <f t="shared" si="7"/>
        <v>30</v>
      </c>
      <c r="I36" s="12" t="n">
        <f t="shared" si="7"/>
        <v>126</v>
      </c>
      <c r="J36" s="60" t="n">
        <f t="shared" si="7"/>
        <v>22.785</v>
      </c>
      <c r="N36" s="124"/>
    </row>
    <row r="37">
      <c r="C37" s="122" t="s">
        <v>404</v>
      </c>
      <c r="D37" s="48" t="s">
        <v>407</v>
      </c>
      <c r="E37" s="147" t="n">
        <f t="shared" ref="E37:J37" si="8">E24+E23</f>
        <v>0</v>
      </c>
      <c r="F37" s="63" t="e">
        <f t="shared" si="8"/>
        <v>#DIV/0!</v>
      </c>
      <c r="G37" s="147" t="n">
        <f t="shared" si="8"/>
        <v>51</v>
      </c>
      <c r="H37" s="63" t="n">
        <f t="shared" si="8"/>
        <v>63.75</v>
      </c>
      <c r="I37" s="147" t="n">
        <f t="shared" si="8"/>
        <v>382</v>
      </c>
      <c r="J37" s="63" t="n">
        <f t="shared" si="8"/>
        <v>69.078000000000003</v>
      </c>
      <c r="N37" s="124"/>
    </row>
    <row r="38">
      <c r="C38" s="62" t="s">
        <v>313</v>
      </c>
      <c r="D38" s="62"/>
      <c r="E38" s="62" t="n">
        <f>SUM(E34:E37)</f>
        <v>0</v>
      </c>
      <c r="F38" s="58" t="e">
        <f>ROUND(SUM(F34:F37),2)</f>
        <v>#DIV/0!</v>
      </c>
      <c r="G38" s="62" t="n">
        <f>SUM(G34:G37)</f>
        <v>80</v>
      </c>
      <c r="H38" s="58" t="n">
        <f>SUM(H34:H37)</f>
        <v>100</v>
      </c>
      <c r="I38" s="62" t="n">
        <f>SUM(I34:I37)</f>
        <v>553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2</v>
      </c>
      <c r="D43" s="83" t="str">
        <f>INDEX(Questoes!F:F,MATCH(C47,Questoes!J:J,0))</f>
        <v>Aponte sua percepção sobre as ações de segurança institucional nos ambientes da UFPR que você mais frequenta: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1053</v>
      </c>
      <c r="D47" s="81" t="str">
        <f>VLOOKUP(C47, Questoes!J:K,2, 0)</f>
        <v>Proteção e segurança das pessoas nos campi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1053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1053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9">ROUND(E55/E$61*100,3)</f>
        <v>0</v>
      </c>
      <c r="G55" t="n">
        <f>COUNTIFS(dados[RESPOSTA],C55, dados[ID_PERGUNTA],$C$47,dados[COD_SETOR_CURSO],$C$5)</f>
        <v>2</v>
      </c>
      <c r="H55" s="141" t="n">
        <f t="shared" ref="H55:H60" si="10">ROUND(G55/G$61*100,3)</f>
        <v>2.5</v>
      </c>
      <c r="I55" t="n">
        <f>COUNTIFS(dados[RESPOSTA],C55, dados[ID_PERGUNTA],$C$47,dados[Instituição],$A$2)</f>
        <v>13</v>
      </c>
      <c r="J55" s="141" t="n">
        <f t="shared" ref="J55:J60" si="11">ROUND(I55/$I$61*100,3)</f>
        <v>2.351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n">
        <f t="shared" si="9"/>
        <v>0</v>
      </c>
      <c r="G56" t="n">
        <f>COUNTIFS(dados[RESPOSTA],C56, dados[ID_PERGUNTA],$C$47,dados[COD_SETOR_CURSO],$C$5)</f>
        <v>17</v>
      </c>
      <c r="H56" s="141" t="n">
        <f t="shared" si="10"/>
        <v>21.25</v>
      </c>
      <c r="I56" t="n">
        <f>COUNTIFS(dados[RESPOSTA],C56, dados[ID_PERGUNTA],$C$47,dados[Instituição],$A$2)</f>
        <v>127</v>
      </c>
      <c r="J56" s="141" t="n">
        <f t="shared" si="11"/>
        <v>22.966000000000001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1</v>
      </c>
      <c r="F57" s="141" t="n">
        <f t="shared" si="9"/>
        <v>50</v>
      </c>
      <c r="G57" t="n">
        <f>COUNTIFS(dados[RESPOSTA],C57, dados[ID_PERGUNTA],$C$47,dados[COD_SETOR_CURSO],$C$5)</f>
        <v>25</v>
      </c>
      <c r="H57" s="141" t="n">
        <f t="shared" si="10"/>
        <v>31.25</v>
      </c>
      <c r="I57" t="n">
        <f>COUNTIFS(dados[RESPOSTA],C57, dados[ID_PERGUNTA],$C$47,dados[Instituição],$A$2)</f>
        <v>224</v>
      </c>
      <c r="J57" s="141" t="n">
        <f t="shared" si="11"/>
        <v>40.506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1</v>
      </c>
      <c r="F58" s="141" t="n">
        <f t="shared" si="9"/>
        <v>50</v>
      </c>
      <c r="G58" t="n">
        <f>COUNTIFS(dados[RESPOSTA],C58, dados[ID_PERGUNTA],$C$47,dados[COD_SETOR_CURSO],$C$5)</f>
        <v>31</v>
      </c>
      <c r="H58" s="141" t="n">
        <f t="shared" si="10"/>
        <v>38.75</v>
      </c>
      <c r="I58" t="n">
        <f>COUNTIFS(dados[RESPOSTA],C58, dados[ID_PERGUNTA],$C$47,dados[Instituição],$A$2)</f>
        <v>141</v>
      </c>
      <c r="J58" s="141" t="n">
        <f t="shared" si="11"/>
        <v>25.497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9"/>
        <v>0</v>
      </c>
      <c r="G59" t="n">
        <f>COUNTIFS(dados[RESPOSTA],C59, dados[ID_PERGUNTA],$C$47,dados[COD_SETOR_CURSO],$C$5)</f>
        <v>4</v>
      </c>
      <c r="H59" s="141" t="n">
        <f t="shared" si="10"/>
        <v>5</v>
      </c>
      <c r="I59" t="n">
        <f>COUNTIFS(dados[RESPOSTA],C59, dados[ID_PERGUNTA],$C$47,dados[Instituição],$A$2)</f>
        <v>37</v>
      </c>
      <c r="J59" s="141" t="n">
        <f t="shared" si="11"/>
        <v>6.6909999999999998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9"/>
        <v>0</v>
      </c>
      <c r="G60" t="n">
        <f>COUNTIFS(dados[RESPOSTA],C60, dados[ID_PERGUNTA],$C$47,dados[COD_SETOR_CURSO],$C$5)</f>
        <v>1</v>
      </c>
      <c r="H60" s="141" t="n">
        <f t="shared" si="10"/>
        <v>1.25</v>
      </c>
      <c r="I60" t="n">
        <f>COUNTIFS(dados[RESPOSTA],C60, dados[ID_PERGUNTA],$C$47,dados[Instituição],$A$2)</f>
        <v>11</v>
      </c>
      <c r="J60" s="141" t="n">
        <f t="shared" si="11"/>
        <v>1.9890000000000001</v>
      </c>
    </row>
    <row r="61">
      <c r="C61" s="111" t="s">
        <v>313</v>
      </c>
      <c r="D61" s="111"/>
      <c r="E61" s="62" t="n">
        <f t="shared" ref="E61:J61" si="12">SUM(E55:E60)</f>
        <v>2</v>
      </c>
      <c r="F61" s="58" t="n">
        <f t="shared" si="12"/>
        <v>100</v>
      </c>
      <c r="G61" s="62" t="n">
        <f t="shared" si="12"/>
        <v>80</v>
      </c>
      <c r="H61" s="58" t="n">
        <f t="shared" si="12"/>
        <v>100</v>
      </c>
      <c r="I61" s="62" t="n">
        <f t="shared" si="12"/>
        <v>553</v>
      </c>
      <c r="J61" s="58" t="n">
        <f t="shared" si="12"/>
        <v>100.00000000000001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3">E60+E59</f>
        <v>0</v>
      </c>
      <c r="F67" s="60" t="n">
        <f t="shared" si="13"/>
        <v>0</v>
      </c>
      <c r="G67" s="12" t="n">
        <f t="shared" si="13"/>
        <v>5</v>
      </c>
      <c r="H67" s="60" t="n">
        <f t="shared" si="13"/>
        <v>6.25</v>
      </c>
      <c r="I67" s="12" t="n">
        <f t="shared" si="13"/>
        <v>48</v>
      </c>
      <c r="J67" s="60" t="n">
        <f t="shared" si="13"/>
        <v>8.68</v>
      </c>
      <c r="N67" s="124"/>
    </row>
    <row r="68">
      <c r="C68" s="120" t="s">
        <v>402</v>
      </c>
      <c r="D68" s="48" t="s">
        <v>45</v>
      </c>
      <c r="E68" s="12" t="n">
        <f t="shared" ref="E68:J68" si="14">E55</f>
        <v>0</v>
      </c>
      <c r="F68" s="60" t="n">
        <f t="shared" si="14"/>
        <v>0</v>
      </c>
      <c r="G68" s="12" t="n">
        <f t="shared" si="14"/>
        <v>2</v>
      </c>
      <c r="H68" s="60" t="n">
        <f t="shared" si="14"/>
        <v>2.5</v>
      </c>
      <c r="I68" s="12" t="n">
        <f t="shared" si="14"/>
        <v>13</v>
      </c>
      <c r="J68" s="60" t="n">
        <f t="shared" si="14"/>
        <v>2.351</v>
      </c>
      <c r="N68" s="124"/>
    </row>
    <row r="69">
      <c r="C69" s="121" t="s">
        <v>403</v>
      </c>
      <c r="D69" s="48" t="s">
        <v>29</v>
      </c>
      <c r="E69" s="12" t="n">
        <f t="shared" ref="E69:J69" si="15">E58</f>
        <v>1</v>
      </c>
      <c r="F69" s="60" t="n">
        <f t="shared" si="15"/>
        <v>50</v>
      </c>
      <c r="G69" s="12" t="n">
        <f t="shared" si="15"/>
        <v>31</v>
      </c>
      <c r="H69" s="60" t="n">
        <f t="shared" si="15"/>
        <v>38.75</v>
      </c>
      <c r="I69" s="12" t="n">
        <f t="shared" si="15"/>
        <v>141</v>
      </c>
      <c r="J69" s="60" t="n">
        <f t="shared" si="15"/>
        <v>25.497</v>
      </c>
      <c r="N69" s="124"/>
    </row>
    <row r="70">
      <c r="C70" s="122" t="s">
        <v>404</v>
      </c>
      <c r="D70" s="48" t="s">
        <v>407</v>
      </c>
      <c r="E70" s="147" t="n">
        <f t="shared" ref="E70:J70" si="16">E57+E56</f>
        <v>1</v>
      </c>
      <c r="F70" s="63" t="n">
        <f t="shared" si="16"/>
        <v>50</v>
      </c>
      <c r="G70" s="147" t="n">
        <f t="shared" si="16"/>
        <v>42</v>
      </c>
      <c r="H70" s="63" t="n">
        <f t="shared" si="16"/>
        <v>52.5</v>
      </c>
      <c r="I70" s="147" t="n">
        <f t="shared" si="16"/>
        <v>351</v>
      </c>
      <c r="J70" s="63" t="n">
        <f t="shared" si="16"/>
        <v>63.472000000000001</v>
      </c>
      <c r="N70" s="124"/>
    </row>
    <row r="71" ht="15" customHeight="1">
      <c r="C71" s="62" t="s">
        <v>313</v>
      </c>
      <c r="D71" s="62"/>
      <c r="E71" s="62" t="n">
        <f>SUM(E67:E70)</f>
        <v>2</v>
      </c>
      <c r="F71" s="58" t="n">
        <f>ROUND(SUM(F67:F70),2)</f>
        <v>100</v>
      </c>
      <c r="G71" s="62" t="n">
        <f>SUM(G67:G70)</f>
        <v>80</v>
      </c>
      <c r="H71" s="58" t="n">
        <f>SUM(H67:H70)</f>
        <v>100</v>
      </c>
      <c r="I71" s="62" t="n">
        <f>SUM(I67:I70)</f>
        <v>553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3</v>
      </c>
      <c r="D76" s="83" t="str">
        <f>INDEX(Questoes!F:F,MATCH(C80,Questoes!J:J,0))</f>
        <v>Aponte sua percepção sobre as ações de segurança institucional nos ambientes da UFPR que você mais frequenta: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1054</v>
      </c>
      <c r="D80" s="8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1054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1054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n">
        <f t="shared" ref="F88:F93" si="17">ROUND(E88/$E$94*100,3)</f>
        <v>0</v>
      </c>
      <c r="G88" t="n">
        <f>COUNTIFS(dados[RESPOSTA],C88, dados[ID_PERGUNTA],$C$80,dados[COD_SETOR_CURSO],$C$5)</f>
        <v>8</v>
      </c>
      <c r="H88" s="141" t="n">
        <f t="shared" ref="H88:H93" si="18">ROUND(G88/$G$94*100,3)</f>
        <v>10</v>
      </c>
      <c r="I88" t="n">
        <f>COUNTIFS(dados[RESPOSTA],C88, dados[ID_PERGUNTA],$C$80,dados[Instituição],$A$2)</f>
        <v>40</v>
      </c>
      <c r="J88" s="141" t="n">
        <f t="shared" ref="J88:J93" si="19">ROUND(I88/$I$94*100,3)</f>
        <v>7.2329999999999997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n">
        <f t="shared" si="17"/>
        <v>0</v>
      </c>
      <c r="G89" t="n">
        <f>COUNTIFS(dados[RESPOSTA],C89, dados[ID_PERGUNTA],$C$80,dados[COD_SETOR_CURSO],$C$5)</f>
        <v>13</v>
      </c>
      <c r="H89" s="141" t="n">
        <f t="shared" si="18"/>
        <v>16.25</v>
      </c>
      <c r="I89" t="n">
        <f>COUNTIFS(dados[RESPOSTA],C89, dados[ID_PERGUNTA],$C$80,dados[Instituição],$A$2)</f>
        <v>90</v>
      </c>
      <c r="J89" s="141" t="n">
        <f t="shared" si="19"/>
        <v>16.274999999999999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1</v>
      </c>
      <c r="F90" s="141" t="n">
        <f t="shared" si="17"/>
        <v>33.332999999999998</v>
      </c>
      <c r="G90" t="n">
        <f>COUNTIFS(dados[RESPOSTA],C90, dados[ID_PERGUNTA],$C$80,dados[COD_SETOR_CURSO],$C$5)</f>
        <v>23</v>
      </c>
      <c r="H90" s="141" t="n">
        <f t="shared" si="18"/>
        <v>28.75</v>
      </c>
      <c r="I90" t="n">
        <f>COUNTIFS(dados[RESPOSTA],C90, dados[ID_PERGUNTA],$C$80,dados[Instituição],$A$2)</f>
        <v>178</v>
      </c>
      <c r="J90" s="141" t="n">
        <f t="shared" si="19"/>
        <v>32.188000000000002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1</v>
      </c>
      <c r="F91" s="141" t="n">
        <f t="shared" si="17"/>
        <v>33.332999999999998</v>
      </c>
      <c r="G91" t="n">
        <f>COUNTIFS(dados[RESPOSTA],C91, dados[ID_PERGUNTA],$C$80,dados[COD_SETOR_CURSO],$C$5)</f>
        <v>17</v>
      </c>
      <c r="H91" s="141" t="n">
        <f t="shared" si="18"/>
        <v>21.25</v>
      </c>
      <c r="I91" t="n">
        <f>COUNTIFS(dados[RESPOSTA],C91, dados[ID_PERGUNTA],$C$80,dados[Instituição],$A$2)</f>
        <v>137</v>
      </c>
      <c r="J91" s="141" t="n">
        <f t="shared" si="19"/>
        <v>24.774000000000001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1</v>
      </c>
      <c r="F92" s="141" t="n">
        <f t="shared" si="17"/>
        <v>33.332999999999998</v>
      </c>
      <c r="G92" t="n">
        <f>COUNTIFS(dados[RESPOSTA],C92, dados[ID_PERGUNTA],$C$80,dados[COD_SETOR_CURSO],$C$5)</f>
        <v>16</v>
      </c>
      <c r="H92" s="141" t="n">
        <f t="shared" si="18"/>
        <v>20</v>
      </c>
      <c r="I92" t="n">
        <f>COUNTIFS(dados[RESPOSTA],C92, dados[ID_PERGUNTA],$C$80,dados[Instituição],$A$2)</f>
        <v>70</v>
      </c>
      <c r="J92" s="141" t="n">
        <f t="shared" si="19"/>
        <v>12.657999999999999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n">
        <f t="shared" si="17"/>
        <v>0</v>
      </c>
      <c r="G93" t="n">
        <f>COUNTIFS(dados[RESPOSTA],C93, dados[ID_PERGUNTA],$C$80,dados[COD_SETOR_CURSO],$C$5)</f>
        <v>3</v>
      </c>
      <c r="H93" s="141" t="n">
        <f t="shared" si="18"/>
        <v>3.75</v>
      </c>
      <c r="I93" t="n">
        <f>COUNTIFS(dados[RESPOSTA],C93, dados[ID_PERGUNTA],$C$80,dados[Instituição],$A$2)</f>
        <v>38</v>
      </c>
      <c r="J93" s="141" t="n">
        <f t="shared" si="19"/>
        <v>6.8719999999999999</v>
      </c>
    </row>
    <row r="94">
      <c r="C94" s="111" t="s">
        <v>313</v>
      </c>
      <c r="D94" s="111"/>
      <c r="E94" s="62" t="n">
        <f t="shared" ref="E94:J94" si="20">SUM(E88:E93)</f>
        <v>3</v>
      </c>
      <c r="F94" s="58" t="n">
        <f t="shared" si="20"/>
        <v>99.998999999999995</v>
      </c>
      <c r="G94" s="62" t="n">
        <f t="shared" si="20"/>
        <v>80</v>
      </c>
      <c r="H94" s="58" t="n">
        <f t="shared" si="20"/>
        <v>100</v>
      </c>
      <c r="I94" s="62" t="n">
        <f t="shared" si="20"/>
        <v>553</v>
      </c>
      <c r="J94" s="58" t="n">
        <f t="shared" si="20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1">E93+E92</f>
        <v>1</v>
      </c>
      <c r="F100" s="60" t="n">
        <f t="shared" si="21"/>
        <v>33.332999999999998</v>
      </c>
      <c r="G100" s="12" t="n">
        <f t="shared" si="21"/>
        <v>19</v>
      </c>
      <c r="H100" s="60" t="n">
        <f t="shared" si="21"/>
        <v>23.75</v>
      </c>
      <c r="I100" s="12" t="n">
        <f t="shared" si="21"/>
        <v>108</v>
      </c>
      <c r="J100" s="60" t="n">
        <f t="shared" si="21"/>
        <v>19.53</v>
      </c>
      <c r="N100" s="124"/>
    </row>
    <row r="101">
      <c r="C101" s="120" t="s">
        <v>402</v>
      </c>
      <c r="D101" s="48" t="s">
        <v>45</v>
      </c>
      <c r="E101" s="12" t="n">
        <f t="shared" ref="E101:J101" si="22">E88</f>
        <v>0</v>
      </c>
      <c r="F101" s="60" t="n">
        <f t="shared" si="22"/>
        <v>0</v>
      </c>
      <c r="G101" s="12" t="n">
        <f t="shared" si="22"/>
        <v>8</v>
      </c>
      <c r="H101" s="60" t="n">
        <f t="shared" si="22"/>
        <v>10</v>
      </c>
      <c r="I101" s="12" t="n">
        <f t="shared" si="22"/>
        <v>40</v>
      </c>
      <c r="J101" s="60" t="n">
        <f t="shared" si="22"/>
        <v>7.2329999999999997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3">E91</f>
        <v>1</v>
      </c>
      <c r="F102" s="60" t="n">
        <f t="shared" si="23"/>
        <v>33.332999999999998</v>
      </c>
      <c r="G102" s="12" t="n">
        <f t="shared" si="23"/>
        <v>17</v>
      </c>
      <c r="H102" s="60" t="n">
        <f t="shared" si="23"/>
        <v>21.25</v>
      </c>
      <c r="I102" s="12" t="n">
        <f t="shared" si="23"/>
        <v>137</v>
      </c>
      <c r="J102" s="60" t="n">
        <f t="shared" si="23"/>
        <v>24.774000000000001</v>
      </c>
      <c r="N102" s="124"/>
    </row>
    <row r="103">
      <c r="C103" s="122" t="s">
        <v>404</v>
      </c>
      <c r="D103" s="48" t="s">
        <v>407</v>
      </c>
      <c r="E103" s="147" t="n">
        <f t="shared" ref="E103:J103" si="24">E90+E89</f>
        <v>1</v>
      </c>
      <c r="F103" s="63" t="n">
        <f t="shared" si="24"/>
        <v>33.332999999999998</v>
      </c>
      <c r="G103" s="147" t="n">
        <f t="shared" si="24"/>
        <v>36</v>
      </c>
      <c r="H103" s="63" t="n">
        <f t="shared" si="24"/>
        <v>45</v>
      </c>
      <c r="I103" s="147" t="n">
        <f t="shared" si="24"/>
        <v>268</v>
      </c>
      <c r="J103" s="63" t="n">
        <f t="shared" si="24"/>
        <v>48.463000000000001</v>
      </c>
      <c r="N103" s="124"/>
    </row>
    <row r="104">
      <c r="C104" s="62" t="s">
        <v>313</v>
      </c>
      <c r="D104" s="62"/>
      <c r="E104" s="62" t="n">
        <f>SUM(E100:E103)</f>
        <v>3</v>
      </c>
      <c r="F104" s="58" t="n">
        <f>ROUND(SUM(F100:F103),2)</f>
        <v>100</v>
      </c>
      <c r="G104" s="62" t="n">
        <f>SUM(G100:G103)</f>
        <v>80</v>
      </c>
      <c r="H104" s="58" t="n">
        <f>SUM(H100:H103)</f>
        <v>100</v>
      </c>
      <c r="I104" s="62" t="n">
        <f>SUM(I100:I103)</f>
        <v>553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173"/>
      <c r="C109" s="190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</row>
    <row r="110">
      <c r="B110" s="173"/>
      <c r="C110" s="190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</row>
    <row r="111">
      <c r="B111" s="173"/>
      <c r="C111" s="190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</row>
    <row r="112"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</row>
    <row r="113">
      <c r="B113" s="176"/>
      <c r="C113" s="190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</row>
    <row r="114">
      <c r="B114" s="176"/>
      <c r="C114" s="190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</row>
    <row r="115">
      <c r="B115" s="176"/>
      <c r="C115" s="190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</row>
    <row r="116">
      <c r="C116" s="169"/>
      <c r="D116" s="179"/>
      <c r="E116" s="129"/>
      <c r="F116" s="141"/>
      <c r="G116" s="129"/>
      <c r="H116" s="141"/>
      <c r="I116" s="129"/>
      <c r="J116" s="141"/>
    </row>
    <row r="117">
      <c r="C117" s="169"/>
      <c r="D117" s="169"/>
      <c r="E117" s="129"/>
      <c r="F117" s="141"/>
      <c r="G117" s="129"/>
      <c r="H117" s="141"/>
      <c r="I117" s="129"/>
      <c r="J117" s="141"/>
    </row>
    <row r="118">
      <c r="B118" s="168"/>
      <c r="L118" s="190"/>
      <c r="M118" s="190"/>
      <c r="N118" s="190"/>
      <c r="O118" s="190"/>
      <c r="P118" s="117"/>
      <c r="Q118" s="190"/>
      <c r="R118" s="190"/>
      <c r="S118" s="190"/>
      <c r="T118" s="190"/>
      <c r="U118" s="190"/>
      <c r="V118" s="190"/>
      <c r="W118" s="190"/>
    </row>
    <row r="119">
      <c r="I119" s="59"/>
      <c r="J119" s="59"/>
      <c r="L119" s="20"/>
      <c r="P119" s="117"/>
      <c r="Q119" s="190"/>
      <c r="R119" s="190"/>
      <c r="S119" s="190"/>
      <c r="T119" s="190"/>
      <c r="U119" s="190"/>
      <c r="V119" s="190"/>
      <c r="W119" s="190"/>
    </row>
    <row r="120">
      <c r="E120" s="20"/>
      <c r="F120" s="118"/>
      <c r="G120" s="20"/>
      <c r="H120" s="118"/>
      <c r="I120" s="20"/>
      <c r="J120" s="118"/>
    </row>
    <row r="121">
      <c r="C121" s="169"/>
      <c r="D121" s="169"/>
      <c r="E121" s="129"/>
      <c r="F121" s="141"/>
      <c r="H121" s="141"/>
      <c r="J121" s="141"/>
      <c r="P121" s="118"/>
      <c r="V121" s="20"/>
      <c r="W121" s="20"/>
    </row>
    <row r="122">
      <c r="C122" s="169"/>
      <c r="D122" s="169"/>
      <c r="E122" s="129"/>
      <c r="F122" s="141"/>
      <c r="H122" s="141"/>
      <c r="J122" s="141"/>
    </row>
    <row r="123">
      <c r="C123" s="169"/>
      <c r="D123" s="169"/>
      <c r="E123" s="129"/>
      <c r="F123" s="141"/>
      <c r="H123" s="141"/>
      <c r="J123" s="141"/>
    </row>
    <row r="124">
      <c r="C124" s="169"/>
      <c r="D124" s="169"/>
      <c r="E124" s="129"/>
      <c r="F124" s="141"/>
      <c r="H124" s="141"/>
      <c r="J124" s="141"/>
    </row>
    <row r="125">
      <c r="C125" s="169"/>
      <c r="D125" s="169"/>
      <c r="E125" s="129"/>
      <c r="F125" s="141"/>
      <c r="H125" s="141"/>
      <c r="J125" s="141"/>
      <c r="P125" s="124"/>
      <c r="Q125" s="124"/>
      <c r="R125" s="124"/>
      <c r="S125" s="124"/>
      <c r="T125" s="124"/>
      <c r="U125" s="124"/>
      <c r="V125" s="124"/>
      <c r="W125" s="124"/>
    </row>
    <row r="126">
      <c r="C126" s="169"/>
      <c r="D126" s="169"/>
      <c r="E126" s="129"/>
      <c r="F126" s="141"/>
      <c r="H126" s="141"/>
      <c r="J126" s="141"/>
    </row>
    <row r="127">
      <c r="F127" s="141"/>
      <c r="H127" s="141"/>
      <c r="J127" s="141"/>
    </row>
    <row r="131">
      <c r="I131" s="59"/>
      <c r="J131" s="59"/>
      <c r="N131" s="124"/>
      <c r="O131" s="129"/>
    </row>
    <row r="132">
      <c r="C132" s="170"/>
      <c r="D132" s="170"/>
      <c r="E132" s="20"/>
      <c r="F132" s="118"/>
      <c r="G132" s="20"/>
      <c r="H132" s="118"/>
      <c r="I132" s="20"/>
      <c r="J132" s="118"/>
      <c r="N132" s="124"/>
    </row>
    <row r="133">
      <c r="C133" s="171"/>
      <c r="D133" s="48"/>
      <c r="E133" s="12"/>
      <c r="F133" s="60"/>
      <c r="G133" s="12"/>
      <c r="H133" s="60"/>
      <c r="I133" s="12"/>
      <c r="J133" s="60"/>
      <c r="N133" s="124"/>
    </row>
    <row r="134">
      <c r="C134" s="172"/>
      <c r="D134" s="48"/>
      <c r="E134" s="12"/>
      <c r="F134" s="60"/>
      <c r="G134" s="12"/>
      <c r="H134" s="60"/>
      <c r="I134" s="12"/>
      <c r="J134" s="60"/>
      <c r="N134" s="124"/>
    </row>
    <row r="135">
      <c r="C135" s="171"/>
      <c r="D135" s="48"/>
      <c r="E135" s="12"/>
      <c r="F135" s="60"/>
      <c r="G135" s="12"/>
      <c r="H135" s="60"/>
      <c r="I135" s="12"/>
      <c r="J135" s="60"/>
      <c r="N135" s="124"/>
    </row>
    <row r="136">
      <c r="C136" s="171"/>
      <c r="D136" s="48"/>
      <c r="E136" s="147"/>
      <c r="F136" s="63"/>
      <c r="G136" s="147"/>
      <c r="H136" s="63"/>
      <c r="I136" s="147"/>
      <c r="J136" s="63"/>
      <c r="N136" s="124"/>
    </row>
    <row r="137">
      <c r="F137" s="141"/>
      <c r="H137" s="141"/>
      <c r="J137" s="141"/>
      <c r="L137" s="77"/>
      <c r="M137" s="77"/>
      <c r="N137" s="124"/>
    </row>
  </sheetData>
  <sheetProtection password="C2D7" sheet="1"/>
  <mergeCells count="93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B43:B45"/>
    <mergeCell ref="C43:C45"/>
    <mergeCell ref="D43:W44"/>
    <mergeCell ref="D45:W45"/>
    <mergeCell ref="D46:W46"/>
    <mergeCell ref="C94:D94"/>
    <mergeCell ref="C97:J97"/>
    <mergeCell ref="E98:F98"/>
    <mergeCell ref="G98:H98"/>
    <mergeCell ref="I98:J98"/>
    <mergeCell ref="C93:D93"/>
    <mergeCell ref="C87:D87"/>
    <mergeCell ref="C89:D89"/>
    <mergeCell ref="C90:D90"/>
    <mergeCell ref="C91:D91"/>
    <mergeCell ref="C92:D92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B1" zoomScale="70" zoomScaleNormal="7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436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INDEX(Questoes!E:E,MATCH(AMBIENTES!C14,Questoes!J:J,0))</f>
        <v>AMBIENTES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4</v>
      </c>
      <c r="D10" s="83" t="str">
        <f>INDEX(Questoes!F:F,MATCH(C14,Questoes!J:J,0))</f>
        <v>Avalie os ambientes internos e externos (campi, setores, cursos) que você mais utiliza na UFPR quanto ao(à):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1055</v>
      </c>
      <c r="D14" s="81" t="str">
        <f>VLOOKUP(C14, Questoes!J:K,2, 0)</f>
        <v>Conservação e manutenção das áreas internas comuns (corredores, auditórios, espaços de convivência e alimentação, etc.)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1055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1055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1</v>
      </c>
      <c r="H22" s="141" t="n">
        <f t="shared" ref="H22:H27" si="1">ROUND(G22/G$28*100,3)</f>
        <v>1.2989999999999999</v>
      </c>
      <c r="I22" t="n">
        <f>COUNTIFS(dados[RESPOSTA],C22, dados[ID_PERGUNTA],$C$14,dados[Instituição],$A$2)</f>
        <v>3</v>
      </c>
      <c r="J22" s="141" t="n">
        <f t="shared" ref="J22:J27" si="2">ROUND(I22/I$28*100,3)</f>
        <v>0.57099999999999995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n">
        <f t="shared" si="0"/>
        <v>0</v>
      </c>
      <c r="G23" t="n">
        <f>COUNTIFS(dados[RESPOSTA],C23, dados[ID_PERGUNTA],$C$14,dados[COD_SETOR_CURSO],$C$5)</f>
        <v>14</v>
      </c>
      <c r="H23" s="141" t="n">
        <f t="shared" si="1"/>
        <v>18.181999999999999</v>
      </c>
      <c r="I23" t="n">
        <f>COUNTIFS(dados[RESPOSTA],C23, dados[ID_PERGUNTA],$C$14,dados[Instituição],$A$2)</f>
        <v>111</v>
      </c>
      <c r="J23" s="141" t="n">
        <f t="shared" si="2"/>
        <v>21.143000000000001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1</v>
      </c>
      <c r="F24" s="141" t="n">
        <f t="shared" si="0"/>
        <v>50</v>
      </c>
      <c r="G24" t="n">
        <f>COUNTIFS(dados[RESPOSTA],C24, dados[ID_PERGUNTA],$C$14,dados[COD_SETOR_CURSO],$C$5)</f>
        <v>29</v>
      </c>
      <c r="H24" s="141" t="n">
        <f t="shared" si="1"/>
        <v>37.661999999999999</v>
      </c>
      <c r="I24" t="n">
        <f>COUNTIFS(dados[RESPOSTA],C24, dados[ID_PERGUNTA],$C$14,dados[Instituição],$A$2)</f>
        <v>200</v>
      </c>
      <c r="J24" s="141" t="n">
        <f t="shared" si="2"/>
        <v>38.094999999999999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1</v>
      </c>
      <c r="F25" s="141" t="n">
        <f t="shared" si="0"/>
        <v>50</v>
      </c>
      <c r="G25" t="n">
        <f>COUNTIFS(dados[RESPOSTA],C25, dados[ID_PERGUNTA],$C$14,dados[COD_SETOR_CURSO],$C$5)</f>
        <v>25</v>
      </c>
      <c r="H25" s="141" t="n">
        <f t="shared" si="1"/>
        <v>32.468000000000004</v>
      </c>
      <c r="I25" t="n">
        <f>COUNTIFS(dados[RESPOSTA],C25, dados[ID_PERGUNTA],$C$14,dados[Instituição],$A$2)</f>
        <v>147</v>
      </c>
      <c r="J25" s="141" t="n">
        <f t="shared" si="2"/>
        <v>28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6</v>
      </c>
      <c r="H26" s="141" t="n">
        <f t="shared" si="1"/>
        <v>7.7919999999999998</v>
      </c>
      <c r="I26" t="n">
        <f>COUNTIFS(dados[RESPOSTA],C26, dados[ID_PERGUNTA],$C$14,dados[Instituição],$A$2)</f>
        <v>44</v>
      </c>
      <c r="J26" s="141" t="n">
        <f t="shared" si="2"/>
        <v>8.3810000000000002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2</v>
      </c>
      <c r="H27" s="141" t="n">
        <f t="shared" si="1"/>
        <v>2.597</v>
      </c>
      <c r="I27" t="n">
        <f>COUNTIFS(dados[RESPOSTA],C27, dados[ID_PERGUNTA],$C$14,dados[Instituição],$A$2)</f>
        <v>20</v>
      </c>
      <c r="J27" s="141" t="n">
        <f t="shared" si="2"/>
        <v>3.81</v>
      </c>
    </row>
    <row r="28">
      <c r="C28" s="111" t="s">
        <v>313</v>
      </c>
      <c r="D28" s="111"/>
      <c r="E28" s="62" t="n">
        <f t="shared" ref="E28:J28" si="3">SUM(E22:E27)</f>
        <v>2</v>
      </c>
      <c r="F28" s="58" t="n">
        <f t="shared" si="3"/>
        <v>100</v>
      </c>
      <c r="G28" s="62" t="n">
        <f t="shared" si="3"/>
        <v>77</v>
      </c>
      <c r="H28" s="58" t="n">
        <f t="shared" si="3"/>
        <v>100</v>
      </c>
      <c r="I28" s="62" t="n">
        <f t="shared" si="3"/>
        <v>525</v>
      </c>
      <c r="J28" s="58" t="n">
        <f t="shared" si="3"/>
        <v>100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8</v>
      </c>
      <c r="H34" s="60" t="n">
        <f t="shared" si="4"/>
        <v>10.388999999999999</v>
      </c>
      <c r="I34" s="12" t="n">
        <f t="shared" si="4"/>
        <v>64</v>
      </c>
      <c r="J34" s="60" t="n">
        <f t="shared" si="4"/>
        <v>12.191000000000001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1</v>
      </c>
      <c r="H35" s="60" t="n">
        <f t="shared" si="5"/>
        <v>1.2989999999999999</v>
      </c>
      <c r="I35" s="12" t="n">
        <f t="shared" si="5"/>
        <v>3</v>
      </c>
      <c r="J35" s="60" t="n">
        <f t="shared" si="5"/>
        <v>0.57099999999999995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1</v>
      </c>
      <c r="F36" s="60" t="n">
        <f t="shared" si="6"/>
        <v>50</v>
      </c>
      <c r="G36" s="12" t="n">
        <f t="shared" si="6"/>
        <v>25</v>
      </c>
      <c r="H36" s="60" t="n">
        <f t="shared" si="6"/>
        <v>32.468000000000004</v>
      </c>
      <c r="I36" s="12" t="n">
        <f t="shared" si="6"/>
        <v>147</v>
      </c>
      <c r="J36" s="60" t="n">
        <f t="shared" si="6"/>
        <v>28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1</v>
      </c>
      <c r="F37" s="63" t="n">
        <f t="shared" si="7"/>
        <v>50</v>
      </c>
      <c r="G37" s="147" t="n">
        <f t="shared" si="7"/>
        <v>43</v>
      </c>
      <c r="H37" s="63" t="n">
        <f t="shared" si="7"/>
        <v>55.843999999999994</v>
      </c>
      <c r="I37" s="147" t="n">
        <f t="shared" si="7"/>
        <v>311</v>
      </c>
      <c r="J37" s="63" t="n">
        <f t="shared" si="7"/>
        <v>59.238</v>
      </c>
      <c r="N37" s="124"/>
    </row>
    <row r="38">
      <c r="C38" s="62" t="s">
        <v>313</v>
      </c>
      <c r="D38" s="62"/>
      <c r="E38" s="62" t="n">
        <f>SUM(E34:E37)</f>
        <v>2</v>
      </c>
      <c r="F38" s="58" t="n">
        <f>SUM(F34:F37)</f>
        <v>100</v>
      </c>
      <c r="G38" s="62" t="n">
        <f>SUM(G34:G37)</f>
        <v>77</v>
      </c>
      <c r="H38" s="58" t="n">
        <f>SUM(H34:H37)</f>
        <v>100</v>
      </c>
      <c r="I38" s="62" t="n">
        <f>SUM(I34:I37)</f>
        <v>525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5</v>
      </c>
      <c r="D43" s="83" t="str">
        <f>INDEX(Questoes!F:F,MATCH(C47,Questoes!J:J,0))</f>
        <v>Avalie os ambientes internos e externos (campi, setores, cursos) que você mais utiliza na UFPR quanto ao(à):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1056</v>
      </c>
      <c r="D47" s="81" t="str">
        <f>VLOOKUP(C47, Questoes!J:K,2, 0)</f>
        <v>Conservação e manutenção das áreas externas (calçadas, vias de acesso, outros)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1056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1056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 dados[ID_PERGUNTA],$C$47,dados[COD_SETOR_CURSO],$C$5)</f>
        <v>2</v>
      </c>
      <c r="H55" s="141" t="n">
        <f t="shared" ref="H55:H60" si="9">ROUND(G55/G$61*100,3)</f>
        <v>2.597</v>
      </c>
      <c r="I55" t="n">
        <f>COUNTIFS(dados[RESPOSTA],C55, dados[ID_PERGUNTA],$C$47,dados[Instituição],$A$2)</f>
        <v>4</v>
      </c>
      <c r="J55" s="141" t="n">
        <f t="shared" ref="J55:J60" si="10">ROUND(I55/I$61*100,3)</f>
        <v>0.76200000000000001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1</v>
      </c>
      <c r="F56" s="141" t="n">
        <f t="shared" si="8"/>
        <v>100</v>
      </c>
      <c r="G56" t="n">
        <f>COUNTIFS(dados[RESPOSTA],C56, dados[ID_PERGUNTA],$C$47,dados[COD_SETOR_CURSO],$C$5)</f>
        <v>14</v>
      </c>
      <c r="H56" s="141" t="n">
        <f t="shared" si="9"/>
        <v>18.181999999999999</v>
      </c>
      <c r="I56" t="n">
        <f>COUNTIFS(dados[RESPOSTA],C56, dados[ID_PERGUNTA],$C$47,dados[Instituição],$A$2)</f>
        <v>100</v>
      </c>
      <c r="J56" s="141" t="n">
        <f t="shared" si="10"/>
        <v>19.047999999999998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n">
        <f t="shared" si="8"/>
        <v>0</v>
      </c>
      <c r="G57" t="n">
        <f>COUNTIFS(dados[RESPOSTA],C57, dados[ID_PERGUNTA],$C$47,dados[COD_SETOR_CURSO],$C$5)</f>
        <v>29</v>
      </c>
      <c r="H57" s="141" t="n">
        <f t="shared" si="9"/>
        <v>37.661999999999999</v>
      </c>
      <c r="I57" t="n">
        <f>COUNTIFS(dados[RESPOSTA],C57, dados[ID_PERGUNTA],$C$47,dados[Instituição],$A$2)</f>
        <v>219</v>
      </c>
      <c r="J57" s="141" t="n">
        <f t="shared" si="10"/>
        <v>41.713999999999999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n">
        <f t="shared" si="8"/>
        <v>0</v>
      </c>
      <c r="G58" t="n">
        <f>COUNTIFS(dados[RESPOSTA],C58, dados[ID_PERGUNTA],$C$47,dados[COD_SETOR_CURSO],$C$5)</f>
        <v>22</v>
      </c>
      <c r="H58" s="141" t="n">
        <f t="shared" si="9"/>
        <v>28.571000000000002</v>
      </c>
      <c r="I58" t="n">
        <f>COUNTIFS(dados[RESPOSTA],C58, dados[ID_PERGUNTA],$C$47,dados[Instituição],$A$2)</f>
        <v>149</v>
      </c>
      <c r="J58" s="141" t="n">
        <f t="shared" si="10"/>
        <v>28.381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8"/>
        <v>0</v>
      </c>
      <c r="G59" t="n">
        <f>COUNTIFS(dados[RESPOSTA],C59, dados[ID_PERGUNTA],$C$47,dados[COD_SETOR_CURSO],$C$5)</f>
        <v>9</v>
      </c>
      <c r="H59" s="141" t="n">
        <f t="shared" si="9"/>
        <v>11.688000000000001</v>
      </c>
      <c r="I59" t="n">
        <f>COUNTIFS(dados[RESPOSTA],C59, dados[ID_PERGUNTA],$C$47,dados[Instituição],$A$2)</f>
        <v>40</v>
      </c>
      <c r="J59" s="141" t="n">
        <f t="shared" si="10"/>
        <v>7.6189999999999998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8"/>
        <v>0</v>
      </c>
      <c r="G60" t="n">
        <f>COUNTIFS(dados[RESPOSTA],C60, dados[ID_PERGUNTA],$C$47,dados[COD_SETOR_CURSO],$C$5)</f>
        <v>1</v>
      </c>
      <c r="H60" s="141" t="n">
        <f t="shared" si="9"/>
        <v>1.2989999999999999</v>
      </c>
      <c r="I60" t="n">
        <f>COUNTIFS(dados[RESPOSTA],C60, dados[ID_PERGUNTA],$C$47,dados[Instituição],$A$2)</f>
        <v>13</v>
      </c>
      <c r="J60" s="141" t="n">
        <f t="shared" si="10"/>
        <v>2.476</v>
      </c>
    </row>
    <row r="61">
      <c r="C61" s="111" t="s">
        <v>313</v>
      </c>
      <c r="D61" s="111"/>
      <c r="E61" s="62" t="n">
        <f t="shared" ref="E61:J61" si="11">SUM(E55:E60)</f>
        <v>1</v>
      </c>
      <c r="F61" s="58" t="n">
        <f t="shared" si="11"/>
        <v>100</v>
      </c>
      <c r="G61" s="62" t="n">
        <f t="shared" si="11"/>
        <v>77</v>
      </c>
      <c r="H61" s="58" t="n">
        <f t="shared" si="11"/>
        <v>99.999000000000009</v>
      </c>
      <c r="I61" s="62" t="n">
        <f t="shared" si="11"/>
        <v>525</v>
      </c>
      <c r="J61" s="58" t="n">
        <f t="shared" si="11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n">
        <f t="shared" si="12"/>
        <v>0</v>
      </c>
      <c r="G67" s="12" t="n">
        <f t="shared" si="12"/>
        <v>10</v>
      </c>
      <c r="H67" s="60" t="n">
        <f t="shared" si="12"/>
        <v>12.987</v>
      </c>
      <c r="I67" s="12" t="n">
        <f t="shared" si="12"/>
        <v>53</v>
      </c>
      <c r="J67" s="60" t="n">
        <f t="shared" si="12"/>
        <v>10.094999999999999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n">
        <f t="shared" si="13"/>
        <v>0</v>
      </c>
      <c r="G68" s="12" t="n">
        <f t="shared" si="13"/>
        <v>2</v>
      </c>
      <c r="H68" s="60" t="n">
        <f t="shared" si="13"/>
        <v>2.597</v>
      </c>
      <c r="I68" s="12" t="n">
        <f t="shared" si="13"/>
        <v>4</v>
      </c>
      <c r="J68" s="60" t="n">
        <f t="shared" si="13"/>
        <v>0.76200000000000001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0</v>
      </c>
      <c r="F69" s="60" t="n">
        <f t="shared" si="14"/>
        <v>0</v>
      </c>
      <c r="G69" s="12" t="n">
        <f t="shared" si="14"/>
        <v>22</v>
      </c>
      <c r="H69" s="60" t="n">
        <f t="shared" si="14"/>
        <v>28.571000000000002</v>
      </c>
      <c r="I69" s="12" t="n">
        <f t="shared" si="14"/>
        <v>149</v>
      </c>
      <c r="J69" s="60" t="n">
        <f t="shared" si="14"/>
        <v>28.381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1</v>
      </c>
      <c r="F70" s="63" t="n">
        <f t="shared" si="15"/>
        <v>100</v>
      </c>
      <c r="G70" s="147" t="n">
        <f t="shared" si="15"/>
        <v>43</v>
      </c>
      <c r="H70" s="63" t="n">
        <f t="shared" si="15"/>
        <v>55.843999999999994</v>
      </c>
      <c r="I70" s="147" t="n">
        <f t="shared" si="15"/>
        <v>319</v>
      </c>
      <c r="J70" s="63" t="n">
        <f t="shared" si="15"/>
        <v>60.762</v>
      </c>
      <c r="N70" s="124"/>
    </row>
    <row r="71" ht="15" customHeight="1">
      <c r="C71" s="62" t="s">
        <v>313</v>
      </c>
      <c r="D71" s="62"/>
      <c r="E71" s="62" t="n">
        <f>SUM(E67:E70)</f>
        <v>1</v>
      </c>
      <c r="F71" s="58" t="n">
        <f>SUM(F67:F70)</f>
        <v>100</v>
      </c>
      <c r="G71" s="62" t="n">
        <f>SUM(G67:G70)</f>
        <v>77</v>
      </c>
      <c r="H71" s="58" t="n">
        <f>SUM(H67:H70)</f>
        <v>99.998999999999995</v>
      </c>
      <c r="I71" s="62" t="n">
        <f>SUM(I67:I70)</f>
        <v>525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6</v>
      </c>
      <c r="D76" s="83" t="str">
        <f>INDEX(Questoes!F:F,MATCH(C80,Questoes!J:J,0))</f>
        <v>Avalie os ambientes internos e externos (campi, setores, cursos) que você mais utiliza na UFPR quanto ao(à):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1057</v>
      </c>
      <c r="D80" s="81" t="str">
        <f>VLOOKUP(C80, Questoes!J:K,2, 0)</f>
        <v>Instalações sanitárias 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1057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1057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n">
        <f t="shared" ref="F88:F93" si="16">ROUND(E88/E$94*100,3)</f>
        <v>0</v>
      </c>
      <c r="G88" t="n">
        <f>COUNTIFS(dados[RESPOSTA],C88, dados[ID_PERGUNTA],$C$80,dados[COD_SETOR_CURSO],$C$5)</f>
        <v>1</v>
      </c>
      <c r="H88" s="141" t="n">
        <f t="shared" ref="H88:H93" si="17">ROUND(G88/$G$94*100,3)</f>
        <v>1.2989999999999999</v>
      </c>
      <c r="I88" t="n">
        <f>COUNTIFS(dados[RESPOSTA],C88, dados[ID_PERGUNTA],$C$80,dados[Instituição],$A$2)</f>
        <v>3</v>
      </c>
      <c r="J88" s="141" t="n">
        <f t="shared" ref="J88:J93" si="18">ROUND(I88/$I$94*100,3)</f>
        <v>0.57299999999999995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1</v>
      </c>
      <c r="F89" s="141" t="n">
        <f t="shared" si="16"/>
        <v>100</v>
      </c>
      <c r="G89" t="n">
        <f>COUNTIFS(dados[RESPOSTA],C89, dados[ID_PERGUNTA],$C$80,dados[COD_SETOR_CURSO],$C$5)</f>
        <v>8</v>
      </c>
      <c r="H89" s="141" t="n">
        <f t="shared" si="17"/>
        <v>10.39</v>
      </c>
      <c r="I89" t="n">
        <f>COUNTIFS(dados[RESPOSTA],C89, dados[ID_PERGUNTA],$C$80,dados[Instituição],$A$2)</f>
        <v>69</v>
      </c>
      <c r="J89" s="141" t="n">
        <f t="shared" si="18"/>
        <v>13.167999999999999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n">
        <f t="shared" si="16"/>
        <v>0</v>
      </c>
      <c r="G90" t="n">
        <f>COUNTIFS(dados[RESPOSTA],C90, dados[ID_PERGUNTA],$C$80,dados[COD_SETOR_CURSO],$C$5)</f>
        <v>19</v>
      </c>
      <c r="H90" s="141" t="n">
        <f t="shared" si="17"/>
        <v>24.675000000000001</v>
      </c>
      <c r="I90" t="n">
        <f>COUNTIFS(dados[RESPOSTA],C90, dados[ID_PERGUNTA],$C$80,dados[Instituição],$A$2)</f>
        <v>159</v>
      </c>
      <c r="J90" s="141" t="n">
        <f t="shared" si="18"/>
        <v>30.344000000000001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n">
        <f t="shared" si="16"/>
        <v>0</v>
      </c>
      <c r="G91" t="n">
        <f>COUNTIFS(dados[RESPOSTA],C91, dados[ID_PERGUNTA],$C$80,dados[COD_SETOR_CURSO],$C$5)</f>
        <v>32</v>
      </c>
      <c r="H91" s="141" t="n">
        <f t="shared" si="17"/>
        <v>41.558</v>
      </c>
      <c r="I91" t="n">
        <f>COUNTIFS(dados[RESPOSTA],C91, dados[ID_PERGUNTA],$C$80,dados[Instituição],$A$2)</f>
        <v>162</v>
      </c>
      <c r="J91" s="141" t="n">
        <f t="shared" si="18"/>
        <v>30.916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n">
        <f t="shared" si="16"/>
        <v>0</v>
      </c>
      <c r="G92" t="n">
        <f>COUNTIFS(dados[RESPOSTA],C92, dados[ID_PERGUNTA],$C$80,dados[COD_SETOR_CURSO],$C$5)</f>
        <v>13</v>
      </c>
      <c r="H92" s="141" t="n">
        <f t="shared" si="17"/>
        <v>16.882999999999999</v>
      </c>
      <c r="I92" t="n">
        <f>COUNTIFS(dados[RESPOSTA],C92, dados[ID_PERGUNTA],$C$80,dados[Instituição],$A$2)</f>
        <v>94</v>
      </c>
      <c r="J92" s="141" t="n">
        <f t="shared" si="18"/>
        <v>17.939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n">
        <f t="shared" si="16"/>
        <v>0</v>
      </c>
      <c r="G93" t="n">
        <f>COUNTIFS(dados[RESPOSTA],C93, dados[ID_PERGUNTA],$C$80,dados[COD_SETOR_CURSO],$C$5)</f>
        <v>4</v>
      </c>
      <c r="H93" s="141" t="n">
        <f t="shared" si="17"/>
        <v>5.1950000000000003</v>
      </c>
      <c r="I93" t="n">
        <f>COUNTIFS(dados[RESPOSTA],C93, dados[ID_PERGUNTA],$C$80,dados[Instituição],$A$2)</f>
        <v>37</v>
      </c>
      <c r="J93" s="141" t="n">
        <f t="shared" si="18"/>
        <v>7.0609999999999999</v>
      </c>
    </row>
    <row r="94">
      <c r="C94" s="111" t="s">
        <v>313</v>
      </c>
      <c r="D94" s="111"/>
      <c r="E94" s="62" t="n">
        <f t="shared" ref="E94:J94" si="19">SUM(E88:E93)</f>
        <v>1</v>
      </c>
      <c r="F94" s="58" t="n">
        <f t="shared" si="19"/>
        <v>100</v>
      </c>
      <c r="G94" s="62" t="n">
        <f t="shared" si="19"/>
        <v>77</v>
      </c>
      <c r="H94" s="58" t="n">
        <f t="shared" si="19"/>
        <v>100</v>
      </c>
      <c r="I94" s="62" t="n">
        <f t="shared" si="19"/>
        <v>524</v>
      </c>
      <c r="J94" s="58" t="n">
        <f t="shared" si="19"/>
        <v>100.001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0">E93+E92</f>
        <v>0</v>
      </c>
      <c r="F100" s="60" t="n">
        <f t="shared" si="20"/>
        <v>0</v>
      </c>
      <c r="G100" s="12" t="n">
        <f t="shared" si="20"/>
        <v>17</v>
      </c>
      <c r="H100" s="60" t="n">
        <f t="shared" si="20"/>
        <v>22.077999999999999</v>
      </c>
      <c r="I100" s="12" t="n">
        <f t="shared" si="20"/>
        <v>131</v>
      </c>
      <c r="J100" s="60" t="n">
        <f t="shared" si="20"/>
        <v>25</v>
      </c>
      <c r="N100" s="124"/>
    </row>
    <row r="101">
      <c r="C101" s="120" t="s">
        <v>402</v>
      </c>
      <c r="D101" s="48" t="s">
        <v>45</v>
      </c>
      <c r="E101" s="12" t="n">
        <f t="shared" ref="E101:J101" si="21">E88</f>
        <v>0</v>
      </c>
      <c r="F101" s="60" t="n">
        <f t="shared" si="21"/>
        <v>0</v>
      </c>
      <c r="G101" s="12" t="n">
        <f t="shared" si="21"/>
        <v>1</v>
      </c>
      <c r="H101" s="60" t="n">
        <f t="shared" si="21"/>
        <v>1.2989999999999999</v>
      </c>
      <c r="I101" s="12" t="n">
        <f t="shared" si="21"/>
        <v>3</v>
      </c>
      <c r="J101" s="60" t="n">
        <f t="shared" si="21"/>
        <v>0.57299999999999995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2">E91</f>
        <v>0</v>
      </c>
      <c r="F102" s="60" t="n">
        <f t="shared" si="22"/>
        <v>0</v>
      </c>
      <c r="G102" s="12" t="n">
        <f t="shared" si="22"/>
        <v>32</v>
      </c>
      <c r="H102" s="60" t="n">
        <f t="shared" si="22"/>
        <v>41.558</v>
      </c>
      <c r="I102" s="12" t="n">
        <f t="shared" si="22"/>
        <v>162</v>
      </c>
      <c r="J102" s="60" t="n">
        <f t="shared" si="22"/>
        <v>30.916</v>
      </c>
      <c r="N102" s="124"/>
    </row>
    <row r="103">
      <c r="C103" s="122" t="s">
        <v>404</v>
      </c>
      <c r="D103" s="48" t="s">
        <v>407</v>
      </c>
      <c r="E103" s="147" t="n">
        <f t="shared" ref="E103:J103" si="23">E90+E89</f>
        <v>1</v>
      </c>
      <c r="F103" s="63" t="n">
        <f t="shared" si="23"/>
        <v>100</v>
      </c>
      <c r="G103" s="147" t="n">
        <f t="shared" si="23"/>
        <v>27</v>
      </c>
      <c r="H103" s="63" t="n">
        <f t="shared" si="23"/>
        <v>35.064999999999998</v>
      </c>
      <c r="I103" s="147" t="n">
        <f t="shared" si="23"/>
        <v>228</v>
      </c>
      <c r="J103" s="63" t="n">
        <f t="shared" si="23"/>
        <v>43.512</v>
      </c>
      <c r="N103" s="124"/>
    </row>
    <row r="104">
      <c r="C104" s="62" t="s">
        <v>313</v>
      </c>
      <c r="D104" s="62"/>
      <c r="E104" s="62" t="n">
        <f>SUM(E100:E103)</f>
        <v>1</v>
      </c>
      <c r="F104" s="58" t="n">
        <f>SUM(F100:F103)</f>
        <v>100</v>
      </c>
      <c r="G104" s="62" t="n">
        <f>SUM(G100:G103)</f>
        <v>77</v>
      </c>
      <c r="H104" s="58" t="n">
        <f>SUM(H100:H103)</f>
        <v>100</v>
      </c>
      <c r="I104" s="62" t="n">
        <f>SUM(I100:I103)</f>
        <v>524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7</v>
      </c>
      <c r="D109" s="83" t="str">
        <f>INDEX(Questoes!F:F,MATCH(C113,Questoes!J:J,0))</f>
        <v>Avalie os ambientes internos e externos (campi, setores, cursos) que você mais utiliza na UFPR quanto ao(à):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1058</v>
      </c>
      <c r="D113" s="81" t="str">
        <f>VLOOKUP(C113, Questoes!J:K,2, 0)</f>
        <v>Acessibilidade (elevadores, rampas de acesso, adequação às demandas de pessoas com deficiência)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1058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1058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dados[ID_PERGUNTA],$C$113,dados[COD_HABILITAÇÃO_CURSO],$C$4)</f>
        <v>0</v>
      </c>
      <c r="F121" s="141" t="n">
        <f t="shared" ref="F121:F126" si="24">ROUND(E121/$E$127*100,3)</f>
        <v>0</v>
      </c>
      <c r="G121" t="n">
        <f>COUNTIFS(dados[RESPOSTA],C121, dados[ID_PERGUNTA],$C$113,dados[COD_SETOR_CURSO],$C$5)</f>
        <v>4</v>
      </c>
      <c r="H121" s="141" t="n">
        <f t="shared" ref="H121:H126" si="25">ROUND(G121/$G$127*100,3)</f>
        <v>5.1950000000000003</v>
      </c>
      <c r="I121" t="n">
        <f>COUNTIFS(dados[RESPOSTA],C121, dados[ID_PERGUNTA],$C$113,dados[Instituição],$A$2)</f>
        <v>31</v>
      </c>
      <c r="J121" s="141" t="n">
        <f t="shared" ref="J121:J126" si="26">ROUND(I121/$I$127*100,3)</f>
        <v>5.9269999999999996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dados[ID_PERGUNTA],$C$113,dados[COD_HABILITAÇÃO_CURSO],$C$4)</f>
        <v>0</v>
      </c>
      <c r="F122" s="141" t="n">
        <f t="shared" si="24"/>
        <v>0</v>
      </c>
      <c r="G122" t="n">
        <f>COUNTIFS(dados[RESPOSTA],C122, dados[ID_PERGUNTA],$C$113,dados[COD_SETOR_CURSO],$C$5)</f>
        <v>9</v>
      </c>
      <c r="H122" s="141" t="n">
        <f t="shared" si="25"/>
        <v>11.688000000000001</v>
      </c>
      <c r="I122" t="n">
        <f>COUNTIFS(dados[RESPOSTA],C122, dados[ID_PERGUNTA],$C$113,dados[Instituição],$A$2)</f>
        <v>70</v>
      </c>
      <c r="J122" s="141" t="n">
        <f t="shared" si="26"/>
        <v>13.384</v>
      </c>
    </row>
    <row r="123">
      <c r="C123" s="77" t="s">
        <v>16</v>
      </c>
      <c r="D123" s="77"/>
      <c r="E123" s="129" t="n">
        <f>COUNTIFS(dados[RESPOSTA],C123, dados[ID_PERGUNTA],$C$113,dados[COD_HABILITAÇÃO_CURSO],$C$4)</f>
        <v>0</v>
      </c>
      <c r="F123" s="141" t="n">
        <f t="shared" si="24"/>
        <v>0</v>
      </c>
      <c r="G123" t="n">
        <f>COUNTIFS(dados[RESPOSTA],C123, dados[ID_PERGUNTA],$C$113,dados[COD_SETOR_CURSO],$C$5)</f>
        <v>27</v>
      </c>
      <c r="H123" s="141" t="n">
        <f t="shared" si="25"/>
        <v>35.064999999999998</v>
      </c>
      <c r="I123" t="n">
        <f>COUNTIFS(dados[RESPOSTA],C123, dados[ID_PERGUNTA],$C$113,dados[Instituição],$A$2)</f>
        <v>142</v>
      </c>
      <c r="J123" s="141" t="n">
        <f t="shared" si="26"/>
        <v>27.151</v>
      </c>
    </row>
    <row r="124">
      <c r="C124" s="77" t="s">
        <v>29</v>
      </c>
      <c r="D124" s="77"/>
      <c r="E124" s="129" t="n">
        <f>COUNTIFS(dados[RESPOSTA],C124, dados[ID_PERGUNTA],$C$113,dados[COD_HABILITAÇÃO_CURSO],$C$4)</f>
        <v>1</v>
      </c>
      <c r="F124" s="141" t="n">
        <f t="shared" si="24"/>
        <v>50</v>
      </c>
      <c r="G124" t="n">
        <f>COUNTIFS(dados[RESPOSTA],C124, dados[ID_PERGUNTA],$C$113,dados[COD_SETOR_CURSO],$C$5)</f>
        <v>20</v>
      </c>
      <c r="H124" s="141" t="n">
        <f t="shared" si="25"/>
        <v>25.974</v>
      </c>
      <c r="I124" t="n">
        <f>COUNTIFS(dados[RESPOSTA],C124, dados[ID_PERGUNTA],$C$113,dados[Instituição],$A$2)</f>
        <v>142</v>
      </c>
      <c r="J124" s="141" t="n">
        <f t="shared" si="26"/>
        <v>27.151</v>
      </c>
    </row>
    <row r="125">
      <c r="C125" s="77" t="s">
        <v>79</v>
      </c>
      <c r="D125" s="77"/>
      <c r="E125" s="129" t="n">
        <f>COUNTIFS(dados[RESPOSTA],C125, dados[ID_PERGUNTA],$C$113,dados[COD_HABILITAÇÃO_CURSO],$C$4)</f>
        <v>1</v>
      </c>
      <c r="F125" s="141" t="n">
        <f t="shared" si="24"/>
        <v>50</v>
      </c>
      <c r="G125" t="n">
        <f>COUNTIFS(dados[RESPOSTA],C125, dados[ID_PERGUNTA],$C$113,dados[COD_SETOR_CURSO],$C$5)</f>
        <v>14</v>
      </c>
      <c r="H125" s="141" t="n">
        <f t="shared" si="25"/>
        <v>18.181999999999999</v>
      </c>
      <c r="I125" t="n">
        <f>COUNTIFS(dados[RESPOSTA],C125, dados[ID_PERGUNTA],$C$113,dados[Instituição],$A$2)</f>
        <v>85</v>
      </c>
      <c r="J125" s="141" t="n">
        <f t="shared" si="26"/>
        <v>16.251999999999999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dados[ID_PERGUNTA],$C$113,dados[COD_HABILITAÇÃO_CURSO],$C$4)</f>
        <v>0</v>
      </c>
      <c r="F126" s="141" t="n">
        <f t="shared" si="24"/>
        <v>0</v>
      </c>
      <c r="G126" t="n">
        <f>COUNTIFS(dados[RESPOSTA],C126, dados[ID_PERGUNTA],$C$113,dados[COD_SETOR_CURSO],$C$5)</f>
        <v>3</v>
      </c>
      <c r="H126" s="141" t="n">
        <f t="shared" si="25"/>
        <v>3.8959999999999999</v>
      </c>
      <c r="I126" t="n">
        <f>COUNTIFS(dados[RESPOSTA],C126, dados[ID_PERGUNTA],$C$113,dados[Instituição],$A$2)</f>
        <v>53</v>
      </c>
      <c r="J126" s="141" t="n">
        <f t="shared" si="26"/>
        <v>10.134</v>
      </c>
    </row>
    <row r="127">
      <c r="C127" s="111" t="s">
        <v>313</v>
      </c>
      <c r="D127" s="111"/>
      <c r="E127" s="62" t="n">
        <f t="shared" ref="E127:J127" si="27">SUM(E121:E126)</f>
        <v>2</v>
      </c>
      <c r="F127" s="58" t="n">
        <f t="shared" si="27"/>
        <v>100</v>
      </c>
      <c r="G127" s="62" t="n">
        <f t="shared" si="27"/>
        <v>77</v>
      </c>
      <c r="H127" s="58" t="n">
        <f t="shared" si="27"/>
        <v>100</v>
      </c>
      <c r="I127" s="62" t="n">
        <f t="shared" si="27"/>
        <v>523</v>
      </c>
      <c r="J127" s="58" t="n">
        <f t="shared" si="27"/>
        <v>99.998999999999995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8">E126+E125</f>
        <v>1</v>
      </c>
      <c r="F133" s="60" t="n">
        <f t="shared" si="28"/>
        <v>50</v>
      </c>
      <c r="G133" s="12" t="n">
        <f t="shared" si="28"/>
        <v>17</v>
      </c>
      <c r="H133" s="60" t="n">
        <f t="shared" si="28"/>
        <v>22.077999999999999</v>
      </c>
      <c r="I133" s="12" t="n">
        <f t="shared" si="28"/>
        <v>138</v>
      </c>
      <c r="J133" s="60" t="n">
        <f t="shared" si="28"/>
        <v>26.385999999999999</v>
      </c>
      <c r="N133" s="124"/>
    </row>
    <row r="134">
      <c r="C134" s="120" t="s">
        <v>402</v>
      </c>
      <c r="D134" s="48" t="s">
        <v>45</v>
      </c>
      <c r="E134" s="12" t="n">
        <f t="shared" ref="E134:J134" si="29">E121</f>
        <v>0</v>
      </c>
      <c r="F134" s="60" t="n">
        <f t="shared" si="29"/>
        <v>0</v>
      </c>
      <c r="G134" s="12" t="n">
        <f t="shared" si="29"/>
        <v>4</v>
      </c>
      <c r="H134" s="60" t="n">
        <f t="shared" si="29"/>
        <v>5.1950000000000003</v>
      </c>
      <c r="I134" s="12" t="n">
        <f t="shared" si="29"/>
        <v>31</v>
      </c>
      <c r="J134" s="60" t="n">
        <f t="shared" si="29"/>
        <v>5.9269999999999996</v>
      </c>
      <c r="N134" s="124"/>
    </row>
    <row r="135">
      <c r="C135" s="121" t="s">
        <v>403</v>
      </c>
      <c r="D135" s="48" t="s">
        <v>29</v>
      </c>
      <c r="E135" s="12" t="n">
        <f t="shared" ref="E135:J135" si="30">E124</f>
        <v>1</v>
      </c>
      <c r="F135" s="60" t="n">
        <f t="shared" si="30"/>
        <v>50</v>
      </c>
      <c r="G135" s="12" t="n">
        <f t="shared" si="30"/>
        <v>20</v>
      </c>
      <c r="H135" s="60" t="n">
        <f t="shared" si="30"/>
        <v>25.974</v>
      </c>
      <c r="I135" s="12" t="n">
        <f t="shared" si="30"/>
        <v>142</v>
      </c>
      <c r="J135" s="60" t="n">
        <f t="shared" si="30"/>
        <v>27.151</v>
      </c>
      <c r="N135" s="124"/>
    </row>
    <row r="136">
      <c r="C136" s="122" t="s">
        <v>404</v>
      </c>
      <c r="D136" s="48" t="s">
        <v>407</v>
      </c>
      <c r="E136" s="147" t="n">
        <f t="shared" ref="E136:J136" si="31">E123+E122</f>
        <v>0</v>
      </c>
      <c r="F136" s="63" t="n">
        <f t="shared" si="31"/>
        <v>0</v>
      </c>
      <c r="G136" s="147" t="n">
        <f t="shared" si="31"/>
        <v>36</v>
      </c>
      <c r="H136" s="63" t="n">
        <f t="shared" si="31"/>
        <v>46.753</v>
      </c>
      <c r="I136" s="147" t="n">
        <f t="shared" si="31"/>
        <v>212</v>
      </c>
      <c r="J136" s="63" t="n">
        <f t="shared" si="31"/>
        <v>40.534999999999997</v>
      </c>
      <c r="N136" s="124"/>
    </row>
    <row r="137">
      <c r="C137" s="62" t="s">
        <v>313</v>
      </c>
      <c r="D137" s="62"/>
      <c r="E137" s="62" t="n">
        <f>SUM(E133:E136)</f>
        <v>2</v>
      </c>
      <c r="F137" s="58" t="n">
        <f>ROUND(SUM(F133:F136),2)</f>
        <v>100</v>
      </c>
      <c r="G137" s="62" t="n">
        <f>SUM(G133:G136)</f>
        <v>77</v>
      </c>
      <c r="H137" s="58" t="n">
        <f>SUM(H133:H136)</f>
        <v>100</v>
      </c>
      <c r="I137" s="62" t="n">
        <f>SUM(I133:I136)</f>
        <v>523</v>
      </c>
      <c r="J137" s="58" t="n">
        <f>ROUND(SUM(J133:J136),2)</f>
        <v>100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</sheetData>
  <sheetProtection password="C2D7" sheet="1"/>
  <mergeCells count="12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436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INDEX(Questoes!E:E,MATCH('SERVIÇOS TERCEIRIZADOS'!C14,Questoes!J:J,0))</f>
        <v>SERVIÇOS TERCEIRIZADOS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8</v>
      </c>
      <c r="D10" s="83" t="str">
        <f>INDEX(Questoes!F:F,MATCH(C14,Questoes!J:J,0))</f>
        <v> Avalie os seguintes itens sobre os serviços terceirizados dos ambientes da UFPR que você mais frequenta: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1059</v>
      </c>
      <c r="D14" s="81" t="str">
        <f>VLOOKUP(C14, Questoes!J:K,2, 0)</f>
        <v>Qualidade dos serviços de limpeza e higiene dos ambientes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92" t="s">
        <v>424</v>
      </c>
      <c r="D19" s="193"/>
      <c r="E19" s="193"/>
      <c r="F19" s="193"/>
      <c r="G19" s="193"/>
      <c r="H19" s="193"/>
      <c r="I19" s="193"/>
      <c r="J19" s="194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1" t="s">
        <v>418</v>
      </c>
      <c r="F20" s="71"/>
      <c r="G20" s="72" t="s">
        <v>419</v>
      </c>
      <c r="H20" s="72"/>
      <c r="I20" s="73" t="s">
        <v>21</v>
      </c>
      <c r="J20" s="73"/>
      <c r="L20" s="159" t="s">
        <v>422</v>
      </c>
      <c r="M20" s="195" t="n">
        <f>C14</f>
        <v>1059</v>
      </c>
      <c r="N20" s="196"/>
      <c r="O20" s="197"/>
      <c r="P20" s="117"/>
      <c r="Q20" s="198" t="str">
        <f>L20</f>
        <v>Questão</v>
      </c>
      <c r="R20" s="199"/>
      <c r="S20" s="200"/>
      <c r="T20" s="201" t="n">
        <f>M20</f>
        <v>1059</v>
      </c>
      <c r="U20" s="202"/>
      <c r="V20" s="202"/>
      <c r="W20" s="203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109" t="s">
        <v>45</v>
      </c>
      <c r="D22" s="109"/>
      <c r="E22" s="129" t="n">
        <f>COUNTIFS(dados[RESPOSTA],C22, dados[ID_PERGUNTA],$C$14,dados[COD_HABILITAÇÃO_CURSO],$C$4)</f>
        <v>0</v>
      </c>
      <c r="F22" s="141" t="e">
        <f t="shared" ref="F22:F27" si="0">ROUND(E22/E$28*100,3)</f>
        <v>#DIV/0!</v>
      </c>
      <c r="G22" t="n">
        <f>COUNTIFS(dados[RESPOSTA],C22, dados[ID_PERGUNTA],$C$14,dados[COD_SETOR_CURSO],$C$5)</f>
        <v>1</v>
      </c>
      <c r="H22" s="141" t="n">
        <f t="shared" ref="H22:H27" si="1">ROUND(G22/G$28*100,3)</f>
        <v>1.351</v>
      </c>
      <c r="I22" t="n">
        <f>COUNTIFS(dados[RESPOSTA],C22, dados[ID_PERGUNTA],$C$14,dados[Instituição],$A$2)</f>
        <v>4</v>
      </c>
      <c r="J22" s="141" t="n">
        <f t="shared" ref="J22:J27" si="2">ROUND(I22/I$28*100,3)</f>
        <v>0.77700000000000002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e">
        <f t="shared" si="0"/>
        <v>#DIV/0!</v>
      </c>
      <c r="G23" t="n">
        <f>COUNTIFS(dados[RESPOSTA],C23, dados[ID_PERGUNTA],$C$14,dados[COD_SETOR_CURSO],$C$5)</f>
        <v>32</v>
      </c>
      <c r="H23" s="141" t="n">
        <f t="shared" si="1"/>
        <v>43.243000000000002</v>
      </c>
      <c r="I23" t="n">
        <f>COUNTIFS(dados[RESPOSTA],C23, dados[ID_PERGUNTA],$C$14,dados[Instituição],$A$2)</f>
        <v>219</v>
      </c>
      <c r="J23" s="141" t="n">
        <f t="shared" si="2"/>
        <v>42.524000000000001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e">
        <f t="shared" si="0"/>
        <v>#DIV/0!</v>
      </c>
      <c r="G24" t="n">
        <f>COUNTIFS(dados[RESPOSTA],C24, dados[ID_PERGUNTA],$C$14,dados[COD_SETOR_CURSO],$C$5)</f>
        <v>33</v>
      </c>
      <c r="H24" s="141" t="n">
        <f t="shared" si="1"/>
        <v>44.594999999999999</v>
      </c>
      <c r="I24" t="n">
        <f>COUNTIFS(dados[RESPOSTA],C24, dados[ID_PERGUNTA],$C$14,dados[Instituição],$A$2)</f>
        <v>219</v>
      </c>
      <c r="J24" s="141" t="n">
        <f t="shared" si="2"/>
        <v>42.524000000000001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e">
        <f t="shared" si="0"/>
        <v>#DIV/0!</v>
      </c>
      <c r="G25" t="n">
        <f>COUNTIFS(dados[RESPOSTA],C25, dados[ID_PERGUNTA],$C$14,dados[COD_SETOR_CURSO],$C$5)</f>
        <v>8</v>
      </c>
      <c r="H25" s="141" t="n">
        <f t="shared" si="1"/>
        <v>10.811</v>
      </c>
      <c r="I25" t="n">
        <f>COUNTIFS(dados[RESPOSTA],C25, dados[ID_PERGUNTA],$C$14,dados[Instituição],$A$2)</f>
        <v>62</v>
      </c>
      <c r="J25" s="141" t="n">
        <f t="shared" si="2"/>
        <v>12.039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e">
        <f t="shared" si="0"/>
        <v>#DIV/0!</v>
      </c>
      <c r="G26" t="n">
        <f>COUNTIFS(dados[RESPOSTA],C26, dados[ID_PERGUNTA],$C$14,dados[COD_SETOR_CURSO],$C$5)</f>
        <v>0</v>
      </c>
      <c r="H26" s="141" t="n">
        <f t="shared" si="1"/>
        <v>0</v>
      </c>
      <c r="I26" t="n">
        <f>COUNTIFS(dados[RESPOSTA],C26, dados[ID_PERGUNTA],$C$14,dados[Instituição],$A$2)</f>
        <v>9</v>
      </c>
      <c r="J26" s="141" t="n">
        <f t="shared" si="2"/>
        <v>1.748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8" t="s">
        <v>80</v>
      </c>
      <c r="D27" s="78"/>
      <c r="E27" s="129" t="n">
        <f>COUNTIFS(dados[RESPOSTA],C27, dados[ID_PERGUNTA],$C$14,dados[COD_HABILITAÇÃO_CURSO],$C$4)</f>
        <v>0</v>
      </c>
      <c r="F27" s="141" t="e">
        <f t="shared" si="0"/>
        <v>#DIV/0!</v>
      </c>
      <c r="G27" t="n">
        <f>COUNTIFS(dados[RESPOSTA],C27, dados[ID_PERGUNTA],$C$14,dados[COD_SETOR_CURSO],$C$5)</f>
        <v>0</v>
      </c>
      <c r="H27" s="141" t="n">
        <f t="shared" si="1"/>
        <v>0</v>
      </c>
      <c r="I27" t="n">
        <f>COUNTIFS(dados[RESPOSTA],C27, dados[ID_PERGUNTA],$C$14,dados[Instituição],$A$2)</f>
        <v>2</v>
      </c>
      <c r="J27" s="141" t="n">
        <f t="shared" si="2"/>
        <v>0.38800000000000001</v>
      </c>
    </row>
    <row r="28">
      <c r="C28" s="111" t="s">
        <v>313</v>
      </c>
      <c r="D28" s="111"/>
      <c r="E28" s="62" t="n">
        <f t="shared" ref="E28:J28" si="3">SUM(E22:E27)</f>
        <v>0</v>
      </c>
      <c r="F28" s="58" t="e">
        <f t="shared" si="3"/>
        <v>#DIV/0!</v>
      </c>
      <c r="G28" s="62" t="n">
        <f t="shared" si="3"/>
        <v>74</v>
      </c>
      <c r="H28" s="58" t="n">
        <f t="shared" si="3"/>
        <v>100</v>
      </c>
      <c r="I28" s="62" t="n">
        <f t="shared" si="3"/>
        <v>515</v>
      </c>
      <c r="J28" s="58" t="n">
        <f t="shared" si="3"/>
        <v>100.00000000000001</v>
      </c>
    </row>
    <row r="31">
      <c r="C31" s="192" t="s">
        <v>427</v>
      </c>
      <c r="D31" s="193"/>
      <c r="E31" s="193"/>
      <c r="F31" s="193"/>
      <c r="G31" s="193"/>
      <c r="H31" s="193"/>
      <c r="I31" s="193"/>
      <c r="J31" s="194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e">
        <f t="shared" si="4"/>
        <v>#DIV/0!</v>
      </c>
      <c r="G34" s="12" t="n">
        <f t="shared" si="4"/>
        <v>0</v>
      </c>
      <c r="H34" s="60" t="n">
        <f t="shared" si="4"/>
        <v>0</v>
      </c>
      <c r="I34" s="12" t="n">
        <f t="shared" si="4"/>
        <v>11</v>
      </c>
      <c r="J34" s="60" t="n">
        <f t="shared" si="4"/>
        <v>2.1360000000000001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e">
        <f t="shared" si="5"/>
        <v>#DIV/0!</v>
      </c>
      <c r="G35" s="12" t="n">
        <f t="shared" si="5"/>
        <v>1</v>
      </c>
      <c r="H35" s="60" t="n">
        <f t="shared" si="5"/>
        <v>1.351</v>
      </c>
      <c r="I35" s="12" t="n">
        <f t="shared" si="5"/>
        <v>4</v>
      </c>
      <c r="J35" s="60" t="n">
        <f t="shared" si="5"/>
        <v>0.77700000000000002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0</v>
      </c>
      <c r="F36" s="60" t="e">
        <f t="shared" si="6"/>
        <v>#DIV/0!</v>
      </c>
      <c r="G36" s="12" t="n">
        <f t="shared" si="6"/>
        <v>8</v>
      </c>
      <c r="H36" s="60" t="n">
        <f t="shared" si="6"/>
        <v>10.811</v>
      </c>
      <c r="I36" s="12" t="n">
        <f t="shared" si="6"/>
        <v>62</v>
      </c>
      <c r="J36" s="60" t="n">
        <f t="shared" si="6"/>
        <v>12.039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0</v>
      </c>
      <c r="F37" s="63" t="e">
        <f t="shared" si="7"/>
        <v>#DIV/0!</v>
      </c>
      <c r="G37" s="147" t="n">
        <f t="shared" si="7"/>
        <v>65</v>
      </c>
      <c r="H37" s="63" t="n">
        <f t="shared" si="7"/>
        <v>87.837999999999994</v>
      </c>
      <c r="I37" s="147" t="n">
        <f t="shared" si="7"/>
        <v>438</v>
      </c>
      <c r="J37" s="63" t="n">
        <f t="shared" si="7"/>
        <v>85.048000000000002</v>
      </c>
      <c r="N37" s="124"/>
    </row>
    <row r="38">
      <c r="C38" s="62" t="s">
        <v>313</v>
      </c>
      <c r="D38" s="62"/>
      <c r="E38" s="62" t="n">
        <f>SUM(E34:E37)</f>
        <v>0</v>
      </c>
      <c r="F38" s="58" t="e">
        <f>SUM(F34:F37)</f>
        <v>#DIV/0!</v>
      </c>
      <c r="G38" s="62" t="n">
        <f>SUM(G34:G37)</f>
        <v>74</v>
      </c>
      <c r="H38" s="58" t="n">
        <f>SUM(H34:H37)</f>
        <v>100</v>
      </c>
      <c r="I38" s="62" t="n">
        <f>SUM(I34:I37)</f>
        <v>515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9</v>
      </c>
      <c r="D43" s="83" t="str">
        <f>INDEX(Questoes!F:F,MATCH(C47,Questoes!J:J,0))</f>
        <v> Avalie os seguintes itens sobre os serviços terceirizados dos ambientes da UFPR que você mais frequenta: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1060</v>
      </c>
      <c r="D47" s="81" t="str">
        <f>VLOOKUP(C47, Questoes!J:K,2, 0)</f>
        <v>Qualidade dos serviços de manutenção dos ambientes internos e externos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1060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1060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e">
        <f t="shared" ref="F55:F60" si="8">ROUND(E55/E$61*100,3)</f>
        <v>#DIV/0!</v>
      </c>
      <c r="G55" t="n">
        <f>COUNTIFS(dados[RESPOSTA],C55, dados[ID_PERGUNTA],$C$47,dados[COD_SETOR_CURSO],$C$5)</f>
        <v>2</v>
      </c>
      <c r="H55" s="141" t="n">
        <f t="shared" ref="H55:H60" si="9">ROUND(G55/G$61*100,3)</f>
        <v>2.7029999999999998</v>
      </c>
      <c r="I55" t="n">
        <f>COUNTIFS(dados[RESPOSTA],C55, dados[ID_PERGUNTA],$C$47,dados[Instituição],$A$2)</f>
        <v>12</v>
      </c>
      <c r="J55" s="141" t="n">
        <f t="shared" ref="J55:J60" si="10">ROUND(I55/I$61*100,3)</f>
        <v>2.33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e">
        <f t="shared" si="8"/>
        <v>#DIV/0!</v>
      </c>
      <c r="G56" t="n">
        <f>COUNTIFS(dados[RESPOSTA],C56, dados[ID_PERGUNTA],$C$47,dados[COD_SETOR_CURSO],$C$5)</f>
        <v>19</v>
      </c>
      <c r="H56" s="141" t="n">
        <f t="shared" si="9"/>
        <v>25.675999999999998</v>
      </c>
      <c r="I56" t="n">
        <f>COUNTIFS(dados[RESPOSTA],C56, dados[ID_PERGUNTA],$C$47,dados[Instituição],$A$2)</f>
        <v>143</v>
      </c>
      <c r="J56" s="141" t="n">
        <f t="shared" si="10"/>
        <v>27.766999999999999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e">
        <f t="shared" si="8"/>
        <v>#DIV/0!</v>
      </c>
      <c r="G57" t="n">
        <f>COUNTIFS(dados[RESPOSTA],C57, dados[ID_PERGUNTA],$C$47,dados[COD_SETOR_CURSO],$C$5)</f>
        <v>40</v>
      </c>
      <c r="H57" s="141" t="n">
        <f t="shared" si="9"/>
        <v>54.054000000000002</v>
      </c>
      <c r="I57" t="n">
        <f>COUNTIFS(dados[RESPOSTA],C57, dados[ID_PERGUNTA],$C$47,dados[Instituição],$A$2)</f>
        <v>237</v>
      </c>
      <c r="J57" s="141" t="n">
        <f t="shared" si="10"/>
        <v>46.018999999999998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e">
        <f t="shared" si="8"/>
        <v>#DIV/0!</v>
      </c>
      <c r="G58" t="n">
        <f>COUNTIFS(dados[RESPOSTA],C58, dados[ID_PERGUNTA],$C$47,dados[COD_SETOR_CURSO],$C$5)</f>
        <v>12</v>
      </c>
      <c r="H58" s="141" t="n">
        <f t="shared" si="9"/>
        <v>16.216000000000001</v>
      </c>
      <c r="I58" t="n">
        <f>COUNTIFS(dados[RESPOSTA],C58, dados[ID_PERGUNTA],$C$47,dados[Instituição],$A$2)</f>
        <v>94</v>
      </c>
      <c r="J58" s="141" t="n">
        <f t="shared" si="10"/>
        <v>18.251999999999999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e">
        <f t="shared" si="8"/>
        <v>#DIV/0!</v>
      </c>
      <c r="G59" t="n">
        <f>COUNTIFS(dados[RESPOSTA],C59, dados[ID_PERGUNTA],$C$47,dados[COD_SETOR_CURSO],$C$5)</f>
        <v>1</v>
      </c>
      <c r="H59" s="141" t="n">
        <f t="shared" si="9"/>
        <v>1.351</v>
      </c>
      <c r="I59" t="n">
        <f>COUNTIFS(dados[RESPOSTA],C59, dados[ID_PERGUNTA],$C$47,dados[Instituição],$A$2)</f>
        <v>22</v>
      </c>
      <c r="J59" s="141" t="n">
        <f t="shared" si="10"/>
        <v>4.2720000000000002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e">
        <f t="shared" si="8"/>
        <v>#DIV/0!</v>
      </c>
      <c r="G60" t="n">
        <f>COUNTIFS(dados[RESPOSTA],C60, dados[ID_PERGUNTA],$C$47,dados[COD_SETOR_CURSO],$C$5)</f>
        <v>0</v>
      </c>
      <c r="H60" s="141" t="n">
        <f t="shared" si="9"/>
        <v>0</v>
      </c>
      <c r="I60" t="n">
        <f>COUNTIFS(dados[RESPOSTA],C60, dados[ID_PERGUNTA],$C$47,dados[Instituição],$A$2)</f>
        <v>7</v>
      </c>
      <c r="J60" s="141" t="n">
        <f t="shared" si="10"/>
        <v>1.359</v>
      </c>
    </row>
    <row r="61">
      <c r="C61" s="111" t="s">
        <v>313</v>
      </c>
      <c r="D61" s="111"/>
      <c r="E61" s="62" t="n">
        <f t="shared" ref="E61:J61" si="11">SUM(E55:E60)</f>
        <v>0</v>
      </c>
      <c r="F61" s="58" t="e">
        <f t="shared" si="11"/>
        <v>#DIV/0!</v>
      </c>
      <c r="G61" s="62" t="n">
        <f t="shared" si="11"/>
        <v>74</v>
      </c>
      <c r="H61" s="58" t="n">
        <f t="shared" si="11"/>
        <v>100</v>
      </c>
      <c r="I61" s="62" t="n">
        <f t="shared" si="11"/>
        <v>515</v>
      </c>
      <c r="J61" s="58" t="n">
        <f t="shared" si="11"/>
        <v>99.998999999999995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e">
        <f t="shared" si="12"/>
        <v>#DIV/0!</v>
      </c>
      <c r="G67" s="12" t="n">
        <f t="shared" si="12"/>
        <v>1</v>
      </c>
      <c r="H67" s="60" t="n">
        <f t="shared" si="12"/>
        <v>1.351</v>
      </c>
      <c r="I67" s="12" t="n">
        <f t="shared" si="12"/>
        <v>29</v>
      </c>
      <c r="J67" s="60" t="n">
        <f t="shared" si="12"/>
        <v>5.6310000000000002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e">
        <f t="shared" si="13"/>
        <v>#DIV/0!</v>
      </c>
      <c r="G68" s="12" t="n">
        <f t="shared" si="13"/>
        <v>2</v>
      </c>
      <c r="H68" s="60" t="n">
        <f t="shared" si="13"/>
        <v>2.7029999999999998</v>
      </c>
      <c r="I68" s="12" t="n">
        <f t="shared" si="13"/>
        <v>12</v>
      </c>
      <c r="J68" s="60" t="n">
        <f t="shared" si="13"/>
        <v>2.33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0</v>
      </c>
      <c r="F69" s="60" t="e">
        <f t="shared" si="14"/>
        <v>#DIV/0!</v>
      </c>
      <c r="G69" s="12" t="n">
        <f t="shared" si="14"/>
        <v>12</v>
      </c>
      <c r="H69" s="60" t="n">
        <f t="shared" si="14"/>
        <v>16.216000000000001</v>
      </c>
      <c r="I69" s="12" t="n">
        <f t="shared" si="14"/>
        <v>94</v>
      </c>
      <c r="J69" s="60" t="n">
        <f t="shared" si="14"/>
        <v>18.251999999999999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0</v>
      </c>
      <c r="F70" s="63" t="e">
        <f t="shared" si="15"/>
        <v>#DIV/0!</v>
      </c>
      <c r="G70" s="147" t="n">
        <f t="shared" si="15"/>
        <v>59</v>
      </c>
      <c r="H70" s="63" t="n">
        <f t="shared" si="15"/>
        <v>79.73</v>
      </c>
      <c r="I70" s="147" t="n">
        <f t="shared" si="15"/>
        <v>380</v>
      </c>
      <c r="J70" s="63" t="n">
        <f t="shared" si="15"/>
        <v>73.786000000000001</v>
      </c>
      <c r="N70" s="124"/>
    </row>
    <row r="71" ht="15" customHeight="1">
      <c r="C71" s="62" t="s">
        <v>313</v>
      </c>
      <c r="D71" s="62"/>
      <c r="E71" s="62" t="n">
        <f>SUM(E67:E70)</f>
        <v>0</v>
      </c>
      <c r="F71" s="58" t="e">
        <f>SUM(F67:F70)</f>
        <v>#DIV/0!</v>
      </c>
      <c r="G71" s="62" t="n">
        <f>SUM(G67:G70)</f>
        <v>74</v>
      </c>
      <c r="H71" s="58" t="n">
        <f>SUM(H67:H70)</f>
        <v>100</v>
      </c>
      <c r="I71" s="62" t="n">
        <f>SUM(I67:I70)</f>
        <v>515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10</v>
      </c>
      <c r="D76" s="83" t="str">
        <f>INDEX(Questoes!F:F,MATCH(C80,Questoes!J:J,0))</f>
        <v> Avalie os seguintes itens sobre os serviços terceirizados dos ambientes da UFPR que você mais frequenta: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1061</v>
      </c>
      <c r="D80" s="81" t="str">
        <f>VLOOKUP(C80, Questoes!J:K,2, 0)</f>
        <v>Qualidade do atendimento nos restaurantes universitários 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1061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1061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n">
        <f t="shared" ref="F88:F93" si="16">ROUND(E88/E$94*100,3)</f>
        <v>0</v>
      </c>
      <c r="G88" t="n">
        <f>COUNTIFS(dados[RESPOSTA],C88, dados[ID_PERGUNTA],$C$80,dados[COD_SETOR_CURSO],$C$5)</f>
        <v>8</v>
      </c>
      <c r="H88" s="141" t="n">
        <f t="shared" ref="H88:H93" si="17">ROUND(G88/$G$94*100,3)</f>
        <v>10.959</v>
      </c>
      <c r="I88" t="n">
        <f>COUNTIFS(dados[RESPOSTA],C88, dados[ID_PERGUNTA],$C$80,dados[Instituição],$A$2)</f>
        <v>44</v>
      </c>
      <c r="J88" s="141" t="n">
        <f t="shared" ref="J88:J93" si="18">ROUND(I88/$I$94*100,3)</f>
        <v>8.5440000000000005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1</v>
      </c>
      <c r="F89" s="141" t="n">
        <f t="shared" si="16"/>
        <v>100</v>
      </c>
      <c r="G89" t="n">
        <f>COUNTIFS(dados[RESPOSTA],C89, dados[ID_PERGUNTA],$C$80,dados[COD_SETOR_CURSO],$C$5)</f>
        <v>32</v>
      </c>
      <c r="H89" s="141" t="n">
        <f t="shared" si="17"/>
        <v>43.835999999999999</v>
      </c>
      <c r="I89" t="n">
        <f>COUNTIFS(dados[RESPOSTA],C89, dados[ID_PERGUNTA],$C$80,dados[Instituição],$A$2)</f>
        <v>250</v>
      </c>
      <c r="J89" s="141" t="n">
        <f t="shared" si="18"/>
        <v>48.543999999999997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n">
        <f t="shared" si="16"/>
        <v>0</v>
      </c>
      <c r="G90" t="n">
        <f>COUNTIFS(dados[RESPOSTA],C90, dados[ID_PERGUNTA],$C$80,dados[COD_SETOR_CURSO],$C$5)</f>
        <v>19</v>
      </c>
      <c r="H90" s="141" t="n">
        <f t="shared" si="17"/>
        <v>26.027000000000001</v>
      </c>
      <c r="I90" t="n">
        <f>COUNTIFS(dados[RESPOSTA],C90, dados[ID_PERGUNTA],$C$80,dados[Instituição],$A$2)</f>
        <v>153</v>
      </c>
      <c r="J90" s="141" t="n">
        <f t="shared" si="18"/>
        <v>29.709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n">
        <f t="shared" si="16"/>
        <v>0</v>
      </c>
      <c r="G91" t="n">
        <f>COUNTIFS(dados[RESPOSTA],C91, dados[ID_PERGUNTA],$C$80,dados[COD_SETOR_CURSO],$C$5)</f>
        <v>9</v>
      </c>
      <c r="H91" s="141" t="n">
        <f t="shared" si="17"/>
        <v>12.329000000000001</v>
      </c>
      <c r="I91" t="n">
        <f>COUNTIFS(dados[RESPOSTA],C91, dados[ID_PERGUNTA],$C$80,dados[Instituição],$A$2)</f>
        <v>53</v>
      </c>
      <c r="J91" s="141" t="n">
        <f t="shared" si="18"/>
        <v>10.291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n">
        <f t="shared" si="16"/>
        <v>0</v>
      </c>
      <c r="G92" t="n">
        <f>COUNTIFS(dados[RESPOSTA],C92, dados[ID_PERGUNTA],$C$80,dados[COD_SETOR_CURSO],$C$5)</f>
        <v>3</v>
      </c>
      <c r="H92" s="141" t="n">
        <f t="shared" si="17"/>
        <v>4.1100000000000003</v>
      </c>
      <c r="I92" t="n">
        <f>COUNTIFS(dados[RESPOSTA],C92, dados[ID_PERGUNTA],$C$80,dados[Instituição],$A$2)</f>
        <v>7</v>
      </c>
      <c r="J92" s="141" t="n">
        <f t="shared" si="18"/>
        <v>1.359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n">
        <f t="shared" si="16"/>
        <v>0</v>
      </c>
      <c r="G93" t="n">
        <f>COUNTIFS(dados[RESPOSTA],C93, dados[ID_PERGUNTA],$C$80,dados[COD_SETOR_CURSO],$C$5)</f>
        <v>2</v>
      </c>
      <c r="H93" s="141" t="n">
        <f t="shared" si="17"/>
        <v>2.74</v>
      </c>
      <c r="I93" t="n">
        <f>COUNTIFS(dados[RESPOSTA],C93, dados[ID_PERGUNTA],$C$80,dados[Instituição],$A$2)</f>
        <v>8</v>
      </c>
      <c r="J93" s="141" t="n">
        <f t="shared" si="18"/>
        <v>1.5529999999999999</v>
      </c>
    </row>
    <row r="94">
      <c r="C94" s="111" t="s">
        <v>313</v>
      </c>
      <c r="D94" s="111"/>
      <c r="E94" s="62" t="n">
        <f t="shared" ref="E94:J94" si="19">SUM(E88:E93)</f>
        <v>1</v>
      </c>
      <c r="F94" s="58" t="n">
        <f t="shared" si="19"/>
        <v>100</v>
      </c>
      <c r="G94" s="62" t="n">
        <f t="shared" si="19"/>
        <v>73</v>
      </c>
      <c r="H94" s="58" t="n">
        <f t="shared" si="19"/>
        <v>100.001</v>
      </c>
      <c r="I94" s="62" t="n">
        <f t="shared" si="19"/>
        <v>515</v>
      </c>
      <c r="J94" s="58" t="n">
        <f t="shared" si="19"/>
        <v>99.999999999999986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0">E93+E92</f>
        <v>0</v>
      </c>
      <c r="F100" s="60" t="n">
        <f t="shared" si="20"/>
        <v>0</v>
      </c>
      <c r="G100" s="12" t="n">
        <f t="shared" si="20"/>
        <v>5</v>
      </c>
      <c r="H100" s="60" t="n">
        <f t="shared" si="20"/>
        <v>6.8500000000000005</v>
      </c>
      <c r="I100" s="12" t="n">
        <f t="shared" si="20"/>
        <v>15</v>
      </c>
      <c r="J100" s="60" t="n">
        <f t="shared" si="20"/>
        <v>2.9119999999999999</v>
      </c>
      <c r="N100" s="124"/>
    </row>
    <row r="101">
      <c r="C101" s="120" t="s">
        <v>402</v>
      </c>
      <c r="D101" s="48" t="s">
        <v>45</v>
      </c>
      <c r="E101" s="12" t="n">
        <f t="shared" ref="E101:J101" si="21">E88</f>
        <v>0</v>
      </c>
      <c r="F101" s="60" t="n">
        <f t="shared" si="21"/>
        <v>0</v>
      </c>
      <c r="G101" s="12" t="n">
        <f t="shared" si="21"/>
        <v>8</v>
      </c>
      <c r="H101" s="60" t="n">
        <f t="shared" si="21"/>
        <v>10.959</v>
      </c>
      <c r="I101" s="12" t="n">
        <f t="shared" si="21"/>
        <v>44</v>
      </c>
      <c r="J101" s="60" t="n">
        <f t="shared" si="21"/>
        <v>8.5440000000000005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2">E91</f>
        <v>0</v>
      </c>
      <c r="F102" s="60" t="n">
        <f t="shared" si="22"/>
        <v>0</v>
      </c>
      <c r="G102" s="12" t="n">
        <f t="shared" si="22"/>
        <v>9</v>
      </c>
      <c r="H102" s="60" t="n">
        <f t="shared" si="22"/>
        <v>12.329000000000001</v>
      </c>
      <c r="I102" s="12" t="n">
        <f t="shared" si="22"/>
        <v>53</v>
      </c>
      <c r="J102" s="60" t="n">
        <f t="shared" si="22"/>
        <v>10.291</v>
      </c>
      <c r="N102" s="124"/>
    </row>
    <row r="103">
      <c r="C103" s="122" t="s">
        <v>404</v>
      </c>
      <c r="D103" s="48" t="s">
        <v>407</v>
      </c>
      <c r="E103" s="147" t="n">
        <f t="shared" ref="E103:J103" si="23">E90+E89</f>
        <v>1</v>
      </c>
      <c r="F103" s="63" t="n">
        <f t="shared" si="23"/>
        <v>100</v>
      </c>
      <c r="G103" s="147" t="n">
        <f t="shared" si="23"/>
        <v>51</v>
      </c>
      <c r="H103" s="63" t="n">
        <f t="shared" si="23"/>
        <v>69.863</v>
      </c>
      <c r="I103" s="147" t="n">
        <f t="shared" si="23"/>
        <v>403</v>
      </c>
      <c r="J103" s="63" t="n">
        <f t="shared" si="23"/>
        <v>78.253</v>
      </c>
      <c r="N103" s="124"/>
    </row>
    <row r="104">
      <c r="C104" s="62" t="s">
        <v>313</v>
      </c>
      <c r="D104" s="62"/>
      <c r="E104" s="62" t="n">
        <f>SUM(E100:E103)</f>
        <v>1</v>
      </c>
      <c r="F104" s="58" t="n">
        <f>SUM(F100:F103)</f>
        <v>100</v>
      </c>
      <c r="G104" s="62" t="n">
        <f>SUM(G100:G103)</f>
        <v>73</v>
      </c>
      <c r="H104" s="58" t="n">
        <f>SUM(H100:H103)</f>
        <v>100.001</v>
      </c>
      <c r="I104" s="62" t="n">
        <f>SUM(I100:I103)</f>
        <v>515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11</v>
      </c>
      <c r="D109" s="83" t="str">
        <f>INDEX(Questoes!F:F,MATCH(C113,Questoes!J:J,0))</f>
        <v> Avalie os seguintes itens sobre os serviços terceirizados dos ambientes da UFPR que você mais frequenta: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1062</v>
      </c>
      <c r="D113" s="81" t="str">
        <f>VLOOKUP(C113, Questoes!J:K,2, 0)</f>
        <v>Qualidade dos serviços de atendimento ao público: recepções, portarias e guaritas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1062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1062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dados[ID_PERGUNTA],C$113,dados[COD_HABILITAÇÃO_CURSO],$C$4)</f>
        <v>0</v>
      </c>
      <c r="F121" s="141" t="n">
        <f t="shared" ref="F121:F126" si="24">ROUND(E121/$E$127*100,3)</f>
        <v>0</v>
      </c>
      <c r="G121" t="n">
        <f>COUNTIFS(dados[RESPOSTA],C121, dados[ID_PERGUNTA],C$113,dados[COD_SETOR_CURSO],$C$5)</f>
        <v>4</v>
      </c>
      <c r="H121" s="141" t="n">
        <f t="shared" ref="H121:H126" si="25">ROUND(G121/$G$127*100,3)</f>
        <v>5.4050000000000002</v>
      </c>
      <c r="I121" t="n">
        <f>COUNTIFS(dados[RESPOSTA],C121, dados[ID_PERGUNTA],C$113,dados[Instituição],$A$2)</f>
        <v>22</v>
      </c>
      <c r="J121" s="141" t="n">
        <f t="shared" ref="J121:J126" si="26">ROUND(I121/$I$127*100,3)</f>
        <v>4.2720000000000002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dados[ID_PERGUNTA],C$113,dados[COD_HABILITAÇÃO_CURSO],$C$4)</f>
        <v>0</v>
      </c>
      <c r="F122" s="141" t="n">
        <f t="shared" si="24"/>
        <v>0</v>
      </c>
      <c r="G122" t="n">
        <f>COUNTIFS(dados[RESPOSTA],C122, dados[ID_PERGUNTA],C$113,dados[COD_SETOR_CURSO],$C$5)</f>
        <v>40</v>
      </c>
      <c r="H122" s="141" t="n">
        <f t="shared" si="25"/>
        <v>54.054000000000002</v>
      </c>
      <c r="I122" t="n">
        <f>COUNTIFS(dados[RESPOSTA],C122, dados[ID_PERGUNTA],C$113,dados[Instituição],$A$2)</f>
        <v>240</v>
      </c>
      <c r="J122" s="141" t="n">
        <f t="shared" si="26"/>
        <v>46.601999999999997</v>
      </c>
    </row>
    <row r="123">
      <c r="C123" s="77" t="s">
        <v>16</v>
      </c>
      <c r="D123" s="77"/>
      <c r="E123" s="129" t="n">
        <f>COUNTIFS(dados[RESPOSTA],C123, dados[ID_PERGUNTA],C$113,dados[COD_HABILITAÇÃO_CURSO],$C$4)</f>
        <v>1</v>
      </c>
      <c r="F123" s="141" t="n">
        <f t="shared" si="24"/>
        <v>100</v>
      </c>
      <c r="G123" t="n">
        <f>COUNTIFS(dados[RESPOSTA],C123, dados[ID_PERGUNTA],C$113,dados[COD_SETOR_CURSO],$C$5)</f>
        <v>21</v>
      </c>
      <c r="H123" s="141" t="n">
        <f t="shared" si="25"/>
        <v>28.378</v>
      </c>
      <c r="I123" t="n">
        <f>COUNTIFS(dados[RESPOSTA],C123, dados[ID_PERGUNTA],C$113,dados[Instituição],$A$2)</f>
        <v>195</v>
      </c>
      <c r="J123" s="141" t="n">
        <f t="shared" si="26"/>
        <v>37.863999999999997</v>
      </c>
    </row>
    <row r="124">
      <c r="C124" s="77" t="s">
        <v>29</v>
      </c>
      <c r="D124" s="77"/>
      <c r="E124" s="129" t="n">
        <f>COUNTIFS(dados[RESPOSTA],C124, dados[ID_PERGUNTA],C$113,dados[COD_HABILITAÇÃO_CURSO],$C$4)</f>
        <v>0</v>
      </c>
      <c r="F124" s="141" t="n">
        <f t="shared" si="24"/>
        <v>0</v>
      </c>
      <c r="G124" t="n">
        <f>COUNTIFS(dados[RESPOSTA],C124, dados[ID_PERGUNTA],C$113,dados[COD_SETOR_CURSO],$C$5)</f>
        <v>8</v>
      </c>
      <c r="H124" s="141" t="n">
        <f t="shared" si="25"/>
        <v>10.811</v>
      </c>
      <c r="I124" t="n">
        <f>COUNTIFS(dados[RESPOSTA],C124, dados[ID_PERGUNTA],C$113,dados[Instituição],$A$2)</f>
        <v>52</v>
      </c>
      <c r="J124" s="141" t="n">
        <f t="shared" si="26"/>
        <v>10.097</v>
      </c>
    </row>
    <row r="125">
      <c r="C125" s="77" t="s">
        <v>79</v>
      </c>
      <c r="D125" s="77"/>
      <c r="E125" s="129" t="n">
        <f>COUNTIFS(dados[RESPOSTA],C125, dados[ID_PERGUNTA],C$113,dados[COD_HABILITAÇÃO_CURSO],$C$4)</f>
        <v>0</v>
      </c>
      <c r="F125" s="141" t="n">
        <f t="shared" si="24"/>
        <v>0</v>
      </c>
      <c r="G125" t="n">
        <f>COUNTIFS(dados[RESPOSTA],C125, dados[ID_PERGUNTA],C$113,dados[COD_SETOR_CURSO],$C$5)</f>
        <v>1</v>
      </c>
      <c r="H125" s="141" t="n">
        <f t="shared" si="25"/>
        <v>1.351</v>
      </c>
      <c r="I125" t="n">
        <f>COUNTIFS(dados[RESPOSTA],C125, dados[ID_PERGUNTA],C$113,dados[Instituição],$A$2)</f>
        <v>5</v>
      </c>
      <c r="J125" s="141" t="n">
        <f t="shared" si="26"/>
        <v>0.97099999999999997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dados[ID_PERGUNTA],C$113,dados[COD_HABILITAÇÃO_CURSO],$C$4)</f>
        <v>0</v>
      </c>
      <c r="F126" s="141" t="n">
        <f t="shared" si="24"/>
        <v>0</v>
      </c>
      <c r="G126" t="n">
        <f>COUNTIFS(dados[RESPOSTA],C126, dados[ID_PERGUNTA],C$113,dados[COD_SETOR_CURSO],$C$5)</f>
        <v>0</v>
      </c>
      <c r="H126" s="141" t="n">
        <f t="shared" si="25"/>
        <v>0</v>
      </c>
      <c r="I126" t="n">
        <f>COUNTIFS(dados[RESPOSTA],C126, dados[ID_PERGUNTA],C$113,dados[Instituição],$A$2)</f>
        <v>1</v>
      </c>
      <c r="J126" s="141" t="n">
        <f t="shared" si="26"/>
        <v>0.19400000000000001</v>
      </c>
    </row>
    <row r="127">
      <c r="C127" s="111" t="s">
        <v>313</v>
      </c>
      <c r="D127" s="111"/>
      <c r="E127" s="62" t="n">
        <f t="shared" ref="E127:J127" si="27">SUM(E121:E126)</f>
        <v>1</v>
      </c>
      <c r="F127" s="58" t="n">
        <f t="shared" si="27"/>
        <v>100</v>
      </c>
      <c r="G127" s="62" t="n">
        <f t="shared" si="27"/>
        <v>74</v>
      </c>
      <c r="H127" s="58" t="n">
        <f t="shared" si="27"/>
        <v>99.998999999999995</v>
      </c>
      <c r="I127" s="62" t="n">
        <f t="shared" si="27"/>
        <v>515</v>
      </c>
      <c r="J127" s="58" t="n">
        <f t="shared" si="27"/>
        <v>100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8">E126+E125</f>
        <v>0</v>
      </c>
      <c r="F133" s="60" t="n">
        <f t="shared" si="28"/>
        <v>0</v>
      </c>
      <c r="G133" s="12" t="n">
        <f t="shared" si="28"/>
        <v>1</v>
      </c>
      <c r="H133" s="60" t="n">
        <f t="shared" si="28"/>
        <v>1.351</v>
      </c>
      <c r="I133" s="12" t="n">
        <f t="shared" si="28"/>
        <v>6</v>
      </c>
      <c r="J133" s="60" t="n">
        <f t="shared" si="28"/>
        <v>1.165</v>
      </c>
      <c r="N133" s="124"/>
    </row>
    <row r="134">
      <c r="C134" s="120" t="s">
        <v>402</v>
      </c>
      <c r="D134" s="48" t="s">
        <v>45</v>
      </c>
      <c r="E134" s="12" t="n">
        <f t="shared" ref="E134:J134" si="29">E121</f>
        <v>0</v>
      </c>
      <c r="F134" s="60" t="n">
        <f t="shared" si="29"/>
        <v>0</v>
      </c>
      <c r="G134" s="12" t="n">
        <f t="shared" si="29"/>
        <v>4</v>
      </c>
      <c r="H134" s="60" t="n">
        <f t="shared" si="29"/>
        <v>5.4050000000000002</v>
      </c>
      <c r="I134" s="12" t="n">
        <f t="shared" si="29"/>
        <v>22</v>
      </c>
      <c r="J134" s="60" t="n">
        <f t="shared" si="29"/>
        <v>4.2720000000000002</v>
      </c>
      <c r="N134" s="124"/>
    </row>
    <row r="135">
      <c r="C135" s="121" t="s">
        <v>403</v>
      </c>
      <c r="D135" s="48" t="s">
        <v>29</v>
      </c>
      <c r="E135" s="12" t="n">
        <f t="shared" ref="E135:J135" si="30">E124</f>
        <v>0</v>
      </c>
      <c r="F135" s="60" t="n">
        <f t="shared" si="30"/>
        <v>0</v>
      </c>
      <c r="G135" s="12" t="n">
        <f t="shared" si="30"/>
        <v>8</v>
      </c>
      <c r="H135" s="60" t="n">
        <f t="shared" si="30"/>
        <v>10.811</v>
      </c>
      <c r="I135" s="12" t="n">
        <f t="shared" si="30"/>
        <v>52</v>
      </c>
      <c r="J135" s="60" t="n">
        <f t="shared" si="30"/>
        <v>10.097</v>
      </c>
      <c r="N135" s="124"/>
    </row>
    <row r="136">
      <c r="C136" s="122" t="s">
        <v>404</v>
      </c>
      <c r="D136" s="48" t="s">
        <v>407</v>
      </c>
      <c r="E136" s="147" t="n">
        <f t="shared" ref="E136:J136" si="31">E123+E122</f>
        <v>1</v>
      </c>
      <c r="F136" s="63" t="n">
        <f t="shared" si="31"/>
        <v>100</v>
      </c>
      <c r="G136" s="147" t="n">
        <f t="shared" si="31"/>
        <v>61</v>
      </c>
      <c r="H136" s="63" t="n">
        <f t="shared" si="31"/>
        <v>82.432000000000002</v>
      </c>
      <c r="I136" s="147" t="n">
        <f t="shared" si="31"/>
        <v>435</v>
      </c>
      <c r="J136" s="63" t="n">
        <f t="shared" si="31"/>
        <v>84.465999999999994</v>
      </c>
      <c r="N136" s="124"/>
    </row>
    <row r="137">
      <c r="C137" s="62" t="s">
        <v>313</v>
      </c>
      <c r="D137" s="62"/>
      <c r="E137" s="62" t="n">
        <f>SUM(E133:E136)</f>
        <v>1</v>
      </c>
      <c r="F137" s="58" t="n">
        <f>ROUND(SUM(F133:F136),2)</f>
        <v>100</v>
      </c>
      <c r="G137" s="62" t="n">
        <f>SUM(G133:G136)</f>
        <v>74</v>
      </c>
      <c r="H137" s="58" t="n">
        <f>SUM(H133:H136)</f>
        <v>99.998999999999995</v>
      </c>
      <c r="I137" s="62" t="n">
        <f>SUM(I133:I136)</f>
        <v>515</v>
      </c>
      <c r="J137" s="58" t="n">
        <f>ROUND(SUM(J133:J136),2)</f>
        <v>100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</sheetData>
  <sheetProtection password="C2D7" sheet="1"/>
  <mergeCells count="12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436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INDEX(Questoes!E:E,MATCH('SALAS DE AULA'!C14,Questoes!J:J,0))</f>
        <v>SALAS DE AULA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12</v>
      </c>
      <c r="D10" s="83" t="str">
        <f>INDEX(Questoes!F:F,MATCH(C14,Questoes!J:J,0))</f>
        <v>Avalie as salas de aula, considerando as seguintes proposições: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1063</v>
      </c>
      <c r="D14" s="81" t="str">
        <f>VLOOKUP(C14, Questoes!J:K,2, 0)</f>
        <v>Adequação e flexibilidade de organização do espaço perante às necessidades do curso, incluindo as condições de conforto do ambiente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1063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1063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0</v>
      </c>
      <c r="H22" s="141" t="n">
        <f t="shared" ref="H22:H27" si="1">ROUND(G22/G$28*100,3)</f>
        <v>0</v>
      </c>
      <c r="I22" t="n">
        <f>COUNTIFS(dados[RESPOSTA],C22, dados[ID_PERGUNTA],$C$14,dados[Instituição],$A$2)</f>
        <v>3</v>
      </c>
      <c r="J22" s="141" t="n">
        <f t="shared" ref="J22:J27" si="2">ROUND(I22/I$28*100,3)</f>
        <v>0.58499999999999996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n">
        <f t="shared" si="0"/>
        <v>0</v>
      </c>
      <c r="G23" t="n">
        <f>COUNTIFS(dados[RESPOSTA],C23, dados[ID_PERGUNTA],$C$14,dados[COD_SETOR_CURSO],$C$5)</f>
        <v>9</v>
      </c>
      <c r="H23" s="141" t="n">
        <f t="shared" si="1"/>
        <v>12.162000000000001</v>
      </c>
      <c r="I23" t="n">
        <f>COUNTIFS(dados[RESPOSTA],C23, dados[ID_PERGUNTA],$C$14,dados[Instituição],$A$2)</f>
        <v>79</v>
      </c>
      <c r="J23" s="141" t="n">
        <f t="shared" si="2"/>
        <v>15.4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n">
        <f t="shared" si="0"/>
        <v>0</v>
      </c>
      <c r="G24" t="n">
        <f>COUNTIFS(dados[RESPOSTA],C24, dados[ID_PERGUNTA],$C$14,dados[COD_SETOR_CURSO],$C$5)</f>
        <v>22</v>
      </c>
      <c r="H24" s="141" t="n">
        <f t="shared" si="1"/>
        <v>29.73</v>
      </c>
      <c r="I24" t="n">
        <f>COUNTIFS(dados[RESPOSTA],C24, dados[ID_PERGUNTA],$C$14,dados[Instituição],$A$2)</f>
        <v>188</v>
      </c>
      <c r="J24" s="141" t="n">
        <f t="shared" si="2"/>
        <v>36.646999999999998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1</v>
      </c>
      <c r="F25" s="141" t="n">
        <f t="shared" si="0"/>
        <v>100</v>
      </c>
      <c r="G25" t="n">
        <f>COUNTIFS(dados[RESPOSTA],C25, dados[ID_PERGUNTA],$C$14,dados[COD_SETOR_CURSO],$C$5)</f>
        <v>24</v>
      </c>
      <c r="H25" s="141" t="n">
        <f t="shared" si="1"/>
        <v>32.432000000000002</v>
      </c>
      <c r="I25" t="n">
        <f>COUNTIFS(dados[RESPOSTA],C25, dados[ID_PERGUNTA],$C$14,dados[Instituição],$A$2)</f>
        <v>139</v>
      </c>
      <c r="J25" s="141" t="n">
        <f t="shared" si="2"/>
        <v>27.096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14</v>
      </c>
      <c r="H26" s="141" t="n">
        <f t="shared" si="1"/>
        <v>18.919</v>
      </c>
      <c r="I26" t="n">
        <f>COUNTIFS(dados[RESPOSTA],C26, dados[ID_PERGUNTA],$C$14,dados[Instituição],$A$2)</f>
        <v>68</v>
      </c>
      <c r="J26" s="141" t="n">
        <f t="shared" si="2"/>
        <v>13.255000000000001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5</v>
      </c>
      <c r="H27" s="141" t="n">
        <f t="shared" si="1"/>
        <v>6.7569999999999997</v>
      </c>
      <c r="I27" t="n">
        <f>COUNTIFS(dados[RESPOSTA],C27, dados[ID_PERGUNTA],$C$14,dados[Instituição],$A$2)</f>
        <v>36</v>
      </c>
      <c r="J27" s="141" t="n">
        <f t="shared" si="2"/>
        <v>7.0179999999999998</v>
      </c>
    </row>
    <row r="28">
      <c r="C28" s="111" t="s">
        <v>313</v>
      </c>
      <c r="D28" s="111"/>
      <c r="E28" s="62" t="n">
        <f t="shared" ref="E28:J28" si="3">SUM(E22:E27)</f>
        <v>1</v>
      </c>
      <c r="F28" s="58" t="n">
        <f t="shared" si="3"/>
        <v>100</v>
      </c>
      <c r="G28" s="62" t="n">
        <f t="shared" si="3"/>
        <v>74</v>
      </c>
      <c r="H28" s="58" t="n">
        <f t="shared" si="3"/>
        <v>100.00000000000001</v>
      </c>
      <c r="I28" s="62" t="n">
        <f t="shared" si="3"/>
        <v>513</v>
      </c>
      <c r="J28" s="58" t="n">
        <f t="shared" si="3"/>
        <v>100.00099999999999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19</v>
      </c>
      <c r="H34" s="60" t="n">
        <f t="shared" si="4"/>
        <v>25.676000000000002</v>
      </c>
      <c r="I34" s="12" t="n">
        <f t="shared" si="4"/>
        <v>104</v>
      </c>
      <c r="J34" s="60" t="n">
        <f t="shared" si="4"/>
        <v>20.273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0</v>
      </c>
      <c r="H35" s="60" t="n">
        <f t="shared" si="5"/>
        <v>0</v>
      </c>
      <c r="I35" s="12" t="n">
        <f t="shared" si="5"/>
        <v>3</v>
      </c>
      <c r="J35" s="60" t="n">
        <f t="shared" si="5"/>
        <v>0.58499999999999996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1</v>
      </c>
      <c r="F36" s="60" t="n">
        <f t="shared" si="6"/>
        <v>100</v>
      </c>
      <c r="G36" s="12" t="n">
        <f t="shared" si="6"/>
        <v>24</v>
      </c>
      <c r="H36" s="60" t="n">
        <f t="shared" si="6"/>
        <v>32.432000000000002</v>
      </c>
      <c r="I36" s="12" t="n">
        <f t="shared" si="6"/>
        <v>139</v>
      </c>
      <c r="J36" s="60" t="n">
        <f t="shared" si="6"/>
        <v>27.096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0</v>
      </c>
      <c r="F37" s="63" t="n">
        <f t="shared" si="7"/>
        <v>0</v>
      </c>
      <c r="G37" s="147" t="n">
        <f t="shared" si="7"/>
        <v>31</v>
      </c>
      <c r="H37" s="63" t="n">
        <f t="shared" si="7"/>
        <v>41.892000000000003</v>
      </c>
      <c r="I37" s="147" t="n">
        <f t="shared" si="7"/>
        <v>267</v>
      </c>
      <c r="J37" s="63" t="n">
        <f t="shared" si="7"/>
        <v>52.046999999999997</v>
      </c>
      <c r="N37" s="124"/>
    </row>
    <row r="38">
      <c r="C38" s="62" t="s">
        <v>313</v>
      </c>
      <c r="D38" s="62"/>
      <c r="E38" s="62" t="n">
        <f>SUM(E34:E37)</f>
        <v>1</v>
      </c>
      <c r="F38" s="58" t="n">
        <f>SUM(F34:F37)</f>
        <v>100</v>
      </c>
      <c r="G38" s="62" t="n">
        <f>SUM(G34:G37)</f>
        <v>74</v>
      </c>
      <c r="H38" s="58" t="n">
        <f>SUM(H34:H37)</f>
        <v>100</v>
      </c>
      <c r="I38" s="62" t="n">
        <f>SUM(I34:I37)</f>
        <v>513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13</v>
      </c>
      <c r="D43" s="83" t="str">
        <f>INDEX(Questoes!F:F,MATCH(C47,Questoes!J:J,0))</f>
        <v>Avalie as salas de aula, considerando as seguintes proposições: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1064</v>
      </c>
      <c r="D47" s="81" t="str">
        <f>VLOOKUP(C47, Questoes!J:K,2, 0)</f>
        <v>Recursos de tecnologia da informação e comunicação, incluindo as ações de modernização dos equipamentos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1064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1064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 dados[ID_PERGUNTA],$C$47,dados[COD_SETOR_CURSO],$C$5)</f>
        <v>1</v>
      </c>
      <c r="H55" s="141" t="n">
        <f t="shared" ref="H55:H60" si="9">ROUND(G55/G$61*100,3)</f>
        <v>1.351</v>
      </c>
      <c r="I55" t="n">
        <f>COUNTIFS(dados[RESPOSTA],C55, dados[ID_PERGUNTA],$C$47,dados[Instituição],$A$2)</f>
        <v>8</v>
      </c>
      <c r="J55" s="141" t="n">
        <f t="shared" ref="J55:J60" si="10">ROUND(I55/I$61*100,3)</f>
        <v>1.556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n">
        <f t="shared" si="8"/>
        <v>0</v>
      </c>
      <c r="G56" t="n">
        <f>COUNTIFS(dados[RESPOSTA],C56, dados[ID_PERGUNTA],$C$47,dados[COD_SETOR_CURSO],$C$5)</f>
        <v>6</v>
      </c>
      <c r="H56" s="141" t="n">
        <f t="shared" si="9"/>
        <v>8.1080000000000005</v>
      </c>
      <c r="I56" t="n">
        <f>COUNTIFS(dados[RESPOSTA],C56, dados[ID_PERGUNTA],$C$47,dados[Instituição],$A$2)</f>
        <v>67</v>
      </c>
      <c r="J56" s="141" t="n">
        <f t="shared" si="10"/>
        <v>13.035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1</v>
      </c>
      <c r="F57" s="141" t="n">
        <f t="shared" si="8"/>
        <v>50</v>
      </c>
      <c r="G57" t="n">
        <f>COUNTIFS(dados[RESPOSTA],C57, dados[ID_PERGUNTA],$C$47,dados[COD_SETOR_CURSO],$C$5)</f>
        <v>19</v>
      </c>
      <c r="H57" s="141" t="n">
        <f t="shared" si="9"/>
        <v>25.675999999999998</v>
      </c>
      <c r="I57" t="n">
        <f>COUNTIFS(dados[RESPOSTA],C57, dados[ID_PERGUNTA],$C$47,dados[Instituição],$A$2)</f>
        <v>167</v>
      </c>
      <c r="J57" s="141" t="n">
        <f t="shared" si="10"/>
        <v>32.49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1</v>
      </c>
      <c r="F58" s="141" t="n">
        <f t="shared" si="8"/>
        <v>50</v>
      </c>
      <c r="G58" t="n">
        <f>COUNTIFS(dados[RESPOSTA],C58, dados[ID_PERGUNTA],$C$47,dados[COD_SETOR_CURSO],$C$5)</f>
        <v>28</v>
      </c>
      <c r="H58" s="141" t="n">
        <f t="shared" si="9"/>
        <v>37.838000000000001</v>
      </c>
      <c r="I58" t="n">
        <f>COUNTIFS(dados[RESPOSTA],C58, dados[ID_PERGUNTA],$C$47,dados[Instituição],$A$2)</f>
        <v>155</v>
      </c>
      <c r="J58" s="141" t="n">
        <f t="shared" si="10"/>
        <v>30.155999999999999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8"/>
        <v>0</v>
      </c>
      <c r="G59" t="n">
        <f>COUNTIFS(dados[RESPOSTA],C59, dados[ID_PERGUNTA],$C$47,dados[COD_SETOR_CURSO],$C$5)</f>
        <v>12</v>
      </c>
      <c r="H59" s="141" t="n">
        <f t="shared" si="9"/>
        <v>16.216000000000001</v>
      </c>
      <c r="I59" t="n">
        <f>COUNTIFS(dados[RESPOSTA],C59, dados[ID_PERGUNTA],$C$47,dados[Instituição],$A$2)</f>
        <v>75</v>
      </c>
      <c r="J59" s="141" t="n">
        <f t="shared" si="10"/>
        <v>14.590999999999999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8"/>
        <v>0</v>
      </c>
      <c r="G60" t="n">
        <f>COUNTIFS(dados[RESPOSTA],C60, dados[ID_PERGUNTA],$C$47,dados[COD_SETOR_CURSO],$C$5)</f>
        <v>8</v>
      </c>
      <c r="H60" s="141" t="n">
        <f t="shared" si="9"/>
        <v>10.811</v>
      </c>
      <c r="I60" t="n">
        <f>COUNTIFS(dados[RESPOSTA],C60, dados[ID_PERGUNTA],$C$47,dados[Instituição],$A$2)</f>
        <v>42</v>
      </c>
      <c r="J60" s="141" t="n">
        <f t="shared" si="10"/>
        <v>8.1709999999999994</v>
      </c>
    </row>
    <row r="61">
      <c r="C61" s="111" t="s">
        <v>313</v>
      </c>
      <c r="D61" s="111"/>
      <c r="E61" s="62" t="n">
        <f t="shared" ref="E61:J61" si="11">SUM(E55:E60)</f>
        <v>2</v>
      </c>
      <c r="F61" s="58" t="n">
        <f t="shared" si="11"/>
        <v>100</v>
      </c>
      <c r="G61" s="62" t="n">
        <f t="shared" si="11"/>
        <v>74</v>
      </c>
      <c r="H61" s="58" t="n">
        <f t="shared" si="11"/>
        <v>100</v>
      </c>
      <c r="I61" s="62" t="n">
        <f t="shared" si="11"/>
        <v>514</v>
      </c>
      <c r="J61" s="58" t="n">
        <f t="shared" si="11"/>
        <v>99.998999999999995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n">
        <f t="shared" si="12"/>
        <v>0</v>
      </c>
      <c r="G67" s="12" t="n">
        <f t="shared" si="12"/>
        <v>20</v>
      </c>
      <c r="H67" s="60" t="n">
        <f t="shared" si="12"/>
        <v>27.027000000000001</v>
      </c>
      <c r="I67" s="12" t="n">
        <f t="shared" si="12"/>
        <v>117</v>
      </c>
      <c r="J67" s="60" t="n">
        <f t="shared" si="12"/>
        <v>22.762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n">
        <f t="shared" si="13"/>
        <v>0</v>
      </c>
      <c r="G68" s="12" t="n">
        <f t="shared" si="13"/>
        <v>1</v>
      </c>
      <c r="H68" s="60" t="n">
        <f t="shared" si="13"/>
        <v>1.351</v>
      </c>
      <c r="I68" s="12" t="n">
        <f t="shared" si="13"/>
        <v>8</v>
      </c>
      <c r="J68" s="60" t="n">
        <f t="shared" si="13"/>
        <v>1.556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1</v>
      </c>
      <c r="F69" s="60" t="n">
        <f t="shared" si="14"/>
        <v>50</v>
      </c>
      <c r="G69" s="12" t="n">
        <f t="shared" si="14"/>
        <v>28</v>
      </c>
      <c r="H69" s="60" t="n">
        <f t="shared" si="14"/>
        <v>37.838000000000001</v>
      </c>
      <c r="I69" s="12" t="n">
        <f t="shared" si="14"/>
        <v>155</v>
      </c>
      <c r="J69" s="60" t="n">
        <f t="shared" si="14"/>
        <v>30.155999999999999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1</v>
      </c>
      <c r="F70" s="63" t="n">
        <f t="shared" si="15"/>
        <v>50</v>
      </c>
      <c r="G70" s="147" t="n">
        <f t="shared" si="15"/>
        <v>25</v>
      </c>
      <c r="H70" s="63" t="n">
        <f t="shared" si="15"/>
        <v>33.783999999999999</v>
      </c>
      <c r="I70" s="147" t="n">
        <f t="shared" si="15"/>
        <v>234</v>
      </c>
      <c r="J70" s="63" t="n">
        <f t="shared" si="15"/>
        <v>45.525000000000006</v>
      </c>
      <c r="N70" s="124"/>
    </row>
    <row r="71" ht="15" customHeight="1">
      <c r="C71" s="62" t="s">
        <v>313</v>
      </c>
      <c r="D71" s="62"/>
      <c r="E71" s="62" t="n">
        <f>SUM(E67:E70)</f>
        <v>2</v>
      </c>
      <c r="F71" s="58" t="n">
        <f>SUM(F67:F70)</f>
        <v>100</v>
      </c>
      <c r="G71" s="62" t="n">
        <f>SUM(G67:G70)</f>
        <v>74</v>
      </c>
      <c r="H71" s="58" t="n">
        <f>SUM(H67:H70)</f>
        <v>100</v>
      </c>
      <c r="I71" s="62" t="n">
        <f>SUM(I67:I70)</f>
        <v>514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</sheetData>
  <sheetProtection password="C2D7" sheet="1"/>
  <mergeCells count="64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C60:D60"/>
    <mergeCell ref="C61:D61"/>
    <mergeCell ref="C64:J64"/>
    <mergeCell ref="E65:F65"/>
    <mergeCell ref="G65:H65"/>
    <mergeCell ref="I65:J65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G56" sqref="G5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436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INDEX(Questoes!E:E,MATCH(NTE!C14,Questoes!J:J,0))</f>
        <v>NTE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14</v>
      </c>
      <c r="D10" s="83" t="str">
        <f>INDEX(Questoes!F:F,MATCH(C14,Questoes!J:J,0))</f>
        <v>Sobre os Núcleos de Tecnologias Educacionais (NTEs), responda: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1106</v>
      </c>
      <c r="D14" s="81" t="str">
        <f>VLOOKUP(C14, Questoes!J:K,2, 0)</f>
        <v>Você conhece os Núcleos de Tecnologias Educacionais (NTEs)? 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5" t="s">
        <v>430</v>
      </c>
      <c r="C19" s="114" t="s">
        <v>424</v>
      </c>
      <c r="D19" s="115"/>
      <c r="E19" s="115"/>
      <c r="F19" s="115"/>
      <c r="G19" s="115"/>
      <c r="H19" s="115"/>
      <c r="I19" s="115"/>
      <c r="J19" s="116"/>
      <c r="K19" s="140"/>
      <c r="L19" s="67" t="str">
        <f>C19</f>
        <v>Apuração de Resultados </v>
      </c>
      <c r="M19" s="68"/>
      <c r="N19" s="68"/>
      <c r="O19" s="69"/>
      <c r="P19" s="117"/>
      <c r="Q19" s="204"/>
      <c r="R19" s="204"/>
      <c r="S19" s="204"/>
      <c r="T19" s="204"/>
      <c r="U19" s="204"/>
      <c r="V19" s="204"/>
      <c r="W19" s="204"/>
    </row>
    <row r="20">
      <c r="C20" s="56"/>
      <c r="D20" s="56"/>
      <c r="E20" s="71" t="s">
        <v>418</v>
      </c>
      <c r="F20" s="71"/>
      <c r="G20" s="72" t="s">
        <v>419</v>
      </c>
      <c r="H20" s="72"/>
      <c r="I20" s="73" t="s">
        <v>21</v>
      </c>
      <c r="J20" s="73"/>
      <c r="K20" s="140"/>
      <c r="L20" s="159" t="s">
        <v>422</v>
      </c>
      <c r="M20" s="106" t="n">
        <f>C14</f>
        <v>1106</v>
      </c>
      <c r="N20" s="106"/>
      <c r="O20" s="106"/>
      <c r="P20" s="117"/>
      <c r="Q20" s="190"/>
      <c r="R20" s="190"/>
      <c r="S20" s="190"/>
      <c r="T20" s="190"/>
      <c r="U20" s="190"/>
      <c r="V20" s="190"/>
      <c r="W20" s="190"/>
    </row>
    <row r="21">
      <c r="C21" s="112" t="s">
        <v>425</v>
      </c>
      <c r="D21" s="112"/>
      <c r="E21" s="156" t="s">
        <v>303</v>
      </c>
      <c r="F21" s="155" t="s">
        <v>426</v>
      </c>
      <c r="G21" s="156" t="s">
        <v>303</v>
      </c>
      <c r="H21" s="155" t="s">
        <v>426</v>
      </c>
      <c r="I21" s="156" t="s">
        <v>303</v>
      </c>
      <c r="J21" s="155" t="s">
        <v>426</v>
      </c>
    </row>
    <row r="22">
      <c r="C22" s="109" t="s">
        <v>81</v>
      </c>
      <c r="D22" s="109"/>
      <c r="E22" t="n">
        <f>COUNTIFS(dados[RESPOSTA],C22, dados[ID_PERGUNTA],$C$14, dados[COD_HABILITAÇÃO_CURSO],$C$4)</f>
        <v>0</v>
      </c>
      <c r="F22" s="61" t="n">
        <f>ROUND(E22/$E$28*100,3)</f>
        <v>0</v>
      </c>
      <c r="G22" t="n">
        <f>COUNTIFS(dados[RESPOSTA],C22, dados[ID_PERGUNTA],$C$14, dados[COD_SETOR_CURSO],$C$5)</f>
        <v>1</v>
      </c>
      <c r="H22" s="143" t="n">
        <f>ROUND(G22/$G$28*100,3)</f>
        <v>1.351</v>
      </c>
      <c r="I22" s="123" t="n">
        <f>COUNTIFS(dados[RESPOSTA],C22, dados[ID_PERGUNTA],$C$14, dados[Instituição],$A$2)</f>
        <v>23</v>
      </c>
      <c r="J22" s="143" t="n">
        <f>ROUND(I22/$I$28*100,3)</f>
        <v>4.4749999999999996</v>
      </c>
      <c r="L22" s="20"/>
      <c r="P22" s="118"/>
      <c r="V22" s="20"/>
      <c r="W22" s="20"/>
      <c r="X22" s="118"/>
      <c r="Y22" s="118"/>
    </row>
    <row r="23">
      <c r="C23" s="77" t="s">
        <v>75</v>
      </c>
      <c r="D23" s="77"/>
      <c r="E23" t="n">
        <f>COUNTIFS(dados[RESPOSTA],C23, dados[ID_PERGUNTA],$C$14, dados[COD_HABILITAÇÃO_CURSO],$C$4)</f>
        <v>2</v>
      </c>
      <c r="F23" s="61" t="n">
        <f>ROUND(E23/$E$28*100,3)</f>
        <v>100</v>
      </c>
      <c r="G23" t="n">
        <f>COUNTIFS(dados[RESPOSTA],C23, dados[ID_PERGUNTA],$C$14, dados[COD_SETOR_CURSO],$C$5)</f>
        <v>73</v>
      </c>
      <c r="H23" s="143" t="n">
        <f>ROUND(G23/$G$28*100,3)</f>
        <v>98.649000000000001</v>
      </c>
      <c r="I23" s="123" t="n">
        <f>COUNTIFS(dados[RESPOSTA],C23, dados[ID_PERGUNTA],$C$14, dados[Instituição],$A$2)</f>
        <v>491</v>
      </c>
      <c r="J23" s="143" t="n">
        <f>ROUND(I23/$I$28*100,3)</f>
        <v>95.525000000000006</v>
      </c>
      <c r="K23" s="48"/>
      <c r="L23" s="48"/>
      <c r="N23" s="124"/>
    </row>
    <row r="24">
      <c r="C24" s="52"/>
      <c r="D24" s="52"/>
      <c r="N24" s="124"/>
    </row>
    <row r="25">
      <c r="C25" s="52"/>
      <c r="D25" s="52"/>
      <c r="F25" s="124"/>
      <c r="G25" s="124"/>
      <c r="H25" s="124"/>
      <c r="I25" s="124"/>
      <c r="J25" s="124"/>
      <c r="N25" s="124"/>
    </row>
    <row r="26">
      <c r="C26" s="52"/>
      <c r="D26" s="52"/>
      <c r="N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113"/>
      <c r="D27" s="113"/>
      <c r="N27" s="124"/>
    </row>
    <row r="28">
      <c r="C28" s="111" t="s">
        <v>313</v>
      </c>
      <c r="D28" s="111"/>
      <c r="E28" s="132" t="n">
        <f t="shared" ref="E28:J28" si="0">SUM(E22:E23)</f>
        <v>2</v>
      </c>
      <c r="F28" s="58" t="n">
        <f t="shared" si="0"/>
        <v>100</v>
      </c>
      <c r="G28" s="62" t="n">
        <f t="shared" si="0"/>
        <v>74</v>
      </c>
      <c r="H28" s="58" t="n">
        <f t="shared" si="0"/>
        <v>100</v>
      </c>
      <c r="I28" s="62" t="n">
        <f t="shared" si="0"/>
        <v>514</v>
      </c>
      <c r="J28" s="58" t="n">
        <f t="shared" si="0"/>
        <v>100</v>
      </c>
      <c r="N28" s="124"/>
    </row>
    <row r="29">
      <c r="N29" s="124"/>
    </row>
    <row r="30">
      <c r="C30" t="s">
        <v>431</v>
      </c>
      <c r="N30" s="124"/>
    </row>
    <row r="31">
      <c r="N31" s="124"/>
    </row>
    <row r="32">
      <c r="N32" s="124"/>
    </row>
    <row r="33">
      <c r="N33" s="124"/>
    </row>
    <row r="34">
      <c r="N34" s="124"/>
    </row>
    <row r="35">
      <c r="N35" s="124"/>
    </row>
    <row r="36">
      <c r="N36" s="124"/>
    </row>
    <row r="37">
      <c r="C37" s="171"/>
      <c r="D37" s="48"/>
      <c r="E37" s="147"/>
      <c r="F37" s="63"/>
      <c r="G37" s="147"/>
      <c r="H37" s="63"/>
      <c r="I37" s="147"/>
      <c r="J37" s="63"/>
      <c r="N37" s="124"/>
    </row>
    <row r="38">
      <c r="F38" s="141"/>
      <c r="H38" s="141"/>
      <c r="J38" s="141"/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15</v>
      </c>
      <c r="D43" s="83" t="str">
        <f>INDEX(Questoes!F:F,MATCH(C47,Questoes!J:J,0))</f>
        <v>Sobre os Núcleos de Tecnologias Educacionais (NTEs), responda: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  <v>Você conhece os Núcleos de Tecnologias Educacionais (NTEs)?</v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1066</v>
      </c>
      <c r="D47" s="81" t="str">
        <f>VLOOKUP(C47, Questoes!J:K,2, 0)</f>
        <v>Avalie a organização e a flexibilidade do espaço destinado ao NTE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1066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1066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e">
        <f t="shared" ref="F55:F60" si="1">ROUND(E55/E$61*100,3)</f>
        <v>#DIV/0!</v>
      </c>
      <c r="G55" t="n">
        <f>COUNTIFS(dados[RESPOSTA],C55, dados[ID_PERGUNTA],$C$47,dados[COD_SETOR_CURSO],$C$5)</f>
        <v>1</v>
      </c>
      <c r="H55" s="141" t="n">
        <f t="shared" ref="H55:H60" si="2">ROUND(G55/G$61*100,3)</f>
        <v>100</v>
      </c>
      <c r="I55" t="n">
        <f>COUNTIFS(dados[RESPOSTA],C55, dados[ID_PERGUNTA],$C$47,dados[Instituição],$A$2)</f>
        <v>3</v>
      </c>
      <c r="J55" s="141" t="n">
        <f t="shared" ref="J55:J60" si="3">ROUND(I55/I$61*100,3)</f>
        <v>15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e">
        <f t="shared" si="1"/>
        <v>#DIV/0!</v>
      </c>
      <c r="G56" t="n">
        <f>COUNTIFS(dados[RESPOSTA],C56, dados[ID_PERGUNTA],$C$47,dados[COD_SETOR_CURSO],$C$5)</f>
        <v>0</v>
      </c>
      <c r="H56" s="141" t="n">
        <f t="shared" si="2"/>
        <v>0</v>
      </c>
      <c r="I56" t="n">
        <f>COUNTIFS(dados[RESPOSTA],C56, dados[ID_PERGUNTA],$C$47,dados[Instituição],$A$2)</f>
        <v>4</v>
      </c>
      <c r="J56" s="141" t="n">
        <f t="shared" si="3"/>
        <v>20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e">
        <f t="shared" si="1"/>
        <v>#DIV/0!</v>
      </c>
      <c r="G57" t="n">
        <f>COUNTIFS(dados[RESPOSTA],C57, dados[ID_PERGUNTA],$C$47,dados[COD_SETOR_CURSO],$C$5)</f>
        <v>0</v>
      </c>
      <c r="H57" s="141" t="n">
        <f t="shared" si="2"/>
        <v>0</v>
      </c>
      <c r="I57" t="n">
        <f>COUNTIFS(dados[RESPOSTA],C57, dados[ID_PERGUNTA],$C$47,dados[Instituição],$A$2)</f>
        <v>8</v>
      </c>
      <c r="J57" s="141" t="n">
        <f t="shared" si="3"/>
        <v>40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e">
        <f t="shared" si="1"/>
        <v>#DIV/0!</v>
      </c>
      <c r="G58" t="n">
        <f>COUNTIFS(dados[RESPOSTA],C58, dados[ID_PERGUNTA],$C$47,dados[COD_SETOR_CURSO],$C$5)</f>
        <v>0</v>
      </c>
      <c r="H58" s="141" t="n">
        <f t="shared" si="2"/>
        <v>0</v>
      </c>
      <c r="I58" t="n">
        <f>COUNTIFS(dados[RESPOSTA],C58, dados[ID_PERGUNTA],$C$47,dados[Instituição],$A$2)</f>
        <v>4</v>
      </c>
      <c r="J58" s="141" t="n">
        <f t="shared" si="3"/>
        <v>20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e">
        <f t="shared" si="1"/>
        <v>#DIV/0!</v>
      </c>
      <c r="G59" t="n">
        <f>COUNTIFS(dados[RESPOSTA],C59, dados[ID_PERGUNTA],$C$47,dados[COD_SETOR_CURSO],$C$5)</f>
        <v>0</v>
      </c>
      <c r="H59" s="141" t="n">
        <f t="shared" si="2"/>
        <v>0</v>
      </c>
      <c r="I59" t="n">
        <f>COUNTIFS(dados[RESPOSTA],C59, dados[ID_PERGUNTA],$C$47,dados[Instituição],$A$2)</f>
        <v>0</v>
      </c>
      <c r="J59" s="141" t="n">
        <f t="shared" si="3"/>
        <v>0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e">
        <f t="shared" si="1"/>
        <v>#DIV/0!</v>
      </c>
      <c r="G60" t="n">
        <f>COUNTIFS(dados[RESPOSTA],C60, dados[ID_PERGUNTA],$C$47,dados[COD_SETOR_CURSO],$C$5)</f>
        <v>0</v>
      </c>
      <c r="H60" s="141" t="n">
        <f t="shared" si="2"/>
        <v>0</v>
      </c>
      <c r="I60" t="n">
        <f>COUNTIFS(dados[RESPOSTA],C60, dados[ID_PERGUNTA],$C$47,dados[Instituição],$A$2)</f>
        <v>1</v>
      </c>
      <c r="J60" s="141" t="n">
        <f t="shared" si="3"/>
        <v>5</v>
      </c>
    </row>
    <row r="61">
      <c r="C61" s="111" t="s">
        <v>313</v>
      </c>
      <c r="D61" s="111"/>
      <c r="E61" s="62" t="n">
        <f t="shared" ref="E61:J61" si="4">SUM(E55:E60)</f>
        <v>0</v>
      </c>
      <c r="F61" s="58" t="e">
        <f t="shared" si="4"/>
        <v>#DIV/0!</v>
      </c>
      <c r="G61" s="62" t="n">
        <f t="shared" si="4"/>
        <v>1</v>
      </c>
      <c r="H61" s="58" t="n">
        <f t="shared" si="4"/>
        <v>100</v>
      </c>
      <c r="I61" s="62" t="n">
        <f t="shared" si="4"/>
        <v>20</v>
      </c>
      <c r="J61" s="58" t="n">
        <f t="shared" si="4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5">E60+E59</f>
        <v>0</v>
      </c>
      <c r="F67" s="60" t="e">
        <f t="shared" si="5"/>
        <v>#DIV/0!</v>
      </c>
      <c r="G67" s="12" t="n">
        <f t="shared" si="5"/>
        <v>0</v>
      </c>
      <c r="H67" s="60" t="n">
        <f t="shared" si="5"/>
        <v>0</v>
      </c>
      <c r="I67" s="12" t="n">
        <f t="shared" si="5"/>
        <v>1</v>
      </c>
      <c r="J67" s="60" t="n">
        <f t="shared" si="5"/>
        <v>5</v>
      </c>
      <c r="N67" s="124"/>
    </row>
    <row r="68">
      <c r="C68" s="120" t="s">
        <v>402</v>
      </c>
      <c r="D68" s="48" t="s">
        <v>45</v>
      </c>
      <c r="E68" s="12" t="n">
        <f t="shared" ref="E68:J68" si="6">E55</f>
        <v>0</v>
      </c>
      <c r="F68" s="60" t="e">
        <f t="shared" si="6"/>
        <v>#DIV/0!</v>
      </c>
      <c r="G68" s="12" t="n">
        <f t="shared" si="6"/>
        <v>1</v>
      </c>
      <c r="H68" s="60" t="n">
        <f t="shared" si="6"/>
        <v>100</v>
      </c>
      <c r="I68" s="12" t="n">
        <f t="shared" si="6"/>
        <v>3</v>
      </c>
      <c r="J68" s="60" t="n">
        <f t="shared" si="6"/>
        <v>15</v>
      </c>
      <c r="N68" s="124"/>
    </row>
    <row r="69">
      <c r="C69" s="121" t="s">
        <v>403</v>
      </c>
      <c r="D69" s="48" t="s">
        <v>29</v>
      </c>
      <c r="E69" s="12" t="n">
        <f t="shared" ref="E69:J69" si="7">E58</f>
        <v>0</v>
      </c>
      <c r="F69" s="60" t="e">
        <f t="shared" si="7"/>
        <v>#DIV/0!</v>
      </c>
      <c r="G69" s="12" t="n">
        <f t="shared" si="7"/>
        <v>0</v>
      </c>
      <c r="H69" s="60" t="n">
        <f t="shared" si="7"/>
        <v>0</v>
      </c>
      <c r="I69" s="12" t="n">
        <f t="shared" si="7"/>
        <v>4</v>
      </c>
      <c r="J69" s="60" t="n">
        <f t="shared" si="7"/>
        <v>20</v>
      </c>
      <c r="N69" s="124"/>
    </row>
    <row r="70">
      <c r="C70" s="122" t="s">
        <v>404</v>
      </c>
      <c r="D70" s="48" t="s">
        <v>407</v>
      </c>
      <c r="E70" s="147" t="n">
        <f t="shared" ref="E70:J70" si="8">E57+E56</f>
        <v>0</v>
      </c>
      <c r="F70" s="63" t="e">
        <f t="shared" si="8"/>
        <v>#DIV/0!</v>
      </c>
      <c r="G70" s="147" t="n">
        <f t="shared" si="8"/>
        <v>0</v>
      </c>
      <c r="H70" s="63" t="n">
        <f t="shared" si="8"/>
        <v>0</v>
      </c>
      <c r="I70" s="147" t="n">
        <f t="shared" si="8"/>
        <v>12</v>
      </c>
      <c r="J70" s="63" t="n">
        <f t="shared" si="8"/>
        <v>60</v>
      </c>
      <c r="N70" s="124"/>
    </row>
    <row r="71" ht="15" customHeight="1">
      <c r="C71" s="62" t="s">
        <v>313</v>
      </c>
      <c r="D71" s="62"/>
      <c r="E71" s="62" t="n">
        <f>SUM(E67:E70)</f>
        <v>0</v>
      </c>
      <c r="F71" s="58" t="e">
        <f>SUM(F67:F70)</f>
        <v>#DIV/0!</v>
      </c>
      <c r="G71" s="62" t="n">
        <f>SUM(G67:G70)</f>
        <v>1</v>
      </c>
      <c r="H71" s="58" t="n">
        <f>SUM(H67:H70)</f>
        <v>100</v>
      </c>
      <c r="I71" s="62" t="n">
        <f>SUM(I67:I70)</f>
        <v>20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6">
      <c r="B76" s="66" t="s">
        <v>421</v>
      </c>
      <c r="C76" s="80" t="n">
        <f>INDEX(Questoes!A:A,MATCH(C80,Questoes!J:J,0))</f>
        <v>16</v>
      </c>
      <c r="D76" s="83" t="str">
        <f>INDEX(Questoes!F:F,MATCH(C80,Questoes!J:J,0))</f>
        <v>Sobre os Núcleos de Tecnologias Educacionais (NTEs), responda: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  <v>Você conhece os Núcleos de Tecnologias Educacionais (NTEs)? </v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1067</v>
      </c>
      <c r="D80" s="81" t="str">
        <f>VLOOKUP(C80, Questoes!J:K,2, 0)</f>
        <v>Avalie os recursos de tecnologia da informação e comunicação utilizados pelo NTE, incluindo a qualidade e manutenção dos equipamentos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1067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1067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9">ROUND(E88/$E$94*100,3)</f>
        <v>#DIV/0!</v>
      </c>
      <c r="G88" t="n">
        <f>COUNTIFS(dados[RESPOSTA],C88, dados[ID_PERGUNTA],$C$80,dados[COD_SETOR_CURSO],$C$5)</f>
        <v>1</v>
      </c>
      <c r="H88" s="141" t="n">
        <f t="shared" ref="H88:H93" si="10">ROUND(G88/G$61*100,3)</f>
        <v>100</v>
      </c>
      <c r="I88" t="n">
        <f>COUNTIFS(dados[RESPOSTA],C88, dados[ID_PERGUNTA],$C$80,dados[Instituição],$A$2)</f>
        <v>4</v>
      </c>
      <c r="J88" s="141" t="n">
        <f t="shared" ref="J88:J93" si="11">ROUND(I88/I$61*100,3)</f>
        <v>20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9"/>
        <v>#DIV/0!</v>
      </c>
      <c r="G89" t="n">
        <f>COUNTIFS(dados[RESPOSTA],C89, dados[ID_PERGUNTA],$C$80,dados[COD_SETOR_CURSO],$C$5)</f>
        <v>0</v>
      </c>
      <c r="H89" s="141" t="n">
        <f t="shared" si="10"/>
        <v>0</v>
      </c>
      <c r="I89" t="n">
        <f>COUNTIFS(dados[RESPOSTA],C89, dados[ID_PERGUNTA],$C$80,dados[Instituição],$A$2)</f>
        <v>4</v>
      </c>
      <c r="J89" s="141" t="n">
        <f t="shared" si="11"/>
        <v>20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9"/>
        <v>#DIV/0!</v>
      </c>
      <c r="G90" t="n">
        <f>COUNTIFS(dados[RESPOSTA],C90, dados[ID_PERGUNTA],$C$80,dados[COD_SETOR_CURSO],$C$5)</f>
        <v>0</v>
      </c>
      <c r="H90" s="141" t="n">
        <f t="shared" si="10"/>
        <v>0</v>
      </c>
      <c r="I90" t="n">
        <f>COUNTIFS(dados[RESPOSTA],C90, dados[ID_PERGUNTA],$C$80,dados[Instituição],$A$2)</f>
        <v>8</v>
      </c>
      <c r="J90" s="141" t="n">
        <f t="shared" si="11"/>
        <v>40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9"/>
        <v>#DIV/0!</v>
      </c>
      <c r="G91" t="n">
        <f>COUNTIFS(dados[RESPOSTA],C91, dados[ID_PERGUNTA],$C$80,dados[COD_SETOR_CURSO],$C$5)</f>
        <v>0</v>
      </c>
      <c r="H91" s="141" t="n">
        <f t="shared" si="10"/>
        <v>0</v>
      </c>
      <c r="I91" t="n">
        <f>COUNTIFS(dados[RESPOSTA],C91, dados[ID_PERGUNTA],$C$80,dados[Instituição],$A$2)</f>
        <v>2</v>
      </c>
      <c r="J91" s="141" t="n">
        <f t="shared" si="11"/>
        <v>10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9"/>
        <v>#DIV/0!</v>
      </c>
      <c r="G92" t="n">
        <f>COUNTIFS(dados[RESPOSTA],C92, dados[ID_PERGUNTA],$C$80,dados[COD_SETOR_CURSO],$C$5)</f>
        <v>0</v>
      </c>
      <c r="H92" s="141" t="n">
        <f t="shared" si="10"/>
        <v>0</v>
      </c>
      <c r="I92" t="n">
        <f>COUNTIFS(dados[RESPOSTA],C92, dados[ID_PERGUNTA],$C$80,dados[Instituição],$A$2)</f>
        <v>1</v>
      </c>
      <c r="J92" s="141" t="n">
        <f t="shared" si="11"/>
        <v>5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9"/>
        <v>#DIV/0!</v>
      </c>
      <c r="G93" t="n">
        <f>COUNTIFS(dados[RESPOSTA],C93, dados[ID_PERGUNTA],$C$80,dados[COD_SETOR_CURSO],$C$5)</f>
        <v>0</v>
      </c>
      <c r="H93" s="141" t="n">
        <f t="shared" si="10"/>
        <v>0</v>
      </c>
      <c r="I93" t="n">
        <f>COUNTIFS(dados[RESPOSTA],C93, dados[ID_PERGUNTA],$C$80,dados[Instituição],$A$2)</f>
        <v>1</v>
      </c>
      <c r="J93" s="141" t="n">
        <f t="shared" si="11"/>
        <v>5</v>
      </c>
    </row>
    <row r="94">
      <c r="C94" s="111" t="s">
        <v>313</v>
      </c>
      <c r="D94" s="111"/>
      <c r="E94" s="62" t="n">
        <f t="shared" ref="E94:J94" si="12">SUM(E88:E93)</f>
        <v>0</v>
      </c>
      <c r="F94" s="58" t="e">
        <f t="shared" si="12"/>
        <v>#DIV/0!</v>
      </c>
      <c r="G94" s="62" t="n">
        <f t="shared" si="12"/>
        <v>1</v>
      </c>
      <c r="H94" s="58" t="n">
        <f t="shared" si="12"/>
        <v>100</v>
      </c>
      <c r="I94" s="62" t="n">
        <f t="shared" si="12"/>
        <v>20</v>
      </c>
      <c r="J94" s="58" t="n">
        <f t="shared" si="12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13">E93+E92</f>
        <v>0</v>
      </c>
      <c r="F100" s="60" t="e">
        <f t="shared" si="13"/>
        <v>#DIV/0!</v>
      </c>
      <c r="G100" s="12" t="n">
        <f t="shared" si="13"/>
        <v>0</v>
      </c>
      <c r="H100" s="60" t="n">
        <f t="shared" si="13"/>
        <v>0</v>
      </c>
      <c r="I100" s="12" t="n">
        <f t="shared" si="13"/>
        <v>2</v>
      </c>
      <c r="J100" s="60" t="n">
        <f t="shared" si="13"/>
        <v>10</v>
      </c>
      <c r="N100" s="124"/>
    </row>
    <row r="101">
      <c r="C101" s="120" t="s">
        <v>402</v>
      </c>
      <c r="D101" s="48" t="s">
        <v>45</v>
      </c>
      <c r="E101" s="12" t="n">
        <f t="shared" ref="E101:J101" si="14">E88</f>
        <v>0</v>
      </c>
      <c r="F101" s="60" t="e">
        <f t="shared" si="14"/>
        <v>#DIV/0!</v>
      </c>
      <c r="G101" s="12" t="n">
        <f t="shared" si="14"/>
        <v>1</v>
      </c>
      <c r="H101" s="60" t="n">
        <f t="shared" si="14"/>
        <v>100</v>
      </c>
      <c r="I101" s="12" t="n">
        <f t="shared" si="14"/>
        <v>4</v>
      </c>
      <c r="J101" s="60" t="n">
        <f t="shared" si="14"/>
        <v>20</v>
      </c>
      <c r="N101" s="124"/>
    </row>
    <row r="102">
      <c r="C102" s="121" t="s">
        <v>403</v>
      </c>
      <c r="D102" s="48" t="s">
        <v>29</v>
      </c>
      <c r="E102" s="12" t="n">
        <f t="shared" ref="E102:J102" si="15">E91</f>
        <v>0</v>
      </c>
      <c r="F102" s="60" t="e">
        <f t="shared" si="15"/>
        <v>#DIV/0!</v>
      </c>
      <c r="G102" s="12" t="n">
        <f t="shared" si="15"/>
        <v>0</v>
      </c>
      <c r="H102" s="60" t="n">
        <f t="shared" si="15"/>
        <v>0</v>
      </c>
      <c r="I102" s="12" t="n">
        <f t="shared" si="15"/>
        <v>2</v>
      </c>
      <c r="J102" s="60" t="n">
        <f t="shared" si="15"/>
        <v>10</v>
      </c>
      <c r="N102" s="124"/>
    </row>
    <row r="103">
      <c r="C103" s="122" t="s">
        <v>404</v>
      </c>
      <c r="D103" s="48" t="s">
        <v>407</v>
      </c>
      <c r="E103" s="147" t="n">
        <f t="shared" ref="E103:J103" si="16">E90+E89</f>
        <v>0</v>
      </c>
      <c r="F103" s="63" t="e">
        <f t="shared" si="16"/>
        <v>#DIV/0!</v>
      </c>
      <c r="G103" s="147" t="n">
        <f t="shared" si="16"/>
        <v>0</v>
      </c>
      <c r="H103" s="63" t="n">
        <f t="shared" si="16"/>
        <v>0</v>
      </c>
      <c r="I103" s="147" t="n">
        <f t="shared" si="16"/>
        <v>12</v>
      </c>
      <c r="J103" s="63" t="n">
        <f t="shared" si="16"/>
        <v>60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SUM(F100:F103)</f>
        <v>#DIV/0!</v>
      </c>
      <c r="G104" s="62" t="n">
        <f>SUM(G100:G103)</f>
        <v>1</v>
      </c>
      <c r="H104" s="58" t="n">
        <f>SUM(H100:H103)</f>
        <v>100</v>
      </c>
      <c r="I104" s="62" t="n">
        <f>SUM(I100:I103)</f>
        <v>20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</sheetData>
  <sheetProtection password="C2D7" sheet="1"/>
  <mergeCells count="85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19:J19"/>
    <mergeCell ref="L19:O19"/>
    <mergeCell ref="E20:F20"/>
    <mergeCell ref="G20:H20"/>
    <mergeCell ref="I20:J20"/>
    <mergeCell ref="M20:O20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C93:D93"/>
    <mergeCell ref="C94:D94"/>
    <mergeCell ref="C97:J97"/>
    <mergeCell ref="E98:F98"/>
    <mergeCell ref="G98:H98"/>
    <mergeCell ref="I98:J98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436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INDEX(Questoes!E:E,MATCH(LABORATÓRIOS!C14,Questoes!J:J,0))</f>
        <v>LABORATÓRIOS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17</v>
      </c>
      <c r="D10" s="83" t="str">
        <f>INDEX(Questoes!F:F,MATCH(C14,Questoes!J:J,0))</f>
        <v>Sobre os laboratórios da UFPR, responda: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1068</v>
      </c>
      <c r="D14" s="81" t="str">
        <f>VLOOKUP(C14, Questoes!J:K,2, 0)</f>
        <v>Você utilizou um ou mais laboratórios da UFPR?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5" t="s">
        <v>430</v>
      </c>
      <c r="C19" s="114" t="s">
        <v>424</v>
      </c>
      <c r="D19" s="115"/>
      <c r="E19" s="115"/>
      <c r="F19" s="115"/>
      <c r="G19" s="115"/>
      <c r="H19" s="115"/>
      <c r="I19" s="115"/>
      <c r="J19" s="116"/>
      <c r="K19" s="140"/>
      <c r="L19" s="67" t="str">
        <f>C19</f>
        <v>Apuração de Resultados </v>
      </c>
      <c r="M19" s="68"/>
      <c r="N19" s="68"/>
      <c r="O19" s="69"/>
      <c r="P19" s="117"/>
      <c r="Q19" s="204"/>
      <c r="R19" s="204"/>
      <c r="S19" s="204"/>
      <c r="T19" s="204"/>
      <c r="U19" s="204"/>
      <c r="V19" s="204"/>
      <c r="W19" s="204"/>
    </row>
    <row r="20">
      <c r="C20" s="56"/>
      <c r="D20" s="56"/>
      <c r="E20" s="71" t="s">
        <v>418</v>
      </c>
      <c r="F20" s="71"/>
      <c r="G20" s="72" t="s">
        <v>419</v>
      </c>
      <c r="H20" s="72"/>
      <c r="I20" s="73" t="s">
        <v>21</v>
      </c>
      <c r="J20" s="73"/>
      <c r="K20" s="140"/>
      <c r="L20" s="159" t="s">
        <v>422</v>
      </c>
      <c r="M20" s="106" t="n">
        <f>C14</f>
        <v>1068</v>
      </c>
      <c r="N20" s="106"/>
      <c r="O20" s="106"/>
      <c r="P20" s="117"/>
      <c r="Q20" s="190"/>
      <c r="R20" s="190"/>
      <c r="S20" s="190"/>
      <c r="T20" s="190"/>
      <c r="U20" s="190"/>
      <c r="V20" s="190"/>
      <c r="W20" s="190"/>
    </row>
    <row r="21">
      <c r="C21" s="112" t="s">
        <v>425</v>
      </c>
      <c r="D21" s="112"/>
      <c r="E21" s="156" t="s">
        <v>303</v>
      </c>
      <c r="F21" s="155" t="s">
        <v>426</v>
      </c>
      <c r="G21" s="156" t="s">
        <v>303</v>
      </c>
      <c r="H21" s="155" t="s">
        <v>426</v>
      </c>
      <c r="I21" s="156" t="s">
        <v>303</v>
      </c>
      <c r="J21" s="155" t="s">
        <v>426</v>
      </c>
    </row>
    <row r="22">
      <c r="C22" s="109" t="s">
        <v>81</v>
      </c>
      <c r="D22" s="109"/>
      <c r="E22" t="n">
        <f>COUNTIFS(dados[RESPOSTA],C22, dados[ID_PERGUNTA],$C$14, dados[COD_HABILITAÇÃO_CURSO],$C$4)</f>
        <v>0</v>
      </c>
      <c r="F22" s="61" t="e">
        <f>ROUND(E22/$E$28*100,3)</f>
        <v>#DIV/0!</v>
      </c>
      <c r="G22" t="n">
        <f>COUNTIFS(dados[RESPOSTA],C22, dados[ID_PERGUNTA],$C$14, dados[COD_SETOR_CURSO],$C$5)</f>
        <v>16</v>
      </c>
      <c r="H22" s="143" t="n">
        <f>ROUND(G22/$G$28*100,3)</f>
        <v>21.622</v>
      </c>
      <c r="I22" s="123" t="n">
        <f>COUNTIFS(dados[RESPOSTA],C22, dados[ID_PERGUNTA],$C$14, dados[Instituição],$A$2)</f>
        <v>328</v>
      </c>
      <c r="J22" s="143" t="n">
        <f>ROUND(I22/$I$28*100,3)</f>
        <v>64.188000000000002</v>
      </c>
      <c r="L22" s="20"/>
      <c r="P22" s="118"/>
      <c r="V22" s="20"/>
      <c r="W22" s="20"/>
      <c r="X22" s="118"/>
      <c r="Y22" s="118"/>
    </row>
    <row r="23">
      <c r="C23" s="77" t="s">
        <v>75</v>
      </c>
      <c r="D23" s="77"/>
      <c r="E23" t="n">
        <f>COUNTIFS(dados[RESPOSTA],C23, dados[ID_PERGUNTA],$C$14, dados[COD_HABILITAÇÃO_CURSO],$C$4)</f>
        <v>0</v>
      </c>
      <c r="F23" s="61" t="e">
        <f>ROUND(E23/$E$28*100,3)</f>
        <v>#DIV/0!</v>
      </c>
      <c r="G23" t="n">
        <f>COUNTIFS(dados[RESPOSTA],C23, dados[ID_PERGUNTA],$C$14, dados[COD_SETOR_CURSO],$C$5)</f>
        <v>58</v>
      </c>
      <c r="H23" s="143" t="n">
        <f>ROUND(G23/$G$28*100,3)</f>
        <v>78.378</v>
      </c>
      <c r="I23" s="123" t="n">
        <f>COUNTIFS(dados[RESPOSTA],C23, dados[ID_PERGUNTA],$C$14, dados[Instituição],$A$2)</f>
        <v>183</v>
      </c>
      <c r="J23" s="143" t="n">
        <f>ROUND(I23/$I$28*100,3)</f>
        <v>35.811999999999998</v>
      </c>
      <c r="K23" s="48"/>
      <c r="L23" s="48"/>
      <c r="N23" s="124"/>
    </row>
    <row r="24">
      <c r="C24" s="52"/>
      <c r="D24" s="52"/>
      <c r="N24" s="124"/>
    </row>
    <row r="25">
      <c r="C25" s="52"/>
      <c r="D25" s="52"/>
      <c r="F25" s="124"/>
      <c r="G25" s="124"/>
      <c r="H25" s="124"/>
      <c r="I25" s="124"/>
      <c r="J25" s="124"/>
      <c r="N25" s="124"/>
    </row>
    <row r="26">
      <c r="C26" s="52"/>
      <c r="D26" s="52"/>
      <c r="N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113"/>
      <c r="D27" s="113"/>
      <c r="N27" s="124"/>
    </row>
    <row r="28">
      <c r="C28" s="111" t="s">
        <v>313</v>
      </c>
      <c r="D28" s="111"/>
      <c r="E28" s="132" t="n">
        <f t="shared" ref="E28:J28" si="0">SUM(E22:E23)</f>
        <v>0</v>
      </c>
      <c r="F28" s="58" t="e">
        <f t="shared" si="0"/>
        <v>#DIV/0!</v>
      </c>
      <c r="G28" s="62" t="n">
        <f t="shared" si="0"/>
        <v>74</v>
      </c>
      <c r="H28" s="58" t="n">
        <f t="shared" si="0"/>
        <v>100</v>
      </c>
      <c r="I28" s="62" t="n">
        <f t="shared" si="0"/>
        <v>511</v>
      </c>
      <c r="J28" s="58" t="n">
        <f t="shared" si="0"/>
        <v>100</v>
      </c>
      <c r="N28" s="124"/>
    </row>
    <row r="29">
      <c r="N29" s="124"/>
    </row>
    <row r="30">
      <c r="C30" t="s">
        <v>431</v>
      </c>
      <c r="N30" s="124"/>
    </row>
    <row r="31">
      <c r="N31" s="124"/>
    </row>
    <row r="32">
      <c r="N32" s="124"/>
    </row>
    <row r="33">
      <c r="N33" s="124"/>
    </row>
    <row r="34">
      <c r="N34" s="124"/>
    </row>
    <row r="35">
      <c r="N35" s="124"/>
    </row>
    <row r="36">
      <c r="N36" s="124"/>
    </row>
    <row r="37">
      <c r="C37" s="171"/>
      <c r="D37" s="48"/>
      <c r="E37" s="147"/>
      <c r="F37" s="63"/>
      <c r="G37" s="147"/>
      <c r="H37" s="63"/>
      <c r="I37" s="147"/>
      <c r="J37" s="63"/>
      <c r="N37" s="124"/>
    </row>
    <row r="38">
      <c r="F38" s="141"/>
      <c r="H38" s="141"/>
      <c r="J38" s="141"/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18</v>
      </c>
      <c r="D43" s="83" t="str">
        <f>INDEX(Questoes!F:F,MATCH(C47,Questoes!J:J,0))</f>
        <v>Sobre os laboratórios da UFPR, responda: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  <v>Você utilizou um ou mais laboratórios da UFPR?</v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1069</v>
      </c>
      <c r="D47" s="81" t="str">
        <f>VLOOKUP(C47, Questoes!J:K,2, 0)</f>
        <v>Avalie a adequação e flexibilidade de organização do espaço físico no(s) laboratório(s), incluindo as condições de conforto do ambiente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1069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1069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e">
        <f t="shared" ref="F55:F60" si="1">ROUND(E55/E$61*100,3)</f>
        <v>#DIV/0!</v>
      </c>
      <c r="G55" t="n">
        <f>COUNTIFS(dados[RESPOSTA],C55, dados[ID_PERGUNTA],$C$47,dados[COD_SETOR_CURSO],$C$5)</f>
        <v>0</v>
      </c>
      <c r="H55" s="141" t="n">
        <f t="shared" ref="H55:H60" si="2">ROUND(G55/G$61*100,3)</f>
        <v>0</v>
      </c>
      <c r="I55" t="n">
        <f>COUNTIFS(dados[RESPOSTA],C55, dados[ID_PERGUNTA],$C$47,dados[Instituição],$A$2)</f>
        <v>1</v>
      </c>
      <c r="J55" s="141" t="n">
        <f t="shared" ref="J55:J60" si="3">ROUND(I55/I$61*100,3)</f>
        <v>0.30599999999999999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e">
        <f t="shared" si="1"/>
        <v>#DIV/0!</v>
      </c>
      <c r="G56" t="n">
        <f>COUNTIFS(dados[RESPOSTA],C56, dados[ID_PERGUNTA],$C$47,dados[COD_SETOR_CURSO],$C$5)</f>
        <v>4</v>
      </c>
      <c r="H56" s="141" t="n">
        <f t="shared" si="2"/>
        <v>23.529</v>
      </c>
      <c r="I56" t="n">
        <f>COUNTIFS(dados[RESPOSTA],C56, dados[ID_PERGUNTA],$C$47,dados[Instituição],$A$2)</f>
        <v>58</v>
      </c>
      <c r="J56" s="141" t="n">
        <f t="shared" si="3"/>
        <v>17.736999999999998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e">
        <f t="shared" si="1"/>
        <v>#DIV/0!</v>
      </c>
      <c r="G57" t="n">
        <f>COUNTIFS(dados[RESPOSTA],C57, dados[ID_PERGUNTA],$C$47,dados[COD_SETOR_CURSO],$C$5)</f>
        <v>7</v>
      </c>
      <c r="H57" s="141" t="n">
        <f t="shared" si="2"/>
        <v>41.176000000000002</v>
      </c>
      <c r="I57" t="n">
        <f>COUNTIFS(dados[RESPOSTA],C57, dados[ID_PERGUNTA],$C$47,dados[Instituição],$A$2)</f>
        <v>146</v>
      </c>
      <c r="J57" s="141" t="n">
        <f t="shared" si="3"/>
        <v>44.648000000000003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e">
        <f t="shared" si="1"/>
        <v>#DIV/0!</v>
      </c>
      <c r="G58" t="n">
        <f>COUNTIFS(dados[RESPOSTA],C58, dados[ID_PERGUNTA],$C$47,dados[COD_SETOR_CURSO],$C$5)</f>
        <v>3</v>
      </c>
      <c r="H58" s="141" t="n">
        <f t="shared" si="2"/>
        <v>17.646999999999998</v>
      </c>
      <c r="I58" t="n">
        <f>COUNTIFS(dados[RESPOSTA],C58, dados[ID_PERGUNTA],$C$47,dados[Instituição],$A$2)</f>
        <v>89</v>
      </c>
      <c r="J58" s="141" t="n">
        <f t="shared" si="3"/>
        <v>27.216999999999999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e">
        <f t="shared" si="1"/>
        <v>#DIV/0!</v>
      </c>
      <c r="G59" t="n">
        <f>COUNTIFS(dados[RESPOSTA],C59, dados[ID_PERGUNTA],$C$47,dados[COD_SETOR_CURSO],$C$5)</f>
        <v>3</v>
      </c>
      <c r="H59" s="141" t="n">
        <f t="shared" si="2"/>
        <v>17.646999999999998</v>
      </c>
      <c r="I59" t="n">
        <f>COUNTIFS(dados[RESPOSTA],C59, dados[ID_PERGUNTA],$C$47,dados[Instituição],$A$2)</f>
        <v>27</v>
      </c>
      <c r="J59" s="141" t="n">
        <f t="shared" si="3"/>
        <v>8.2569999999999997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e">
        <f t="shared" si="1"/>
        <v>#DIV/0!</v>
      </c>
      <c r="G60" t="n">
        <f>COUNTIFS(dados[RESPOSTA],C60, dados[ID_PERGUNTA],$C$47,dados[COD_SETOR_CURSO],$C$5)</f>
        <v>0</v>
      </c>
      <c r="H60" s="141" t="n">
        <f t="shared" si="2"/>
        <v>0</v>
      </c>
      <c r="I60" t="n">
        <f>COUNTIFS(dados[RESPOSTA],C60, dados[ID_PERGUNTA],$C$47,dados[Instituição],$A$2)</f>
        <v>6</v>
      </c>
      <c r="J60" s="141" t="n">
        <f t="shared" si="3"/>
        <v>1.835</v>
      </c>
    </row>
    <row r="61">
      <c r="C61" s="111" t="s">
        <v>313</v>
      </c>
      <c r="D61" s="111"/>
      <c r="E61" s="62" t="n">
        <f t="shared" ref="E61:J61" si="4">SUM(E55:E60)</f>
        <v>0</v>
      </c>
      <c r="F61" s="58" t="e">
        <f t="shared" si="4"/>
        <v>#DIV/0!</v>
      </c>
      <c r="G61" s="62" t="n">
        <f t="shared" si="4"/>
        <v>17</v>
      </c>
      <c r="H61" s="58" t="n">
        <f t="shared" si="4"/>
        <v>99.998999999999995</v>
      </c>
      <c r="I61" s="62" t="n">
        <f t="shared" si="4"/>
        <v>327</v>
      </c>
      <c r="J61" s="58" t="n">
        <f t="shared" si="4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5">E60+E59</f>
        <v>0</v>
      </c>
      <c r="F67" s="60" t="e">
        <f t="shared" si="5"/>
        <v>#DIV/0!</v>
      </c>
      <c r="G67" s="12" t="n">
        <f t="shared" si="5"/>
        <v>3</v>
      </c>
      <c r="H67" s="60" t="n">
        <f t="shared" si="5"/>
        <v>17.646999999999998</v>
      </c>
      <c r="I67" s="12" t="n">
        <f t="shared" si="5"/>
        <v>33</v>
      </c>
      <c r="J67" s="60" t="n">
        <f t="shared" si="5"/>
        <v>10.091999999999999</v>
      </c>
      <c r="N67" s="124"/>
    </row>
    <row r="68">
      <c r="C68" s="120" t="s">
        <v>402</v>
      </c>
      <c r="D68" s="48" t="s">
        <v>45</v>
      </c>
      <c r="E68" s="12" t="n">
        <f t="shared" ref="E68:J68" si="6">E55</f>
        <v>0</v>
      </c>
      <c r="F68" s="60" t="e">
        <f t="shared" si="6"/>
        <v>#DIV/0!</v>
      </c>
      <c r="G68" s="12" t="n">
        <f t="shared" si="6"/>
        <v>0</v>
      </c>
      <c r="H68" s="60" t="n">
        <f t="shared" si="6"/>
        <v>0</v>
      </c>
      <c r="I68" s="12" t="n">
        <f t="shared" si="6"/>
        <v>1</v>
      </c>
      <c r="J68" s="60" t="n">
        <f t="shared" si="6"/>
        <v>0.30599999999999999</v>
      </c>
      <c r="N68" s="124"/>
    </row>
    <row r="69">
      <c r="C69" s="121" t="s">
        <v>403</v>
      </c>
      <c r="D69" s="48" t="s">
        <v>29</v>
      </c>
      <c r="E69" s="12" t="n">
        <f t="shared" ref="E69:J69" si="7">E58</f>
        <v>0</v>
      </c>
      <c r="F69" s="60" t="e">
        <f t="shared" si="7"/>
        <v>#DIV/0!</v>
      </c>
      <c r="G69" s="12" t="n">
        <f t="shared" si="7"/>
        <v>3</v>
      </c>
      <c r="H69" s="60" t="n">
        <f t="shared" si="7"/>
        <v>17.646999999999998</v>
      </c>
      <c r="I69" s="12" t="n">
        <f t="shared" si="7"/>
        <v>89</v>
      </c>
      <c r="J69" s="60" t="n">
        <f t="shared" si="7"/>
        <v>27.216999999999999</v>
      </c>
      <c r="N69" s="124"/>
    </row>
    <row r="70">
      <c r="C70" s="122" t="s">
        <v>404</v>
      </c>
      <c r="D70" s="48" t="s">
        <v>407</v>
      </c>
      <c r="E70" s="147" t="n">
        <f t="shared" ref="E70:J70" si="8">E57+E56</f>
        <v>0</v>
      </c>
      <c r="F70" s="63" t="e">
        <f t="shared" si="8"/>
        <v>#DIV/0!</v>
      </c>
      <c r="G70" s="147" t="n">
        <f t="shared" si="8"/>
        <v>11</v>
      </c>
      <c r="H70" s="63" t="n">
        <f t="shared" si="8"/>
        <v>64.704999999999998</v>
      </c>
      <c r="I70" s="147" t="n">
        <f t="shared" si="8"/>
        <v>204</v>
      </c>
      <c r="J70" s="63" t="n">
        <f t="shared" si="8"/>
        <v>62.385000000000005</v>
      </c>
      <c r="N70" s="124"/>
    </row>
    <row r="71" ht="15" customHeight="1">
      <c r="C71" s="62" t="s">
        <v>313</v>
      </c>
      <c r="D71" s="62"/>
      <c r="E71" s="62" t="n">
        <f>SUM(E67:E70)</f>
        <v>0</v>
      </c>
      <c r="F71" s="58" t="e">
        <f>SUM(F67:F70)</f>
        <v>#DIV/0!</v>
      </c>
      <c r="G71" s="62" t="n">
        <f>SUM(G67:G70)</f>
        <v>17</v>
      </c>
      <c r="H71" s="58" t="n">
        <f>SUM(H67:H70)</f>
        <v>99.998999999999995</v>
      </c>
      <c r="I71" s="62" t="n">
        <f>SUM(I67:I70)</f>
        <v>327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6">
      <c r="B76" s="66" t="s">
        <v>421</v>
      </c>
      <c r="C76" s="80" t="n">
        <f>INDEX(Questoes!A:A,MATCH(C80,Questoes!J:J,0))</f>
        <v>19</v>
      </c>
      <c r="D76" s="83" t="str">
        <f>INDEX(Questoes!F:F,MATCH(C80,Questoes!J:J,0))</f>
        <v>Sobre os laboratórios da UFPR, responda: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  <v>Você utilizou um ou mais laboratórios da UFPR?</v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1070</v>
      </c>
      <c r="D80" s="8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1070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1070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9">ROUND(E88/$E$94*100,3)</f>
        <v>#DIV/0!</v>
      </c>
      <c r="G88" t="n">
        <f>COUNTIFS(dados[RESPOSTA],C88, dados[ID_PERGUNTA],$C$80,dados[COD_SETOR_CURSO],$C$5)</f>
        <v>0</v>
      </c>
      <c r="H88" s="141" t="n">
        <f t="shared" ref="H88:H93" si="10">ROUND(G88/G$61*100,3)</f>
        <v>0</v>
      </c>
      <c r="I88" t="n">
        <f>COUNTIFS(dados[RESPOSTA],C88, dados[ID_PERGUNTA],$C$80,dados[Instituição],$A$2)</f>
        <v>2</v>
      </c>
      <c r="J88" s="141" t="n">
        <f t="shared" ref="J88:J93" si="11">ROUND(I88/I$61*100,3)</f>
        <v>0.61199999999999999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9"/>
        <v>#DIV/0!</v>
      </c>
      <c r="G89" t="n">
        <f>COUNTIFS(dados[RESPOSTA],C89, dados[ID_PERGUNTA],$C$80,dados[COD_SETOR_CURSO],$C$5)</f>
        <v>4</v>
      </c>
      <c r="H89" s="141" t="n">
        <f t="shared" si="10"/>
        <v>23.529</v>
      </c>
      <c r="I89" t="n">
        <f>COUNTIFS(dados[RESPOSTA],C89, dados[ID_PERGUNTA],$C$80,dados[Instituição],$A$2)</f>
        <v>47</v>
      </c>
      <c r="J89" s="141" t="n">
        <f t="shared" si="11"/>
        <v>14.372999999999999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9"/>
        <v>#DIV/0!</v>
      </c>
      <c r="G90" t="n">
        <f>COUNTIFS(dados[RESPOSTA],C90, dados[ID_PERGUNTA],$C$80,dados[COD_SETOR_CURSO],$C$5)</f>
        <v>4</v>
      </c>
      <c r="H90" s="141" t="n">
        <f t="shared" si="10"/>
        <v>23.529</v>
      </c>
      <c r="I90" t="n">
        <f>COUNTIFS(dados[RESPOSTA],C90, dados[ID_PERGUNTA],$C$80,dados[Instituição],$A$2)</f>
        <v>114</v>
      </c>
      <c r="J90" s="141" t="n">
        <f t="shared" si="11"/>
        <v>34.862000000000002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9"/>
        <v>#DIV/0!</v>
      </c>
      <c r="G91" t="n">
        <f>COUNTIFS(dados[RESPOSTA],C91, dados[ID_PERGUNTA],$C$80,dados[COD_SETOR_CURSO],$C$5)</f>
        <v>6</v>
      </c>
      <c r="H91" s="141" t="n">
        <f t="shared" si="10"/>
        <v>35.293999999999997</v>
      </c>
      <c r="I91" t="n">
        <f>COUNTIFS(dados[RESPOSTA],C91, dados[ID_PERGUNTA],$C$80,dados[Instituição],$A$2)</f>
        <v>108</v>
      </c>
      <c r="J91" s="141" t="n">
        <f t="shared" si="11"/>
        <v>33.027999999999999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9"/>
        <v>#DIV/0!</v>
      </c>
      <c r="G92" t="n">
        <f>COUNTIFS(dados[RESPOSTA],C92, dados[ID_PERGUNTA],$C$80,dados[COD_SETOR_CURSO],$C$5)</f>
        <v>2</v>
      </c>
      <c r="H92" s="141" t="n">
        <f t="shared" si="10"/>
        <v>11.765000000000001</v>
      </c>
      <c r="I92" t="n">
        <f>COUNTIFS(dados[RESPOSTA],C92, dados[ID_PERGUNTA],$C$80,dados[Instituição],$A$2)</f>
        <v>34</v>
      </c>
      <c r="J92" s="141" t="n">
        <f t="shared" si="11"/>
        <v>10.398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9"/>
        <v>#DIV/0!</v>
      </c>
      <c r="G93" t="n">
        <f>COUNTIFS(dados[RESPOSTA],C93, dados[ID_PERGUNTA],$C$80,dados[COD_SETOR_CURSO],$C$5)</f>
        <v>1</v>
      </c>
      <c r="H93" s="141" t="n">
        <f t="shared" si="10"/>
        <v>5.8819999999999997</v>
      </c>
      <c r="I93" t="n">
        <f>COUNTIFS(dados[RESPOSTA],C93, dados[ID_PERGUNTA],$C$80,dados[Instituição],$A$2)</f>
        <v>18</v>
      </c>
      <c r="J93" s="141" t="n">
        <f t="shared" si="11"/>
        <v>5.5049999999999999</v>
      </c>
    </row>
    <row r="94">
      <c r="C94" s="111" t="s">
        <v>313</v>
      </c>
      <c r="D94" s="111"/>
      <c r="E94" s="62" t="n">
        <f t="shared" ref="E94:J94" si="12">SUM(E88:E93)</f>
        <v>0</v>
      </c>
      <c r="F94" s="58" t="e">
        <f t="shared" si="12"/>
        <v>#DIV/0!</v>
      </c>
      <c r="G94" s="62" t="n">
        <f t="shared" si="12"/>
        <v>17</v>
      </c>
      <c r="H94" s="58" t="n">
        <f t="shared" si="12"/>
        <v>99.999000000000009</v>
      </c>
      <c r="I94" s="62" t="n">
        <f t="shared" si="12"/>
        <v>323</v>
      </c>
      <c r="J94" s="58" t="n">
        <f t="shared" si="12"/>
        <v>98.777999999999992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13">E93+E92</f>
        <v>0</v>
      </c>
      <c r="F100" s="60" t="e">
        <f t="shared" si="13"/>
        <v>#DIV/0!</v>
      </c>
      <c r="G100" s="12" t="n">
        <f t="shared" si="13"/>
        <v>3</v>
      </c>
      <c r="H100" s="60" t="n">
        <f t="shared" si="13"/>
        <v>17.646999999999998</v>
      </c>
      <c r="I100" s="12" t="n">
        <f t="shared" si="13"/>
        <v>52</v>
      </c>
      <c r="J100" s="60" t="n">
        <f t="shared" si="13"/>
        <v>15.902999999999999</v>
      </c>
      <c r="N100" s="124"/>
    </row>
    <row r="101">
      <c r="C101" s="120" t="s">
        <v>402</v>
      </c>
      <c r="D101" s="48" t="s">
        <v>45</v>
      </c>
      <c r="E101" s="12" t="n">
        <f t="shared" ref="E101:J101" si="14">E88</f>
        <v>0</v>
      </c>
      <c r="F101" s="60" t="e">
        <f t="shared" si="14"/>
        <v>#DIV/0!</v>
      </c>
      <c r="G101" s="12" t="n">
        <f t="shared" si="14"/>
        <v>0</v>
      </c>
      <c r="H101" s="60" t="n">
        <f t="shared" si="14"/>
        <v>0</v>
      </c>
      <c r="I101" s="12" t="n">
        <f t="shared" si="14"/>
        <v>2</v>
      </c>
      <c r="J101" s="60" t="n">
        <f t="shared" si="14"/>
        <v>0.61199999999999999</v>
      </c>
      <c r="N101" s="124"/>
    </row>
    <row r="102">
      <c r="C102" s="121" t="s">
        <v>403</v>
      </c>
      <c r="D102" s="48" t="s">
        <v>29</v>
      </c>
      <c r="E102" s="12" t="n">
        <f t="shared" ref="E102:J102" si="15">E91</f>
        <v>0</v>
      </c>
      <c r="F102" s="60" t="e">
        <f t="shared" si="15"/>
        <v>#DIV/0!</v>
      </c>
      <c r="G102" s="12" t="n">
        <f t="shared" si="15"/>
        <v>6</v>
      </c>
      <c r="H102" s="60" t="n">
        <f t="shared" si="15"/>
        <v>35.293999999999997</v>
      </c>
      <c r="I102" s="12" t="n">
        <f t="shared" si="15"/>
        <v>108</v>
      </c>
      <c r="J102" s="60" t="n">
        <f t="shared" si="15"/>
        <v>33.027999999999999</v>
      </c>
      <c r="N102" s="124"/>
    </row>
    <row r="103">
      <c r="C103" s="122" t="s">
        <v>404</v>
      </c>
      <c r="D103" s="48" t="s">
        <v>407</v>
      </c>
      <c r="E103" s="147" t="n">
        <f t="shared" ref="E103:J103" si="16">E90+E89</f>
        <v>0</v>
      </c>
      <c r="F103" s="63" t="e">
        <f t="shared" si="16"/>
        <v>#DIV/0!</v>
      </c>
      <c r="G103" s="147" t="n">
        <f t="shared" si="16"/>
        <v>8</v>
      </c>
      <c r="H103" s="63" t="n">
        <f t="shared" si="16"/>
        <v>47.058</v>
      </c>
      <c r="I103" s="147" t="n">
        <f t="shared" si="16"/>
        <v>161</v>
      </c>
      <c r="J103" s="63" t="n">
        <f t="shared" si="16"/>
        <v>49.234999999999999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SUM(F100:F103)</f>
        <v>#DIV/0!</v>
      </c>
      <c r="G104" s="62" t="n">
        <f>SUM(G100:G103)</f>
        <v>17</v>
      </c>
      <c r="H104" s="58" t="n">
        <f>SUM(H100:H103)</f>
        <v>99.998999999999995</v>
      </c>
      <c r="I104" s="62" t="n">
        <f>SUM(I100:I103)</f>
        <v>323</v>
      </c>
      <c r="J104" s="58" t="n">
        <f>ROUND(SUM(J100:J103),2)</f>
        <v>98.78</v>
      </c>
      <c r="L104" s="77"/>
      <c r="M104" s="77"/>
      <c r="N104" s="124"/>
    </row>
    <row r="105">
      <c r="L105" s="77"/>
      <c r="M105" s="77"/>
      <c r="N105" s="124"/>
    </row>
    <row r="106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9">
      <c r="B109" s="66" t="s">
        <v>421</v>
      </c>
      <c r="C109" s="80" t="n">
        <f>INDEX(Questoes!A:A,MATCH(C113,Questoes!J:J,0))</f>
        <v>20</v>
      </c>
      <c r="D109" s="83" t="str">
        <f>INDEX(Questoes!F:F,MATCH(C113,Questoes!J:J,0))</f>
        <v>Sobre os laboratórios da UFPR, responda: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>
      <c r="D112" s="82" t="str">
        <f>IF(INDEX(Questoes!I:I,MATCH(C113,Questoes!J:J,FALSE))=0,"",INDEX(Questoes!I:I,MATCH(C113,Questoes!J:J,FALSE)))</f>
        <v>Você utilizou um ou mais laboratórios da UFPR?</v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</row>
    <row r="113">
      <c r="B113" s="79" t="s">
        <v>422</v>
      </c>
      <c r="C113" s="80" t="n">
        <v>1071</v>
      </c>
      <c r="D113" s="8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</row>
    <row r="117">
      <c r="B117" s="138"/>
      <c r="C117" s="205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1071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1071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dados[ID_PERGUNTA],$C$113,dados[COD_HABILITAÇÃO_CURSO],$C$4)</f>
        <v>0</v>
      </c>
      <c r="F121" s="141" t="n">
        <f t="shared" ref="F121:F126" si="17">ROUND(E121/$E$127*100,3)</f>
        <v>0</v>
      </c>
      <c r="G121" t="n">
        <f>COUNTIFS(dados[RESPOSTA],C121, dados[ID_PERGUNTA],$C$113,dados[COD_SETOR_CURSO],$C$5)</f>
        <v>2</v>
      </c>
      <c r="H121" s="141" t="n">
        <f t="shared" ref="H121:H126" si="18">ROUND(G121/$G$127*100,3)</f>
        <v>12.5</v>
      </c>
      <c r="I121" t="n">
        <f>COUNTIFS(dados[RESPOSTA],C121, dados[ID_PERGUNTA],$C$113,dados[Instituição],$A$2)</f>
        <v>20</v>
      </c>
      <c r="J121" s="141" t="n">
        <f t="shared" ref="J121:J126" si="19">ROUND(I121/$I$127*100,3)</f>
        <v>6.2110000000000003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dados[ID_PERGUNTA],$C$113,dados[COD_HABILITAÇÃO_CURSO],$C$4)</f>
        <v>0</v>
      </c>
      <c r="F122" s="141" t="n">
        <f t="shared" si="17"/>
        <v>0</v>
      </c>
      <c r="G122" t="n">
        <f>COUNTIFS(dados[RESPOSTA],C122, dados[ID_PERGUNTA],$C$113,dados[COD_SETOR_CURSO],$C$5)</f>
        <v>6</v>
      </c>
      <c r="H122" s="141" t="n">
        <f t="shared" si="18"/>
        <v>37.5</v>
      </c>
      <c r="I122" t="n">
        <f>COUNTIFS(dados[RESPOSTA],C122, dados[ID_PERGUNTA],$C$113,dados[Instituição],$A$2)</f>
        <v>74</v>
      </c>
      <c r="J122" s="141" t="n">
        <f t="shared" si="19"/>
        <v>22.981000000000002</v>
      </c>
    </row>
    <row r="123">
      <c r="C123" s="77" t="s">
        <v>16</v>
      </c>
      <c r="D123" s="77"/>
      <c r="E123" s="129" t="n">
        <f>COUNTIFS(dados[RESPOSTA],C123, dados[ID_PERGUNTA],$C$113,dados[COD_HABILITAÇÃO_CURSO],$C$4)</f>
        <v>0</v>
      </c>
      <c r="F123" s="141" t="n">
        <f t="shared" si="17"/>
        <v>0</v>
      </c>
      <c r="G123" t="n">
        <f>COUNTIFS(dados[RESPOSTA],C123, dados[ID_PERGUNTA],$C$113,dados[COD_SETOR_CURSO],$C$5)</f>
        <v>3</v>
      </c>
      <c r="H123" s="141" t="n">
        <f t="shared" si="18"/>
        <v>18.75</v>
      </c>
      <c r="I123" t="n">
        <f>COUNTIFS(dados[RESPOSTA],C123, dados[ID_PERGUNTA],$C$113,dados[Instituição],$A$2)</f>
        <v>119</v>
      </c>
      <c r="J123" s="141" t="n">
        <f t="shared" si="19"/>
        <v>36.957000000000001</v>
      </c>
    </row>
    <row r="124">
      <c r="C124" s="77" t="s">
        <v>29</v>
      </c>
      <c r="D124" s="77"/>
      <c r="E124" s="129" t="n">
        <f>COUNTIFS(dados[RESPOSTA],C124, dados[ID_PERGUNTA],$C$113,dados[COD_HABILITAÇÃO_CURSO],$C$4)</f>
        <v>0</v>
      </c>
      <c r="F124" s="141" t="n">
        <f t="shared" si="17"/>
        <v>0</v>
      </c>
      <c r="G124" t="n">
        <f>COUNTIFS(dados[RESPOSTA],C124, dados[ID_PERGUNTA],$C$113,dados[COD_SETOR_CURSO],$C$5)</f>
        <v>2</v>
      </c>
      <c r="H124" s="141" t="n">
        <f t="shared" si="18"/>
        <v>12.5</v>
      </c>
      <c r="I124" t="n">
        <f>COUNTIFS(dados[RESPOSTA],C124, dados[ID_PERGUNTA],$C$113,dados[Instituição],$A$2)</f>
        <v>73</v>
      </c>
      <c r="J124" s="141" t="n">
        <f t="shared" si="19"/>
        <v>22.670999999999999</v>
      </c>
    </row>
    <row r="125">
      <c r="C125" s="77" t="s">
        <v>79</v>
      </c>
      <c r="D125" s="77"/>
      <c r="E125" s="129" t="n">
        <f>COUNTIFS(dados[RESPOSTA],C125, dados[ID_PERGUNTA],$C$113,dados[COD_HABILITAÇÃO_CURSO],$C$4)</f>
        <v>1</v>
      </c>
      <c r="F125" s="141" t="n">
        <f t="shared" si="17"/>
        <v>100</v>
      </c>
      <c r="G125" t="n">
        <f>COUNTIFS(dados[RESPOSTA],C125, dados[ID_PERGUNTA],$C$113,dados[COD_SETOR_CURSO],$C$5)</f>
        <v>3</v>
      </c>
      <c r="H125" s="141" t="n">
        <f t="shared" si="18"/>
        <v>18.75</v>
      </c>
      <c r="I125" t="n">
        <f>COUNTIFS(dados[RESPOSTA],C125, dados[ID_PERGUNTA],$C$113,dados[Instituição],$A$2)</f>
        <v>28</v>
      </c>
      <c r="J125" s="141" t="n">
        <f t="shared" si="19"/>
        <v>8.6959999999999997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dados[ID_PERGUNTA],$C$113,dados[COD_HABILITAÇÃO_CURSO],$C$4)</f>
        <v>0</v>
      </c>
      <c r="F126" s="141" t="n">
        <f t="shared" si="17"/>
        <v>0</v>
      </c>
      <c r="G126" t="n">
        <f>COUNTIFS(dados[RESPOSTA],C126, dados[ID_PERGUNTA],$C$113,dados[COD_SETOR_CURSO],$C$5)</f>
        <v>0</v>
      </c>
      <c r="H126" s="141" t="n">
        <f t="shared" si="18"/>
        <v>0</v>
      </c>
      <c r="I126" t="n">
        <f>COUNTIFS(dados[RESPOSTA],C126, dados[ID_PERGUNTA],$C$113,dados[Instituição],$A$2)</f>
        <v>8</v>
      </c>
      <c r="J126" s="141" t="n">
        <f t="shared" si="19"/>
        <v>2.484</v>
      </c>
    </row>
    <row r="127">
      <c r="C127" s="111" t="s">
        <v>313</v>
      </c>
      <c r="D127" s="111"/>
      <c r="E127" s="62" t="n">
        <f t="shared" ref="E127:J127" si="20">SUM(E121:E126)</f>
        <v>1</v>
      </c>
      <c r="F127" s="58" t="n">
        <f t="shared" si="20"/>
        <v>100</v>
      </c>
      <c r="G127" s="62" t="n">
        <f t="shared" si="20"/>
        <v>16</v>
      </c>
      <c r="H127" s="58" t="n">
        <f t="shared" si="20"/>
        <v>100</v>
      </c>
      <c r="I127" s="62" t="n">
        <f t="shared" si="20"/>
        <v>322</v>
      </c>
      <c r="J127" s="58" t="n">
        <f t="shared" si="20"/>
        <v>99.999999999999986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1">E126+E125</f>
        <v>1</v>
      </c>
      <c r="F133" s="60" t="n">
        <f t="shared" si="21"/>
        <v>100</v>
      </c>
      <c r="G133" s="12" t="n">
        <f t="shared" si="21"/>
        <v>3</v>
      </c>
      <c r="H133" s="60" t="n">
        <f t="shared" si="21"/>
        <v>18.75</v>
      </c>
      <c r="I133" s="12" t="n">
        <f t="shared" si="21"/>
        <v>36</v>
      </c>
      <c r="J133" s="60" t="n">
        <f t="shared" si="21"/>
        <v>11.18</v>
      </c>
      <c r="N133" s="124"/>
    </row>
    <row r="134">
      <c r="C134" s="120" t="s">
        <v>402</v>
      </c>
      <c r="D134" s="48" t="s">
        <v>45</v>
      </c>
      <c r="E134" s="12" t="n">
        <f t="shared" ref="E134:J134" si="22">E121</f>
        <v>0</v>
      </c>
      <c r="F134" s="60" t="n">
        <f t="shared" si="22"/>
        <v>0</v>
      </c>
      <c r="G134" s="12" t="n">
        <f t="shared" si="22"/>
        <v>2</v>
      </c>
      <c r="H134" s="60" t="n">
        <f t="shared" si="22"/>
        <v>12.5</v>
      </c>
      <c r="I134" s="12" t="n">
        <f t="shared" si="22"/>
        <v>20</v>
      </c>
      <c r="J134" s="60" t="n">
        <f t="shared" si="22"/>
        <v>6.2110000000000003</v>
      </c>
      <c r="N134" s="124"/>
    </row>
    <row r="135">
      <c r="C135" s="121" t="s">
        <v>403</v>
      </c>
      <c r="D135" s="48" t="s">
        <v>29</v>
      </c>
      <c r="E135" s="12" t="n">
        <f t="shared" ref="E135:J135" si="23">E124</f>
        <v>0</v>
      </c>
      <c r="F135" s="60" t="n">
        <f t="shared" si="23"/>
        <v>0</v>
      </c>
      <c r="G135" s="12" t="n">
        <f t="shared" si="23"/>
        <v>2</v>
      </c>
      <c r="H135" s="60" t="n">
        <f t="shared" si="23"/>
        <v>12.5</v>
      </c>
      <c r="I135" s="12" t="n">
        <f t="shared" si="23"/>
        <v>73</v>
      </c>
      <c r="J135" s="60" t="n">
        <f t="shared" si="23"/>
        <v>22.670999999999999</v>
      </c>
      <c r="N135" s="124"/>
    </row>
    <row r="136">
      <c r="C136" s="122" t="s">
        <v>404</v>
      </c>
      <c r="D136" s="48" t="s">
        <v>407</v>
      </c>
      <c r="E136" s="147" t="n">
        <f t="shared" ref="E136:J136" si="24">E123+E122</f>
        <v>0</v>
      </c>
      <c r="F136" s="63" t="n">
        <f t="shared" si="24"/>
        <v>0</v>
      </c>
      <c r="G136" s="147" t="n">
        <f t="shared" si="24"/>
        <v>9</v>
      </c>
      <c r="H136" s="63" t="n">
        <f t="shared" si="24"/>
        <v>56.25</v>
      </c>
      <c r="I136" s="147" t="n">
        <f t="shared" si="24"/>
        <v>193</v>
      </c>
      <c r="J136" s="63" t="n">
        <f t="shared" si="24"/>
        <v>59.938000000000002</v>
      </c>
      <c r="N136" s="124"/>
    </row>
    <row r="137">
      <c r="C137" s="62" t="s">
        <v>313</v>
      </c>
      <c r="D137" s="62"/>
      <c r="E137" s="62" t="n">
        <f>SUM(E133:E136)</f>
        <v>1</v>
      </c>
      <c r="F137" s="58" t="n">
        <f>SUM(F133:F136)</f>
        <v>100</v>
      </c>
      <c r="G137" s="62" t="n">
        <f>SUM(G133:G136)</f>
        <v>16</v>
      </c>
      <c r="H137" s="58" t="n">
        <f>SUM(H133:H136)</f>
        <v>100</v>
      </c>
      <c r="I137" s="62" t="n">
        <f>SUM(I133:I136)</f>
        <v>322</v>
      </c>
      <c r="J137" s="58" t="n">
        <f>ROUND(SUM(J133:J136),2)</f>
        <v>100</v>
      </c>
      <c r="L137" s="77"/>
      <c r="M137" s="77"/>
      <c r="N137" s="124"/>
    </row>
  </sheetData>
  <sheetProtection password="C2D7" sheet="1"/>
  <mergeCells count="114"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B1" zoomScale="70" zoomScaleNormal="7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436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INDEX(Questoes!E:E,MATCH(BIBLIOTECAS!C14,Questoes!J:J,0))</f>
        <v>BIBLIOTECAS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21</v>
      </c>
      <c r="D10" s="83" t="str">
        <f>INDEX(Questoes!F:F,MATCH(C14,Questoes!J:J,0))</f>
        <v>Com relação à(s) biblioteca(s) da UFPR que você utiliza, avalie os itens a seguir: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1072</v>
      </c>
      <c r="D14" s="81" t="str">
        <f>VLOOKUP(C14, Questoes!J:K,2, 0)</f>
        <v>Atualização e manutenção do acervo físico e/ou digital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92" t="s">
        <v>424</v>
      </c>
      <c r="D19" s="193"/>
      <c r="E19" s="193"/>
      <c r="F19" s="193"/>
      <c r="G19" s="193"/>
      <c r="H19" s="193"/>
      <c r="I19" s="193"/>
      <c r="J19" s="194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1" t="s">
        <v>418</v>
      </c>
      <c r="F20" s="71"/>
      <c r="G20" s="72" t="s">
        <v>419</v>
      </c>
      <c r="H20" s="72"/>
      <c r="I20" s="73" t="s">
        <v>21</v>
      </c>
      <c r="J20" s="73"/>
      <c r="L20" s="159" t="s">
        <v>422</v>
      </c>
      <c r="M20" s="195" t="n">
        <f>C14</f>
        <v>1072</v>
      </c>
      <c r="N20" s="196"/>
      <c r="O20" s="197"/>
      <c r="P20" s="117"/>
      <c r="Q20" s="198" t="str">
        <f>L20</f>
        <v>Questão</v>
      </c>
      <c r="R20" s="199"/>
      <c r="S20" s="200"/>
      <c r="T20" s="201" t="n">
        <f>M20</f>
        <v>1072</v>
      </c>
      <c r="U20" s="202"/>
      <c r="V20" s="202"/>
      <c r="W20" s="203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109" t="s">
        <v>45</v>
      </c>
      <c r="D22" s="109"/>
      <c r="E22" s="129" t="n">
        <f>COUNTIFS(dados[RESPOSTA],C22, dados[ID_PERGUNTA],$C$14,dados[COD_HABILITAÇÃO_CURSO],$C$4)</f>
        <v>1</v>
      </c>
      <c r="F22" s="141" t="n">
        <f t="shared" ref="F22:F27" si="0">ROUND(E22/E$28*100,3)</f>
        <v>100</v>
      </c>
      <c r="G22" t="n">
        <f>COUNTIFS(dados[RESPOSTA],C22, dados[ID_PERGUNTA],$C$14,dados[COD_SETOR_CURSO],$C$5)</f>
        <v>8</v>
      </c>
      <c r="H22" s="141" t="n">
        <f t="shared" ref="H22:H27" si="1">ROUND(G22/G$28*100,3)</f>
        <v>11.111000000000001</v>
      </c>
      <c r="I22" t="n">
        <f>COUNTIFS(dados[RESPOSTA],C22, dados[ID_PERGUNTA],$C$14,dados[Instituição],$A$2)</f>
        <v>72</v>
      </c>
      <c r="J22" s="141" t="n">
        <f t="shared" ref="J22:J27" si="2">ROUND(I22/I$28*100,3)</f>
        <v>14.429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n">
        <f t="shared" si="0"/>
        <v>0</v>
      </c>
      <c r="G23" t="n">
        <f>COUNTIFS(dados[RESPOSTA],C23, dados[ID_PERGUNTA],$C$14,dados[COD_SETOR_CURSO],$C$5)</f>
        <v>27</v>
      </c>
      <c r="H23" s="141" t="n">
        <f t="shared" si="1"/>
        <v>37.5</v>
      </c>
      <c r="I23" t="n">
        <f>COUNTIFS(dados[RESPOSTA],C23, dados[ID_PERGUNTA],$C$14,dados[Instituição],$A$2)</f>
        <v>162</v>
      </c>
      <c r="J23" s="141" t="n">
        <f t="shared" si="2"/>
        <v>32.465000000000003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n">
        <f t="shared" si="0"/>
        <v>0</v>
      </c>
      <c r="G24" t="n">
        <f>COUNTIFS(dados[RESPOSTA],C24, dados[ID_PERGUNTA],$C$14,dados[COD_SETOR_CURSO],$C$5)</f>
        <v>26</v>
      </c>
      <c r="H24" s="141" t="n">
        <f t="shared" si="1"/>
        <v>36.110999999999997</v>
      </c>
      <c r="I24" t="n">
        <f>COUNTIFS(dados[RESPOSTA],C24, dados[ID_PERGUNTA],$C$14,dados[Instituição],$A$2)</f>
        <v>184</v>
      </c>
      <c r="J24" s="141" t="n">
        <f t="shared" si="2"/>
        <v>36.874000000000002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n">
        <f t="shared" si="0"/>
        <v>0</v>
      </c>
      <c r="G25" t="n">
        <f>COUNTIFS(dados[RESPOSTA],C25, dados[ID_PERGUNTA],$C$14,dados[COD_SETOR_CURSO],$C$5)</f>
        <v>7</v>
      </c>
      <c r="H25" s="141" t="n">
        <f t="shared" si="1"/>
        <v>9.7219999999999995</v>
      </c>
      <c r="I25" t="n">
        <f>COUNTIFS(dados[RESPOSTA],C25, dados[ID_PERGUNTA],$C$14,dados[Instituição],$A$2)</f>
        <v>65</v>
      </c>
      <c r="J25" s="141" t="n">
        <f t="shared" si="2"/>
        <v>13.026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3</v>
      </c>
      <c r="H26" s="141" t="n">
        <f t="shared" si="1"/>
        <v>4.1669999999999998</v>
      </c>
      <c r="I26" t="n">
        <f>COUNTIFS(dados[RESPOSTA],C26, dados[ID_PERGUNTA],$C$14,dados[Instituição],$A$2)</f>
        <v>14</v>
      </c>
      <c r="J26" s="141" t="n">
        <f t="shared" si="2"/>
        <v>2.806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8" t="s">
        <v>80</v>
      </c>
      <c r="D27" s="78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1</v>
      </c>
      <c r="H27" s="141" t="n">
        <f t="shared" si="1"/>
        <v>1.389</v>
      </c>
      <c r="I27" t="n">
        <f>COUNTIFS(dados[RESPOSTA],C27, dados[ID_PERGUNTA],$C$14,dados[Instituição],$A$2)</f>
        <v>2</v>
      </c>
      <c r="J27" s="141" t="n">
        <f t="shared" si="2"/>
        <v>0.40100000000000002</v>
      </c>
    </row>
    <row r="28">
      <c r="C28" s="111" t="s">
        <v>313</v>
      </c>
      <c r="D28" s="111"/>
      <c r="E28" s="62" t="n">
        <f t="shared" ref="E28:J28" si="3">SUM(E22:E27)</f>
        <v>1</v>
      </c>
      <c r="F28" s="58" t="n">
        <f t="shared" si="3"/>
        <v>100</v>
      </c>
      <c r="G28" s="62" t="n">
        <f t="shared" si="3"/>
        <v>72</v>
      </c>
      <c r="H28" s="58" t="n">
        <f t="shared" si="3"/>
        <v>100</v>
      </c>
      <c r="I28" s="62" t="n">
        <f t="shared" si="3"/>
        <v>499</v>
      </c>
      <c r="J28" s="58" t="n">
        <f t="shared" si="3"/>
        <v>100.00099999999999</v>
      </c>
    </row>
    <row r="31">
      <c r="C31" s="192" t="s">
        <v>427</v>
      </c>
      <c r="D31" s="193"/>
      <c r="E31" s="193"/>
      <c r="F31" s="193"/>
      <c r="G31" s="193"/>
      <c r="H31" s="193"/>
      <c r="I31" s="193"/>
      <c r="J31" s="194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4</v>
      </c>
      <c r="H34" s="60" t="n">
        <f t="shared" si="4"/>
        <v>5.556</v>
      </c>
      <c r="I34" s="12" t="n">
        <f t="shared" si="4"/>
        <v>16</v>
      </c>
      <c r="J34" s="60" t="n">
        <f t="shared" si="4"/>
        <v>3.2069999999999999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1</v>
      </c>
      <c r="F35" s="60" t="n">
        <f t="shared" si="5"/>
        <v>100</v>
      </c>
      <c r="G35" s="12" t="n">
        <f t="shared" si="5"/>
        <v>8</v>
      </c>
      <c r="H35" s="60" t="n">
        <f t="shared" si="5"/>
        <v>11.111000000000001</v>
      </c>
      <c r="I35" s="12" t="n">
        <f t="shared" si="5"/>
        <v>72</v>
      </c>
      <c r="J35" s="60" t="n">
        <f t="shared" si="5"/>
        <v>14.429</v>
      </c>
      <c r="N35" s="124"/>
    </row>
    <row r="36">
      <c r="C36" s="121" t="s">
        <v>403</v>
      </c>
      <c r="D36" s="48" t="s">
        <v>29</v>
      </c>
      <c r="E36" s="12" t="n">
        <f>E25</f>
        <v>0</v>
      </c>
      <c r="F36" s="60" t="n">
        <f>F23</f>
        <v>0</v>
      </c>
      <c r="G36" s="12" t="n">
        <f>G25</f>
        <v>7</v>
      </c>
      <c r="H36" s="60" t="n">
        <f>H25</f>
        <v>9.7219999999999995</v>
      </c>
      <c r="I36" s="12" t="n">
        <f>I25</f>
        <v>65</v>
      </c>
      <c r="J36" s="60" t="n">
        <f>J25</f>
        <v>13.026</v>
      </c>
      <c r="N36" s="124"/>
    </row>
    <row r="37">
      <c r="C37" s="122" t="s">
        <v>404</v>
      </c>
      <c r="D37" s="48" t="s">
        <v>407</v>
      </c>
      <c r="E37" s="147" t="n">
        <f>E24+E23</f>
        <v>0</v>
      </c>
      <c r="F37" s="60" t="n">
        <f>F24</f>
        <v>0</v>
      </c>
      <c r="G37" s="147" t="n">
        <f>G24+G23</f>
        <v>53</v>
      </c>
      <c r="H37" s="63" t="n">
        <f>H24+H23</f>
        <v>73.61099999999999</v>
      </c>
      <c r="I37" s="147" t="n">
        <f>I24+I23</f>
        <v>346</v>
      </c>
      <c r="J37" s="63" t="n">
        <f>J24+J23</f>
        <v>69.338999999999999</v>
      </c>
      <c r="N37" s="124"/>
    </row>
    <row r="38">
      <c r="C38" s="62" t="s">
        <v>313</v>
      </c>
      <c r="D38" s="62"/>
      <c r="E38" s="62" t="n">
        <f>SUM(E34:E37)</f>
        <v>1</v>
      </c>
      <c r="F38" s="58" t="n">
        <f>SUM(F34:F37)</f>
        <v>100</v>
      </c>
      <c r="G38" s="62" t="n">
        <f>SUM(G34:G37)</f>
        <v>72</v>
      </c>
      <c r="H38" s="58" t="n">
        <f>SUM(H34:H37)</f>
        <v>100</v>
      </c>
      <c r="I38" s="62" t="n">
        <f>SUM(I34:I37)</f>
        <v>499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22</v>
      </c>
      <c r="D43" s="83" t="str">
        <f>INDEX(Questoes!F:F,MATCH(C47,Questoes!J:J,0))</f>
        <v>Com relação à(s) biblioteca(s) da UFPR que você utiliza, avalie os itens a seguir: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1073</v>
      </c>
      <c r="D47" s="81" t="str">
        <f>VLOOKUP(C47, Questoes!J:K,2, 0)</f>
        <v>Uso do catálogo eletrônico (acervo.ufpr.br)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1073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1073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1</v>
      </c>
      <c r="F55" s="141" t="n">
        <f t="shared" ref="F55:F60" si="6">ROUND(E55/E$61*100,3)</f>
        <v>50</v>
      </c>
      <c r="G55" t="n">
        <f>COUNTIFS(dados[RESPOSTA],C55, dados[ID_PERGUNTA],$C$47,dados[COD_SETOR_CURSO],$C$5)</f>
        <v>14</v>
      </c>
      <c r="H55" s="141" t="n">
        <f t="shared" ref="H55:H60" si="7">ROUND(G55/G$61*100,3)</f>
        <v>19.718</v>
      </c>
      <c r="I55" t="n">
        <f>COUNTIFS(dados[RESPOSTA],C55, dados[ID_PERGUNTA],$C$47,dados[Instituição],$A$2)</f>
        <v>95</v>
      </c>
      <c r="J55" s="141" t="n">
        <f t="shared" ref="J55:J60" si="8">ROUND(I55/I$61*100,3)</f>
        <v>19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1</v>
      </c>
      <c r="F56" s="141" t="n">
        <f t="shared" si="6"/>
        <v>50</v>
      </c>
      <c r="G56" t="n">
        <f>COUNTIFS(dados[RESPOSTA],C56, dados[ID_PERGUNTA],$C$47,dados[COD_SETOR_CURSO],$C$5)</f>
        <v>23</v>
      </c>
      <c r="H56" s="141" t="n">
        <f t="shared" si="7"/>
        <v>32.393999999999998</v>
      </c>
      <c r="I56" t="n">
        <f>COUNTIFS(dados[RESPOSTA],C56, dados[ID_PERGUNTA],$C$47,dados[Instituição],$A$2)</f>
        <v>173</v>
      </c>
      <c r="J56" s="141" t="n">
        <f t="shared" si="8"/>
        <v>34.6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n">
        <f t="shared" si="6"/>
        <v>0</v>
      </c>
      <c r="G57" t="n">
        <f>COUNTIFS(dados[RESPOSTA],C57, dados[ID_PERGUNTA],$C$47,dados[COD_SETOR_CURSO],$C$5)</f>
        <v>26</v>
      </c>
      <c r="H57" s="141" t="n">
        <f t="shared" si="7"/>
        <v>36.619999999999997</v>
      </c>
      <c r="I57" t="n">
        <f>COUNTIFS(dados[RESPOSTA],C57, dados[ID_PERGUNTA],$C$47,dados[Instituição],$A$2)</f>
        <v>178</v>
      </c>
      <c r="J57" s="141" t="n">
        <f t="shared" si="8"/>
        <v>35.6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n">
        <f t="shared" si="6"/>
        <v>0</v>
      </c>
      <c r="G58" t="n">
        <f>COUNTIFS(dados[RESPOSTA],C58, dados[ID_PERGUNTA],$C$47,dados[COD_SETOR_CURSO],$C$5)</f>
        <v>8</v>
      </c>
      <c r="H58" s="141" t="n">
        <f t="shared" si="7"/>
        <v>11.268000000000001</v>
      </c>
      <c r="I58" t="n">
        <f>COUNTIFS(dados[RESPOSTA],C58, dados[ID_PERGUNTA],$C$47,dados[Instituição],$A$2)</f>
        <v>41</v>
      </c>
      <c r="J58" s="141" t="n">
        <f t="shared" si="8"/>
        <v>8.1999999999999993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6"/>
        <v>0</v>
      </c>
      <c r="G59" t="n">
        <f>COUNTIFS(dados[RESPOSTA],C59, dados[ID_PERGUNTA],$C$47,dados[COD_SETOR_CURSO],$C$5)</f>
        <v>0</v>
      </c>
      <c r="H59" s="141" t="n">
        <f t="shared" si="7"/>
        <v>0</v>
      </c>
      <c r="I59" t="n">
        <f>COUNTIFS(dados[RESPOSTA],C59, dados[ID_PERGUNTA],$C$47,dados[Instituição],$A$2)</f>
        <v>10</v>
      </c>
      <c r="J59" s="141" t="n">
        <f t="shared" si="8"/>
        <v>2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6"/>
        <v>0</v>
      </c>
      <c r="G60" t="n">
        <f>COUNTIFS(dados[RESPOSTA],C60, dados[ID_PERGUNTA],$C$47,dados[COD_SETOR_CURSO],$C$5)</f>
        <v>0</v>
      </c>
      <c r="H60" s="141" t="n">
        <f t="shared" si="7"/>
        <v>0</v>
      </c>
      <c r="I60" t="n">
        <f>COUNTIFS(dados[RESPOSTA],C60, dados[ID_PERGUNTA],$C$47,dados[Instituição],$A$2)</f>
        <v>3</v>
      </c>
      <c r="J60" s="141" t="n">
        <f t="shared" si="8"/>
        <v>0.6</v>
      </c>
    </row>
    <row r="61">
      <c r="C61" s="111" t="s">
        <v>313</v>
      </c>
      <c r="D61" s="111"/>
      <c r="E61" s="62" t="n">
        <f t="shared" ref="E61:J61" si="9">SUM(E55:E60)</f>
        <v>2</v>
      </c>
      <c r="F61" s="58" t="n">
        <f t="shared" si="9"/>
        <v>100</v>
      </c>
      <c r="G61" s="62" t="n">
        <f t="shared" si="9"/>
        <v>71</v>
      </c>
      <c r="H61" s="58" t="n">
        <f t="shared" si="9"/>
        <v>100</v>
      </c>
      <c r="I61" s="62" t="n">
        <f t="shared" si="9"/>
        <v>500</v>
      </c>
      <c r="J61" s="58" t="n">
        <f t="shared" si="9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0">E60+E59</f>
        <v>0</v>
      </c>
      <c r="F67" s="60" t="n">
        <f t="shared" si="10"/>
        <v>0</v>
      </c>
      <c r="G67" s="12" t="n">
        <f t="shared" si="10"/>
        <v>0</v>
      </c>
      <c r="H67" s="60" t="n">
        <f t="shared" si="10"/>
        <v>0</v>
      </c>
      <c r="I67" s="12" t="n">
        <f t="shared" si="10"/>
        <v>13</v>
      </c>
      <c r="J67" s="60" t="n">
        <f t="shared" si="10"/>
        <v>2.6</v>
      </c>
      <c r="N67" s="124"/>
    </row>
    <row r="68">
      <c r="C68" s="120" t="s">
        <v>402</v>
      </c>
      <c r="D68" s="48" t="s">
        <v>45</v>
      </c>
      <c r="E68" s="12" t="n">
        <f t="shared" ref="E68:J68" si="11">E55</f>
        <v>1</v>
      </c>
      <c r="F68" s="60" t="n">
        <f t="shared" si="11"/>
        <v>50</v>
      </c>
      <c r="G68" s="12" t="n">
        <f t="shared" si="11"/>
        <v>14</v>
      </c>
      <c r="H68" s="60" t="n">
        <f t="shared" si="11"/>
        <v>19.718</v>
      </c>
      <c r="I68" s="12" t="n">
        <f t="shared" si="11"/>
        <v>95</v>
      </c>
      <c r="J68" s="60" t="n">
        <f t="shared" si="11"/>
        <v>19</v>
      </c>
      <c r="N68" s="124"/>
    </row>
    <row r="69">
      <c r="C69" s="121" t="s">
        <v>403</v>
      </c>
      <c r="D69" s="48" t="s">
        <v>29</v>
      </c>
      <c r="E69" s="12" t="n">
        <f t="shared" ref="E69:J69" si="12">E58</f>
        <v>0</v>
      </c>
      <c r="F69" s="60" t="n">
        <f t="shared" si="12"/>
        <v>0</v>
      </c>
      <c r="G69" s="12" t="n">
        <f t="shared" si="12"/>
        <v>8</v>
      </c>
      <c r="H69" s="60" t="n">
        <f t="shared" si="12"/>
        <v>11.268000000000001</v>
      </c>
      <c r="I69" s="12" t="n">
        <f t="shared" si="12"/>
        <v>41</v>
      </c>
      <c r="J69" s="60" t="n">
        <f t="shared" si="12"/>
        <v>8.1999999999999993</v>
      </c>
      <c r="N69" s="124"/>
    </row>
    <row r="70">
      <c r="C70" s="122" t="s">
        <v>404</v>
      </c>
      <c r="D70" s="48" t="s">
        <v>407</v>
      </c>
      <c r="E70" s="147" t="n">
        <f t="shared" ref="E70:J70" si="13">E57+E56</f>
        <v>1</v>
      </c>
      <c r="F70" s="63" t="n">
        <f t="shared" si="13"/>
        <v>50</v>
      </c>
      <c r="G70" s="147" t="n">
        <f t="shared" si="13"/>
        <v>49</v>
      </c>
      <c r="H70" s="63" t="n">
        <f t="shared" si="13"/>
        <v>69.013999999999996</v>
      </c>
      <c r="I70" s="147" t="n">
        <f t="shared" si="13"/>
        <v>351</v>
      </c>
      <c r="J70" s="63" t="n">
        <f t="shared" si="13"/>
        <v>70.2</v>
      </c>
      <c r="N70" s="124"/>
    </row>
    <row r="71" ht="15" customHeight="1">
      <c r="C71" s="62" t="s">
        <v>313</v>
      </c>
      <c r="D71" s="62"/>
      <c r="E71" s="62" t="n">
        <f>SUM(E67:E70)</f>
        <v>2</v>
      </c>
      <c r="F71" s="58" t="n">
        <f>SUM(F67:F70)</f>
        <v>100</v>
      </c>
      <c r="G71" s="62" t="n">
        <f>SUM(G67:G70)</f>
        <v>71</v>
      </c>
      <c r="H71" s="58" t="n">
        <f>SUM(H67:H70)</f>
        <v>100</v>
      </c>
      <c r="I71" s="62" t="n">
        <f>SUM(I67:I70)</f>
        <v>500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23</v>
      </c>
      <c r="D76" s="83" t="str">
        <f>INDEX(Questoes!F:F,MATCH(C80,Questoes!J:J,0))</f>
        <v>Com relação à(s) biblioteca(s) da UFPR que você utiliza, avalie os itens a seguir: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1074</v>
      </c>
      <c r="D80" s="81" t="str">
        <f>VLOOKUP(C80, Questoes!J:K,2, 0)</f>
        <v>Horário(s) de funcionamento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1074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1074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14">ROUND(E88/E$94*100,3)</f>
        <v>#DIV/0!</v>
      </c>
      <c r="G88" t="n">
        <f>COUNTIFS(dados[RESPOSTA],C88, dados[ID_PERGUNTA],$C$80,dados[COD_SETOR_CURSO],$C$5)</f>
        <v>8</v>
      </c>
      <c r="H88" s="141" t="n">
        <f t="shared" ref="H88:H93" si="15">ROUND(G88/$G$94*100,3)</f>
        <v>11.268000000000001</v>
      </c>
      <c r="I88" t="n">
        <f>COUNTIFS(dados[RESPOSTA],C88, dados[ID_PERGUNTA],$C$80,dados[Instituição],$A$2)</f>
        <v>61</v>
      </c>
      <c r="J88" s="141" t="n">
        <f t="shared" ref="J88:J93" si="16">ROUND(I88/$I$94*100,3)</f>
        <v>12.273999999999999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14"/>
        <v>#DIV/0!</v>
      </c>
      <c r="G89" t="n">
        <f>COUNTIFS(dados[RESPOSTA],C89, dados[ID_PERGUNTA],$C$80,dados[COD_SETOR_CURSO],$C$5)</f>
        <v>24</v>
      </c>
      <c r="H89" s="141" t="n">
        <f t="shared" si="15"/>
        <v>33.802999999999997</v>
      </c>
      <c r="I89" t="n">
        <f>COUNTIFS(dados[RESPOSTA],C89, dados[ID_PERGUNTA],$C$80,dados[Instituição],$A$2)</f>
        <v>168</v>
      </c>
      <c r="J89" s="141" t="n">
        <f t="shared" si="16"/>
        <v>33.802999999999997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14"/>
        <v>#DIV/0!</v>
      </c>
      <c r="G90" t="n">
        <f>COUNTIFS(dados[RESPOSTA],C90, dados[ID_PERGUNTA],$C$80,dados[COD_SETOR_CURSO],$C$5)</f>
        <v>31</v>
      </c>
      <c r="H90" s="141" t="n">
        <f t="shared" si="15"/>
        <v>43.661999999999999</v>
      </c>
      <c r="I90" t="n">
        <f>COUNTIFS(dados[RESPOSTA],C90, dados[ID_PERGUNTA],$C$80,dados[Instituição],$A$2)</f>
        <v>203</v>
      </c>
      <c r="J90" s="141" t="n">
        <f t="shared" si="16"/>
        <v>40.844999999999999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14"/>
        <v>#DIV/0!</v>
      </c>
      <c r="G91" t="n">
        <f>COUNTIFS(dados[RESPOSTA],C91, dados[ID_PERGUNTA],$C$80,dados[COD_SETOR_CURSO],$C$5)</f>
        <v>6</v>
      </c>
      <c r="H91" s="141" t="n">
        <f t="shared" si="15"/>
        <v>8.4510000000000005</v>
      </c>
      <c r="I91" t="n">
        <f>COUNTIFS(dados[RESPOSTA],C91, dados[ID_PERGUNTA],$C$80,dados[Instituição],$A$2)</f>
        <v>53</v>
      </c>
      <c r="J91" s="141" t="n">
        <f t="shared" si="16"/>
        <v>10.664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14"/>
        <v>#DIV/0!</v>
      </c>
      <c r="G92" t="n">
        <f>COUNTIFS(dados[RESPOSTA],C92, dados[ID_PERGUNTA],$C$80,dados[COD_SETOR_CURSO],$C$5)</f>
        <v>2</v>
      </c>
      <c r="H92" s="141" t="n">
        <f t="shared" si="15"/>
        <v>2.8170000000000002</v>
      </c>
      <c r="I92" t="n">
        <f>COUNTIFS(dados[RESPOSTA],C92, dados[ID_PERGUNTA],$C$80,dados[Instituição],$A$2)</f>
        <v>7</v>
      </c>
      <c r="J92" s="141" t="n">
        <f t="shared" si="16"/>
        <v>1.4079999999999999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14"/>
        <v>#DIV/0!</v>
      </c>
      <c r="G93" t="n">
        <f>COUNTIFS(dados[RESPOSTA],C93, dados[ID_PERGUNTA],$C$80,dados[COD_SETOR_CURSO],$C$5)</f>
        <v>0</v>
      </c>
      <c r="H93" s="141" t="n">
        <f t="shared" si="15"/>
        <v>0</v>
      </c>
      <c r="I93" t="n">
        <f>COUNTIFS(dados[RESPOSTA],C93, dados[ID_PERGUNTA],$C$80,dados[Instituição],$A$2)</f>
        <v>5</v>
      </c>
      <c r="J93" s="141" t="n">
        <f t="shared" si="16"/>
        <v>1.006</v>
      </c>
    </row>
    <row r="94">
      <c r="C94" s="111" t="s">
        <v>313</v>
      </c>
      <c r="D94" s="111"/>
      <c r="E94" s="62" t="n">
        <f t="shared" ref="E94:J94" si="17">SUM(E88:E93)</f>
        <v>0</v>
      </c>
      <c r="F94" s="58" t="e">
        <f t="shared" si="17"/>
        <v>#DIV/0!</v>
      </c>
      <c r="G94" s="62" t="n">
        <f t="shared" si="17"/>
        <v>71</v>
      </c>
      <c r="H94" s="58" t="n">
        <f t="shared" si="17"/>
        <v>100.001</v>
      </c>
      <c r="I94" s="62" t="n">
        <f t="shared" si="17"/>
        <v>497</v>
      </c>
      <c r="J94" s="58" t="n">
        <f t="shared" si="17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18">E93+E92</f>
        <v>0</v>
      </c>
      <c r="F100" s="60" t="e">
        <f t="shared" si="18"/>
        <v>#DIV/0!</v>
      </c>
      <c r="G100" s="12" t="n">
        <f t="shared" si="18"/>
        <v>2</v>
      </c>
      <c r="H100" s="60" t="n">
        <f t="shared" si="18"/>
        <v>2.8170000000000002</v>
      </c>
      <c r="I100" s="12" t="n">
        <f t="shared" si="18"/>
        <v>12</v>
      </c>
      <c r="J100" s="60" t="n">
        <f t="shared" si="18"/>
        <v>2.4139999999999997</v>
      </c>
      <c r="N100" s="124"/>
    </row>
    <row r="101">
      <c r="C101" s="120" t="s">
        <v>402</v>
      </c>
      <c r="D101" s="48" t="s">
        <v>45</v>
      </c>
      <c r="E101" s="12" t="n">
        <f t="shared" ref="E101:J101" si="19">E88</f>
        <v>0</v>
      </c>
      <c r="F101" s="60" t="e">
        <f t="shared" si="19"/>
        <v>#DIV/0!</v>
      </c>
      <c r="G101" s="12" t="n">
        <f t="shared" si="19"/>
        <v>8</v>
      </c>
      <c r="H101" s="60" t="n">
        <f t="shared" si="19"/>
        <v>11.268000000000001</v>
      </c>
      <c r="I101" s="12" t="n">
        <f t="shared" si="19"/>
        <v>61</v>
      </c>
      <c r="J101" s="60" t="n">
        <f t="shared" si="19"/>
        <v>12.273999999999999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0">E91</f>
        <v>0</v>
      </c>
      <c r="F102" s="60" t="e">
        <f t="shared" si="20"/>
        <v>#DIV/0!</v>
      </c>
      <c r="G102" s="12" t="n">
        <f t="shared" si="20"/>
        <v>6</v>
      </c>
      <c r="H102" s="60" t="n">
        <f t="shared" si="20"/>
        <v>8.4510000000000005</v>
      </c>
      <c r="I102" s="12" t="n">
        <f t="shared" si="20"/>
        <v>53</v>
      </c>
      <c r="J102" s="60" t="n">
        <f t="shared" si="20"/>
        <v>10.664</v>
      </c>
      <c r="N102" s="124"/>
    </row>
    <row r="103">
      <c r="C103" s="122" t="s">
        <v>404</v>
      </c>
      <c r="D103" s="48" t="s">
        <v>407</v>
      </c>
      <c r="E103" s="147" t="n">
        <f t="shared" ref="E103:J103" si="21">E90+E89</f>
        <v>0</v>
      </c>
      <c r="F103" s="63" t="e">
        <f t="shared" si="21"/>
        <v>#DIV/0!</v>
      </c>
      <c r="G103" s="147" t="n">
        <f t="shared" si="21"/>
        <v>55</v>
      </c>
      <c r="H103" s="63" t="n">
        <f t="shared" si="21"/>
        <v>77.465000000000003</v>
      </c>
      <c r="I103" s="147" t="n">
        <f t="shared" si="21"/>
        <v>371</v>
      </c>
      <c r="J103" s="63" t="n">
        <f t="shared" si="21"/>
        <v>74.647999999999996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SUM(F100:F103)</f>
        <v>#DIV/0!</v>
      </c>
      <c r="G104" s="62" t="n">
        <f>SUM(G100:G103)</f>
        <v>71</v>
      </c>
      <c r="H104" s="58" t="n">
        <f>SUM(H100:H103)</f>
        <v>100.001</v>
      </c>
      <c r="I104" s="62" t="n">
        <f>SUM(I100:I103)</f>
        <v>497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24</v>
      </c>
      <c r="D109" s="83" t="str">
        <f>INDEX(Questoes!F:F,MATCH(C113,Questoes!J:J,0))</f>
        <v>Com relação à(s) biblioteca(s) da UFPR que você utiliza, avalie os itens a seguir: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1075</v>
      </c>
      <c r="D113" s="81" t="str">
        <f>VLOOKUP(C113, Questoes!J:K,2, 0)</f>
        <v>Canais de comunicação (portal do SiBi, redes sociais e outros)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1075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1075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dados[ID_PERGUNTA],$C$113,dados[COD_HABILITAÇÃO_CURSO],$C$4)</f>
        <v>0</v>
      </c>
      <c r="F121" s="141" t="n">
        <f t="shared" ref="F121:F126" si="22">ROUND(E121/$E$127*100,3)</f>
        <v>0</v>
      </c>
      <c r="G121" t="n">
        <f>COUNTIFS(dados[RESPOSTA],C121, dados[ID_PERGUNTA],$C$113,dados[COD_SETOR_CURSO],$C$5)</f>
        <v>11</v>
      </c>
      <c r="H121" s="141" t="n">
        <f t="shared" ref="H121:H126" si="23">ROUND(G121/$G$127*100,3)</f>
        <v>15.278</v>
      </c>
      <c r="I121" t="n">
        <f>COUNTIFS(dados[RESPOSTA],C121, dados[ID_PERGUNTA],$C$113,dados[Instituição],$A$2)</f>
        <v>95</v>
      </c>
      <c r="J121" s="141" t="n">
        <f t="shared" ref="J121:J126" si="24">ROUND(I121/$I$127*100,3)</f>
        <v>19.231000000000002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dados[ID_PERGUNTA],$C$113,dados[COD_HABILITAÇÃO_CURSO],$C$4)</f>
        <v>0</v>
      </c>
      <c r="F122" s="141" t="n">
        <f t="shared" si="22"/>
        <v>0</v>
      </c>
      <c r="G122" t="n">
        <f>COUNTIFS(dados[RESPOSTA],C122, dados[ID_PERGUNTA],$C$113,dados[COD_SETOR_CURSO],$C$5)</f>
        <v>26</v>
      </c>
      <c r="H122" s="141" t="n">
        <f t="shared" si="23"/>
        <v>36.110999999999997</v>
      </c>
      <c r="I122" t="n">
        <f>COUNTIFS(dados[RESPOSTA],C122, dados[ID_PERGUNTA],$C$113,dados[Instituição],$A$2)</f>
        <v>162</v>
      </c>
      <c r="J122" s="141" t="n">
        <f t="shared" si="24"/>
        <v>32.793999999999997</v>
      </c>
    </row>
    <row r="123">
      <c r="C123" s="77" t="s">
        <v>16</v>
      </c>
      <c r="D123" s="77"/>
      <c r="E123" s="129" t="n">
        <f>COUNTIFS(dados[RESPOSTA],C123, dados[ID_PERGUNTA],$C$113,dados[COD_HABILITAÇÃO_CURSO],$C$4)</f>
        <v>0</v>
      </c>
      <c r="F123" s="141" t="n">
        <f t="shared" si="22"/>
        <v>0</v>
      </c>
      <c r="G123" t="n">
        <f>COUNTIFS(dados[RESPOSTA],C123, dados[ID_PERGUNTA],$C$113,dados[COD_SETOR_CURSO],$C$5)</f>
        <v>24</v>
      </c>
      <c r="H123" s="141" t="n">
        <f t="shared" si="23"/>
        <v>33.332999999999998</v>
      </c>
      <c r="I123" t="n">
        <f>COUNTIFS(dados[RESPOSTA],C123, dados[ID_PERGUNTA],$C$113,dados[Instituição],$A$2)</f>
        <v>169</v>
      </c>
      <c r="J123" s="141" t="n">
        <f t="shared" si="24"/>
        <v>34.210999999999999</v>
      </c>
    </row>
    <row r="124">
      <c r="C124" s="77" t="s">
        <v>29</v>
      </c>
      <c r="D124" s="77"/>
      <c r="E124" s="129" t="n">
        <f>COUNTIFS(dados[RESPOSTA],C124, dados[ID_PERGUNTA],$C$113,dados[COD_HABILITAÇÃO_CURSO],$C$4)</f>
        <v>1</v>
      </c>
      <c r="F124" s="141" t="n">
        <f t="shared" si="22"/>
        <v>100</v>
      </c>
      <c r="G124" t="n">
        <f>COUNTIFS(dados[RESPOSTA],C124, dados[ID_PERGUNTA],$C$113,dados[COD_SETOR_CURSO],$C$5)</f>
        <v>8</v>
      </c>
      <c r="H124" s="141" t="n">
        <f t="shared" si="23"/>
        <v>11.111000000000001</v>
      </c>
      <c r="I124" t="n">
        <f>COUNTIFS(dados[RESPOSTA],C124, dados[ID_PERGUNTA],$C$113,dados[Instituição],$A$2)</f>
        <v>53</v>
      </c>
      <c r="J124" s="141" t="n">
        <f t="shared" si="24"/>
        <v>10.728999999999999</v>
      </c>
    </row>
    <row r="125">
      <c r="C125" s="77" t="s">
        <v>79</v>
      </c>
      <c r="D125" s="77"/>
      <c r="E125" s="129" t="n">
        <f>COUNTIFS(dados[RESPOSTA],C125, dados[ID_PERGUNTA],$C$113,dados[COD_HABILITAÇÃO_CURSO],$C$4)</f>
        <v>0</v>
      </c>
      <c r="F125" s="141" t="n">
        <f t="shared" si="22"/>
        <v>0</v>
      </c>
      <c r="G125" t="n">
        <f>COUNTIFS(dados[RESPOSTA],C125, dados[ID_PERGUNTA],$C$113,dados[COD_SETOR_CURSO],$C$5)</f>
        <v>1</v>
      </c>
      <c r="H125" s="141" t="n">
        <f t="shared" si="23"/>
        <v>1.389</v>
      </c>
      <c r="I125" t="n">
        <f>COUNTIFS(dados[RESPOSTA],C125, dados[ID_PERGUNTA],$C$113,dados[Instituição],$A$2)</f>
        <v>9</v>
      </c>
      <c r="J125" s="141" t="n">
        <f t="shared" si="24"/>
        <v>1.8220000000000001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dados[ID_PERGUNTA],$C$113,dados[COD_HABILITAÇÃO_CURSO],$C$4)</f>
        <v>0</v>
      </c>
      <c r="F126" s="141" t="n">
        <f t="shared" si="22"/>
        <v>0</v>
      </c>
      <c r="G126" t="n">
        <f>COUNTIFS(dados[RESPOSTA],C126, dados[ID_PERGUNTA],$C$113,dados[COD_SETOR_CURSO],$C$5)</f>
        <v>2</v>
      </c>
      <c r="H126" s="141" t="n">
        <f t="shared" si="23"/>
        <v>2.778</v>
      </c>
      <c r="I126" t="n">
        <f>COUNTIFS(dados[RESPOSTA],C126, dados[ID_PERGUNTA],$C$113,dados[Instituição],$A$2)</f>
        <v>6</v>
      </c>
      <c r="J126" s="141" t="n">
        <f t="shared" si="24"/>
        <v>1.2150000000000001</v>
      </c>
    </row>
    <row r="127">
      <c r="C127" s="111" t="s">
        <v>313</v>
      </c>
      <c r="D127" s="111"/>
      <c r="E127" s="62" t="n">
        <f t="shared" ref="E127:J127" si="25">SUM(E121:E126)</f>
        <v>1</v>
      </c>
      <c r="F127" s="58" t="n">
        <f t="shared" si="25"/>
        <v>100</v>
      </c>
      <c r="G127" s="62" t="n">
        <f t="shared" si="25"/>
        <v>72</v>
      </c>
      <c r="H127" s="58" t="n">
        <f t="shared" si="25"/>
        <v>100</v>
      </c>
      <c r="I127" s="62" t="n">
        <f t="shared" si="25"/>
        <v>494</v>
      </c>
      <c r="J127" s="58" t="n">
        <f t="shared" si="25"/>
        <v>100.002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6">E126+E125</f>
        <v>0</v>
      </c>
      <c r="F133" s="60" t="n">
        <f t="shared" si="26"/>
        <v>0</v>
      </c>
      <c r="G133" s="12" t="n">
        <f t="shared" si="26"/>
        <v>3</v>
      </c>
      <c r="H133" s="60" t="n">
        <f t="shared" si="26"/>
        <v>4.1669999999999998</v>
      </c>
      <c r="I133" s="12" t="n">
        <f t="shared" si="26"/>
        <v>15</v>
      </c>
      <c r="J133" s="60" t="n">
        <f t="shared" si="26"/>
        <v>3.0369999999999999</v>
      </c>
      <c r="N133" s="124"/>
    </row>
    <row r="134">
      <c r="C134" s="120" t="s">
        <v>402</v>
      </c>
      <c r="D134" s="48" t="s">
        <v>45</v>
      </c>
      <c r="E134" s="12" t="n">
        <f t="shared" ref="E134:J134" si="27">E121</f>
        <v>0</v>
      </c>
      <c r="F134" s="60" t="n">
        <f t="shared" si="27"/>
        <v>0</v>
      </c>
      <c r="G134" s="12" t="n">
        <f t="shared" si="27"/>
        <v>11</v>
      </c>
      <c r="H134" s="60" t="n">
        <f t="shared" si="27"/>
        <v>15.278</v>
      </c>
      <c r="I134" s="12" t="n">
        <f t="shared" si="27"/>
        <v>95</v>
      </c>
      <c r="J134" s="60" t="n">
        <f t="shared" si="27"/>
        <v>19.231000000000002</v>
      </c>
      <c r="N134" s="124"/>
    </row>
    <row r="135">
      <c r="C135" s="121" t="s">
        <v>403</v>
      </c>
      <c r="D135" s="48" t="s">
        <v>29</v>
      </c>
      <c r="E135" s="12" t="n">
        <f t="shared" ref="E135:J135" si="28">E124</f>
        <v>1</v>
      </c>
      <c r="F135" s="60" t="n">
        <f t="shared" si="28"/>
        <v>100</v>
      </c>
      <c r="G135" s="12" t="n">
        <f t="shared" si="28"/>
        <v>8</v>
      </c>
      <c r="H135" s="60" t="n">
        <f t="shared" si="28"/>
        <v>11.111000000000001</v>
      </c>
      <c r="I135" s="12" t="n">
        <f t="shared" si="28"/>
        <v>53</v>
      </c>
      <c r="J135" s="60" t="n">
        <f t="shared" si="28"/>
        <v>10.728999999999999</v>
      </c>
      <c r="N135" s="124"/>
    </row>
    <row r="136">
      <c r="C136" s="122" t="s">
        <v>404</v>
      </c>
      <c r="D136" s="48" t="s">
        <v>407</v>
      </c>
      <c r="E136" s="147" t="n">
        <f t="shared" ref="E136:J136" si="29">E123+E122</f>
        <v>0</v>
      </c>
      <c r="F136" s="63" t="n">
        <f t="shared" si="29"/>
        <v>0</v>
      </c>
      <c r="G136" s="147" t="n">
        <f t="shared" si="29"/>
        <v>50</v>
      </c>
      <c r="H136" s="63" t="n">
        <f t="shared" si="29"/>
        <v>69.443999999999988</v>
      </c>
      <c r="I136" s="147" t="n">
        <f t="shared" si="29"/>
        <v>331</v>
      </c>
      <c r="J136" s="63" t="n">
        <f t="shared" si="29"/>
        <v>67.004999999999995</v>
      </c>
      <c r="N136" s="124"/>
    </row>
    <row r="137">
      <c r="C137" s="62" t="s">
        <v>313</v>
      </c>
      <c r="D137" s="62"/>
      <c r="E137" s="62" t="n">
        <f>SUM(E133:E136)</f>
        <v>1</v>
      </c>
      <c r="F137" s="58" t="n">
        <f>ROUND(SUM(F133:F136),2)</f>
        <v>100</v>
      </c>
      <c r="G137" s="62" t="n">
        <f>SUM(G133:G136)</f>
        <v>72</v>
      </c>
      <c r="H137" s="58" t="n">
        <f>SUM(H133:H136)</f>
        <v>99.999999999999986</v>
      </c>
      <c r="I137" s="62" t="n">
        <f>SUM(I133:I136)</f>
        <v>494</v>
      </c>
      <c r="J137" s="58" t="n">
        <f>ROUND(SUM(J133:J136),2)</f>
        <v>100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  <row r="142">
      <c r="B142" s="66" t="s">
        <v>421</v>
      </c>
      <c r="C142" s="80" t="n">
        <f>INDEX(Questoes!A:A,MATCH(C146,Questoes!J:J,0))</f>
        <v>25</v>
      </c>
      <c r="D142" s="83" t="str">
        <f>INDEX(Questoes!F:F,MATCH(C146,Questoes!J:J,0))</f>
        <v>Com relação à(s) biblioteca(s) da UFPR que você utiliza, avalie os itens a seguir:</v>
      </c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</row>
    <row r="143">
      <c r="B143" s="66"/>
      <c r="C143" s="80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</row>
    <row r="144">
      <c r="B144" s="66"/>
      <c r="C144" s="80"/>
      <c r="D144" s="84" t="str">
        <f>IF(INDEX(Questoes!G:G,MATCH(C146,Questoes!J:J,0))=0,"",INDEX(Questoes!G:G,MATCH(C146,Questoes!J:J,0)))</f>
      </c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>
      <c r="D145" s="82" t="str">
        <f>IF(INDEX(Questoes!I:I,MATCH(C146,Questoes!J:J,FALSE))=0,"",INDEX(Questoes!I:I,MATCH(C146,Questoes!J:J,FALSE)))</f>
      </c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</row>
    <row r="146">
      <c r="B146" s="79" t="s">
        <v>422</v>
      </c>
      <c r="C146" s="80" t="n">
        <v>1076</v>
      </c>
      <c r="D146" s="81" t="str">
        <f>VLOOKUP(C146, Questoes!J:K,2, 0)</f>
        <v>Oferta de capacitações aos usuários</v>
      </c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</row>
    <row r="147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</row>
    <row r="148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</row>
    <row r="149">
      <c r="B149" s="138"/>
      <c r="C149" s="139"/>
      <c r="D149" s="137" t="str">
        <f>IF(INDEX(Questoes!L:L,MATCH(C146,Questoes!J:J,0))=0,"",INDEX(Questoes!L:L,MATCH(C146,Questoes!J:J,0)))</f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</row>
    <row r="150">
      <c r="B150" s="138"/>
      <c r="C150" s="139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</row>
    <row r="151">
      <c r="B151" s="146" t="s">
        <v>423</v>
      </c>
      <c r="C151" s="70" t="s">
        <v>424</v>
      </c>
      <c r="D151" s="70"/>
      <c r="E151" s="70"/>
      <c r="F151" s="70"/>
      <c r="G151" s="70"/>
      <c r="H151" s="70"/>
      <c r="I151" s="70"/>
      <c r="J151" s="70"/>
      <c r="K151" s="140"/>
      <c r="L151" s="67" t="str">
        <f>C151</f>
        <v>Apuração de Resultados </v>
      </c>
      <c r="M151" s="68"/>
      <c r="N151" s="68"/>
      <c r="O151" s="69"/>
      <c r="P151" s="117"/>
      <c r="Q151" s="67" t="str">
        <f>C163</f>
        <v>Critérios de Análise</v>
      </c>
      <c r="R151" s="68"/>
      <c r="S151" s="68"/>
      <c r="T151" s="68"/>
      <c r="U151" s="68"/>
      <c r="V151" s="68"/>
      <c r="W151" s="69"/>
    </row>
    <row r="152">
      <c r="C152" s="64"/>
      <c r="D152" s="64"/>
      <c r="E152" s="74" t="s">
        <v>418</v>
      </c>
      <c r="F152" s="74"/>
      <c r="G152" s="75" t="s">
        <v>419</v>
      </c>
      <c r="H152" s="75"/>
      <c r="I152" s="76" t="s">
        <v>21</v>
      </c>
      <c r="J152" s="76"/>
      <c r="L152" s="159" t="s">
        <v>422</v>
      </c>
      <c r="M152" s="106" t="n">
        <f>C146</f>
        <v>1076</v>
      </c>
      <c r="N152" s="106"/>
      <c r="O152" s="106"/>
      <c r="P152" s="117"/>
      <c r="Q152" s="107" t="str">
        <f>L152</f>
        <v>Questão</v>
      </c>
      <c r="R152" s="107"/>
      <c r="S152" s="107"/>
      <c r="T152" s="108" t="n">
        <f>M152</f>
        <v>1076</v>
      </c>
      <c r="U152" s="108"/>
      <c r="V152" s="108"/>
      <c r="W152" s="108"/>
    </row>
    <row r="153">
      <c r="C153" s="54" t="s">
        <v>425</v>
      </c>
      <c r="D153" s="54"/>
      <c r="E153" s="54" t="s">
        <v>303</v>
      </c>
      <c r="F153" s="57" t="s">
        <v>426</v>
      </c>
      <c r="G153" s="54" t="s">
        <v>303</v>
      </c>
      <c r="H153" s="57" t="s">
        <v>426</v>
      </c>
      <c r="I153" s="54" t="s">
        <v>303</v>
      </c>
      <c r="J153" s="57" t="s">
        <v>426</v>
      </c>
      <c r="K153" s="117"/>
    </row>
    <row r="154">
      <c r="C154" s="77" t="s">
        <v>45</v>
      </c>
      <c r="D154" s="77"/>
      <c r="E154" s="129" t="n">
        <f>COUNTIFS(dados[RESPOSTA],C154, dados[ID_PERGUNTA],C$146,dados[COD_HABILITAÇÃO_CURSO],$C$4)</f>
        <v>0</v>
      </c>
      <c r="F154" s="141" t="n">
        <f t="shared" ref="F154:F159" si="30">ROUND(E154/E$160*100,3)</f>
        <v>0</v>
      </c>
      <c r="G154" t="n">
        <f>COUNTIFS(dados[RESPOSTA],C154, dados[ID_PERGUNTA],C$146,dados[COD_SETOR_CURSO],$C$5)</f>
        <v>17</v>
      </c>
      <c r="H154" s="141" t="n">
        <f t="shared" ref="H154:H159" si="31">ROUND(G154/G$160*100,3)</f>
        <v>23.611000000000001</v>
      </c>
      <c r="I154" t="n">
        <f>COUNTIFS(dados[RESPOSTA],C154, dados[ID_PERGUNTA],$C$146,dados[Instituição],$A$2)</f>
        <v>136</v>
      </c>
      <c r="J154" s="141" t="n">
        <f t="shared" ref="J154:J159" si="32">ROUND(I154/I$160*100,3)</f>
        <v>27.309000000000001</v>
      </c>
      <c r="P154" s="118"/>
      <c r="V154" s="20"/>
      <c r="W154" s="20"/>
    </row>
    <row r="155">
      <c r="C155" s="77" t="s">
        <v>26</v>
      </c>
      <c r="D155" s="77"/>
      <c r="E155" s="129" t="n">
        <f>COUNTIFS(dados[RESPOSTA],C155, dados[ID_PERGUNTA],C$146,dados[COD_HABILITAÇÃO_CURSO],$C$4)</f>
        <v>0</v>
      </c>
      <c r="F155" s="141" t="n">
        <f t="shared" si="30"/>
        <v>0</v>
      </c>
      <c r="G155" t="n">
        <f>COUNTIFS(dados[RESPOSTA],C155, dados[ID_PERGUNTA],C$146,dados[COD_SETOR_CURSO],$C$5)</f>
        <v>24</v>
      </c>
      <c r="H155" s="141" t="n">
        <f t="shared" si="31"/>
        <v>33.332999999999998</v>
      </c>
      <c r="I155" t="n">
        <f>COUNTIFS(dados[RESPOSTA],C155, dados[ID_PERGUNTA],$C$146,dados[Instituição],$A$2)</f>
        <v>142</v>
      </c>
      <c r="J155" s="141" t="n">
        <f t="shared" si="32"/>
        <v>28.513999999999999</v>
      </c>
    </row>
    <row r="156">
      <c r="C156" s="77" t="s">
        <v>16</v>
      </c>
      <c r="D156" s="77"/>
      <c r="E156" s="129" t="n">
        <f>COUNTIFS(dados[RESPOSTA],C156, dados[ID_PERGUNTA],C$146,dados[COD_HABILITAÇÃO_CURSO],$C$4)</f>
        <v>0</v>
      </c>
      <c r="F156" s="141" t="n">
        <f t="shared" si="30"/>
        <v>0</v>
      </c>
      <c r="G156" t="n">
        <f>COUNTIFS(dados[RESPOSTA],C156, dados[ID_PERGUNTA],C$146,dados[COD_SETOR_CURSO],$C$5)</f>
        <v>19</v>
      </c>
      <c r="H156" s="141" t="n">
        <f t="shared" si="31"/>
        <v>26.388999999999999</v>
      </c>
      <c r="I156" t="n">
        <f>COUNTIFS(dados[RESPOSTA],C156, dados[ID_PERGUNTA],$C$146,dados[Instituição],$A$2)</f>
        <v>154</v>
      </c>
      <c r="J156" s="141" t="n">
        <f t="shared" si="32"/>
        <v>30.923999999999999</v>
      </c>
    </row>
    <row r="157">
      <c r="C157" s="77" t="s">
        <v>29</v>
      </c>
      <c r="D157" s="77"/>
      <c r="E157" s="129" t="n">
        <f>COUNTIFS(dados[RESPOSTA],C157, dados[ID_PERGUNTA],C$146,dados[COD_HABILITAÇÃO_CURSO],$C$4)</f>
        <v>1</v>
      </c>
      <c r="F157" s="141" t="n">
        <f t="shared" si="30"/>
        <v>100</v>
      </c>
      <c r="G157" t="n">
        <f>COUNTIFS(dados[RESPOSTA],C157, dados[ID_PERGUNTA],C$146,dados[COD_SETOR_CURSO],$C$5)</f>
        <v>10</v>
      </c>
      <c r="H157" s="141" t="n">
        <f t="shared" si="31"/>
        <v>13.888999999999999</v>
      </c>
      <c r="I157" t="n">
        <f>COUNTIFS(dados[RESPOSTA],C157, dados[ID_PERGUNTA],$C$146,dados[Instituição],$A$2)</f>
        <v>52</v>
      </c>
      <c r="J157" s="141" t="n">
        <f t="shared" si="32"/>
        <v>10.442</v>
      </c>
    </row>
    <row r="158">
      <c r="C158" s="77" t="s">
        <v>79</v>
      </c>
      <c r="D158" s="77"/>
      <c r="E158" s="129" t="n">
        <f>COUNTIFS(dados[RESPOSTA],C158, dados[ID_PERGUNTA],C$146,dados[COD_HABILITAÇÃO_CURSO],$C$4)</f>
        <v>0</v>
      </c>
      <c r="F158" s="141" t="n">
        <f t="shared" si="30"/>
        <v>0</v>
      </c>
      <c r="G158" t="n">
        <f>COUNTIFS(dados[RESPOSTA],C158, dados[ID_PERGUNTA],C$146,dados[COD_SETOR_CURSO],$C$5)</f>
        <v>2</v>
      </c>
      <c r="H158" s="141" t="n">
        <f t="shared" si="31"/>
        <v>2.778</v>
      </c>
      <c r="I158" t="n">
        <f>COUNTIFS(dados[RESPOSTA],C158, dados[ID_PERGUNTA],$C$146,dados[Instituição],$A$2)</f>
        <v>8</v>
      </c>
      <c r="J158" s="141" t="n">
        <f t="shared" si="32"/>
        <v>1.6060000000000001</v>
      </c>
      <c r="P158" s="124"/>
      <c r="Q158" s="124"/>
      <c r="R158" s="124"/>
      <c r="S158" s="124"/>
      <c r="T158" s="124"/>
      <c r="U158" s="124"/>
      <c r="V158" s="124"/>
      <c r="W158" s="124"/>
    </row>
    <row r="159">
      <c r="C159" s="77" t="s">
        <v>80</v>
      </c>
      <c r="D159" s="77"/>
      <c r="E159" s="129" t="n">
        <f>COUNTIFS(dados[RESPOSTA],C159, dados[ID_PERGUNTA],C$146,dados[COD_HABILITAÇÃO_CURSO],$C$4)</f>
        <v>0</v>
      </c>
      <c r="F159" s="141" t="n">
        <f t="shared" si="30"/>
        <v>0</v>
      </c>
      <c r="G159" t="n">
        <f>COUNTIFS(dados[RESPOSTA],C159, dados[ID_PERGUNTA],C$146,dados[COD_SETOR_CURSO],$C$5)</f>
        <v>0</v>
      </c>
      <c r="H159" s="141" t="n">
        <f t="shared" si="31"/>
        <v>0</v>
      </c>
      <c r="I159" t="n">
        <f>COUNTIFS(dados[RESPOSTA],C159, dados[ID_PERGUNTA],$C$146,dados[Instituição],$A$2)</f>
        <v>6</v>
      </c>
      <c r="J159" s="141" t="n">
        <f t="shared" si="32"/>
        <v>1.2050000000000001</v>
      </c>
    </row>
    <row r="160">
      <c r="C160" s="111" t="s">
        <v>313</v>
      </c>
      <c r="D160" s="111"/>
      <c r="E160" s="62" t="n">
        <f t="shared" ref="E160:J160" si="33">SUM(E154:E159)</f>
        <v>1</v>
      </c>
      <c r="F160" s="58" t="n">
        <f t="shared" si="33"/>
        <v>100</v>
      </c>
      <c r="G160" s="62" t="n">
        <f t="shared" si="33"/>
        <v>72</v>
      </c>
      <c r="H160" s="58" t="n">
        <f t="shared" si="33"/>
        <v>100</v>
      </c>
      <c r="I160" s="62" t="n">
        <f t="shared" si="33"/>
        <v>498</v>
      </c>
      <c r="J160" s="58" t="n">
        <f t="shared" si="33"/>
        <v>99.999999999999986</v>
      </c>
    </row>
    <row r="163">
      <c r="C163" s="70" t="s">
        <v>427</v>
      </c>
      <c r="D163" s="70"/>
      <c r="E163" s="70"/>
      <c r="F163" s="70"/>
      <c r="G163" s="70"/>
      <c r="H163" s="70"/>
      <c r="I163" s="70"/>
      <c r="J163" s="70"/>
    </row>
    <row r="164">
      <c r="C164" s="56"/>
      <c r="D164" s="56"/>
      <c r="E164" s="71" t="s">
        <v>418</v>
      </c>
      <c r="F164" s="71"/>
      <c r="G164" s="72" t="s">
        <v>419</v>
      </c>
      <c r="H164" s="72"/>
      <c r="I164" s="73" t="s">
        <v>21</v>
      </c>
      <c r="J164" s="73"/>
      <c r="N164" s="124"/>
      <c r="O164" s="129"/>
    </row>
    <row r="165">
      <c r="C165" s="65" t="s">
        <v>428</v>
      </c>
      <c r="D165" s="65" t="s">
        <v>429</v>
      </c>
      <c r="E165" s="54" t="s">
        <v>303</v>
      </c>
      <c r="F165" s="57" t="s">
        <v>426</v>
      </c>
      <c r="G165" s="54" t="s">
        <v>303</v>
      </c>
      <c r="H165" s="57" t="s">
        <v>426</v>
      </c>
      <c r="I165" s="54" t="s">
        <v>303</v>
      </c>
      <c r="J165" s="57" t="s">
        <v>426</v>
      </c>
      <c r="N165" s="124"/>
    </row>
    <row r="166">
      <c r="C166" s="119" t="s">
        <v>401</v>
      </c>
      <c r="D166" s="48" t="s">
        <v>406</v>
      </c>
      <c r="E166" s="12" t="n">
        <f t="shared" ref="E166:J166" si="34">E159+E158</f>
        <v>0</v>
      </c>
      <c r="F166" s="60" t="n">
        <f t="shared" si="34"/>
        <v>0</v>
      </c>
      <c r="G166" s="12" t="n">
        <f t="shared" si="34"/>
        <v>2</v>
      </c>
      <c r="H166" s="60" t="n">
        <f t="shared" si="34"/>
        <v>2.778</v>
      </c>
      <c r="I166" s="12" t="n">
        <f t="shared" si="34"/>
        <v>14</v>
      </c>
      <c r="J166" s="60" t="n">
        <f t="shared" si="34"/>
        <v>2.8109999999999999</v>
      </c>
      <c r="N166" s="124"/>
    </row>
    <row r="167">
      <c r="C167" s="120" t="s">
        <v>402</v>
      </c>
      <c r="D167" s="48" t="s">
        <v>45</v>
      </c>
      <c r="E167" s="12" t="n">
        <f t="shared" ref="E167:J167" si="35">E154</f>
        <v>0</v>
      </c>
      <c r="F167" s="60" t="n">
        <f t="shared" si="35"/>
        <v>0</v>
      </c>
      <c r="G167" s="12" t="n">
        <f t="shared" si="35"/>
        <v>17</v>
      </c>
      <c r="H167" s="60" t="n">
        <f t="shared" si="35"/>
        <v>23.611000000000001</v>
      </c>
      <c r="I167" s="12" t="n">
        <f t="shared" si="35"/>
        <v>136</v>
      </c>
      <c r="J167" s="60" t="n">
        <f t="shared" si="35"/>
        <v>27.309000000000001</v>
      </c>
      <c r="N167" s="124"/>
    </row>
    <row r="168">
      <c r="C168" s="121" t="s">
        <v>403</v>
      </c>
      <c r="D168" s="48" t="s">
        <v>29</v>
      </c>
      <c r="E168" s="12" t="n">
        <f t="shared" ref="E168:J168" si="36">E157</f>
        <v>1</v>
      </c>
      <c r="F168" s="60" t="n">
        <f t="shared" si="36"/>
        <v>100</v>
      </c>
      <c r="G168" s="12" t="n">
        <f t="shared" si="36"/>
        <v>10</v>
      </c>
      <c r="H168" s="60" t="n">
        <f t="shared" si="36"/>
        <v>13.888999999999999</v>
      </c>
      <c r="I168" s="12" t="n">
        <f t="shared" si="36"/>
        <v>52</v>
      </c>
      <c r="J168" s="60" t="n">
        <f t="shared" si="36"/>
        <v>10.442</v>
      </c>
      <c r="N168" s="124"/>
    </row>
    <row r="169">
      <c r="C169" s="122" t="s">
        <v>404</v>
      </c>
      <c r="D169" s="48" t="s">
        <v>407</v>
      </c>
      <c r="E169" s="147" t="n">
        <f t="shared" ref="E169:J169" si="37">E156+E155</f>
        <v>0</v>
      </c>
      <c r="F169" s="63" t="n">
        <f t="shared" si="37"/>
        <v>0</v>
      </c>
      <c r="G169" s="147" t="n">
        <f t="shared" si="37"/>
        <v>43</v>
      </c>
      <c r="H169" s="63" t="n">
        <f t="shared" si="37"/>
        <v>59.721999999999994</v>
      </c>
      <c r="I169" s="147" t="n">
        <f t="shared" si="37"/>
        <v>296</v>
      </c>
      <c r="J169" s="63" t="n">
        <f t="shared" si="37"/>
        <v>59.438000000000002</v>
      </c>
      <c r="N169" s="124"/>
    </row>
    <row r="170">
      <c r="C170" s="62" t="s">
        <v>313</v>
      </c>
      <c r="D170" s="62"/>
      <c r="E170" s="62" t="n">
        <f>SUM(E166:E169)</f>
        <v>1</v>
      </c>
      <c r="F170" s="58" t="n">
        <f>ROUND(SUM(F166:F169),2)</f>
        <v>100</v>
      </c>
      <c r="G170" s="62" t="n">
        <f>SUM(G166:G169)</f>
        <v>72</v>
      </c>
      <c r="H170" s="58" t="n">
        <f>SUM(H166:H169)</f>
        <v>100</v>
      </c>
      <c r="I170" s="62" t="n">
        <f>SUM(I166:I169)</f>
        <v>498</v>
      </c>
      <c r="J170" s="58" t="n">
        <f>ROUND(SUM(J166:J169),2)</f>
        <v>100</v>
      </c>
      <c r="L170" s="77"/>
      <c r="M170" s="77"/>
      <c r="N170" s="124"/>
    </row>
    <row r="171">
      <c r="L171" s="77"/>
      <c r="M171" s="77"/>
      <c r="N171" s="124"/>
    </row>
    <row r="172">
      <c r="B172" s="178"/>
      <c r="N172" s="124"/>
    </row>
    <row r="173">
      <c r="B173" s="165"/>
      <c r="C173" s="166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</row>
    <row r="175">
      <c r="B175" s="66" t="s">
        <v>421</v>
      </c>
      <c r="C175" s="80" t="n">
        <f>INDEX(Questoes!A:A,MATCH(C179,Questoes!J:J,0))</f>
        <v>26</v>
      </c>
      <c r="D175" s="83" t="str">
        <f>INDEX(Questoes!F:F,MATCH(C179,Questoes!J:J,0))</f>
        <v>Com relação à(s) biblioteca(s) da UFPR que você utiliza, avalie os itens a seguir:</v>
      </c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</row>
    <row r="176">
      <c r="B176" s="66"/>
      <c r="C176" s="80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</row>
    <row r="177">
      <c r="B177" s="66"/>
      <c r="C177" s="80"/>
      <c r="D177" s="84" t="str">
        <f>IF(INDEX(Questoes!G:G,MATCH(C179,Questoes!J:J,0))=0,"",INDEX(Questoes!G:G,MATCH(C179,Questoes!J:J,0)))</f>
      </c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>
      <c r="D178" s="82" t="str">
        <f>IF(INDEX(Questoes!I:I,MATCH(C179,Questoes!J:J,FALSE))=0,"",INDEX(Questoes!I:I,MATCH(C179,Questoes!J:J,FALSE)))</f>
      </c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</row>
    <row r="179">
      <c r="B179" s="79" t="s">
        <v>422</v>
      </c>
      <c r="C179" s="80" t="n">
        <v>1077</v>
      </c>
      <c r="D179" s="81" t="str">
        <f>VLOOKUP(C179, Questoes!J:K,2, 0)</f>
        <v>Contéudos de acesso digital (Repositório Digital Institucional e bases/plataformas de dados)</v>
      </c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</row>
    <row r="180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</row>
    <row r="181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</row>
    <row r="182">
      <c r="B182" s="138"/>
      <c r="C182" s="139"/>
      <c r="D182" s="137" t="str">
        <f>IF(INDEX(Questoes!L:L,MATCH(C179,Questoes!J:J,0))=0,"",INDEX(Questoes!L:L,MATCH(C179,Questoes!J:J,0)))</f>
      </c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</row>
    <row r="183">
      <c r="B183" s="138"/>
      <c r="C183" s="139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</row>
    <row r="184">
      <c r="B184" s="146" t="s">
        <v>423</v>
      </c>
      <c r="C184" s="70" t="s">
        <v>424</v>
      </c>
      <c r="D184" s="70"/>
      <c r="E184" s="70"/>
      <c r="F184" s="70"/>
      <c r="G184" s="70"/>
      <c r="H184" s="70"/>
      <c r="I184" s="70"/>
      <c r="J184" s="70"/>
      <c r="K184" s="140"/>
      <c r="L184" s="67" t="str">
        <f>C184</f>
        <v>Apuração de Resultados </v>
      </c>
      <c r="M184" s="68"/>
      <c r="N184" s="68"/>
      <c r="O184" s="69"/>
      <c r="P184" s="117"/>
      <c r="Q184" s="67" t="str">
        <f>C196</f>
        <v>Critérios de Análise</v>
      </c>
      <c r="R184" s="68"/>
      <c r="S184" s="68"/>
      <c r="T184" s="68"/>
      <c r="U184" s="68"/>
      <c r="V184" s="68"/>
      <c r="W184" s="69"/>
    </row>
    <row r="185">
      <c r="C185" s="64"/>
      <c r="D185" s="64"/>
      <c r="E185" s="74" t="s">
        <v>418</v>
      </c>
      <c r="F185" s="74"/>
      <c r="G185" s="75" t="s">
        <v>419</v>
      </c>
      <c r="H185" s="75"/>
      <c r="I185" s="76" t="s">
        <v>21</v>
      </c>
      <c r="J185" s="76"/>
      <c r="L185" s="159" t="s">
        <v>422</v>
      </c>
      <c r="M185" s="106" t="n">
        <f>C179</f>
        <v>1077</v>
      </c>
      <c r="N185" s="106"/>
      <c r="O185" s="106"/>
      <c r="P185" s="117"/>
      <c r="Q185" s="107" t="str">
        <f>L185</f>
        <v>Questão</v>
      </c>
      <c r="R185" s="107"/>
      <c r="S185" s="107"/>
      <c r="T185" s="108" t="n">
        <f>M185</f>
        <v>1077</v>
      </c>
      <c r="U185" s="108"/>
      <c r="V185" s="108"/>
      <c r="W185" s="108"/>
    </row>
    <row r="186">
      <c r="C186" s="54" t="s">
        <v>425</v>
      </c>
      <c r="D186" s="54"/>
      <c r="E186" s="54" t="s">
        <v>303</v>
      </c>
      <c r="F186" s="57" t="s">
        <v>426</v>
      </c>
      <c r="G186" s="54" t="s">
        <v>303</v>
      </c>
      <c r="H186" s="57" t="s">
        <v>426</v>
      </c>
      <c r="I186" s="54" t="s">
        <v>303</v>
      </c>
      <c r="J186" s="57" t="s">
        <v>426</v>
      </c>
      <c r="K186" s="117"/>
    </row>
    <row r="187">
      <c r="C187" s="77" t="s">
        <v>45</v>
      </c>
      <c r="D187" s="77"/>
      <c r="E187" s="129" t="n">
        <f>COUNTIFS(dados[RESPOSTA],C187, dados[ID_PERGUNTA],C$179,dados[COD_HABILITAÇÃO_CURSO],$C$4)</f>
        <v>0</v>
      </c>
      <c r="F187" s="141" t="n">
        <f t="shared" ref="F187:F192" si="38">ROUND(E187/E$193*100,3)</f>
        <v>0</v>
      </c>
      <c r="G187" t="n">
        <f>COUNTIFS(dados[RESPOSTA],C187, dados[ID_PERGUNTA],C$179,dados[COD_SETOR_CURSO],$C$5)</f>
        <v>19</v>
      </c>
      <c r="H187" s="141" t="n">
        <f t="shared" ref="H187:H192" si="39">ROUND(G187/G$193*100,3)</f>
        <v>26.760999999999999</v>
      </c>
      <c r="I187" t="n">
        <f>COUNTIFS(dados[RESPOSTA],C187, dados[ID_PERGUNTA],$C$179,dados[Instituição],$A$2)</f>
        <v>135</v>
      </c>
      <c r="J187" s="141" t="n">
        <f t="shared" ref="J187:J192" si="40">ROUND(I187/I$193*100,3)</f>
        <v>27.218</v>
      </c>
      <c r="P187" s="118"/>
      <c r="V187" s="20"/>
      <c r="W187" s="20"/>
    </row>
    <row r="188">
      <c r="C188" s="77" t="s">
        <v>26</v>
      </c>
      <c r="D188" s="77"/>
      <c r="E188" s="129" t="n">
        <f>COUNTIFS(dados[RESPOSTA],C188, dados[ID_PERGUNTA],C$179,dados[COD_HABILITAÇÃO_CURSO],$C$4)</f>
        <v>3</v>
      </c>
      <c r="F188" s="141" t="n">
        <f t="shared" si="38"/>
        <v>100</v>
      </c>
      <c r="G188" t="n">
        <f>COUNTIFS(dados[RESPOSTA],C188, dados[ID_PERGUNTA],C$179,dados[COD_SETOR_CURSO],$C$5)</f>
        <v>23</v>
      </c>
      <c r="H188" s="141" t="n">
        <f t="shared" si="39"/>
        <v>32.393999999999998</v>
      </c>
      <c r="I188" t="n">
        <f>COUNTIFS(dados[RESPOSTA],C188, dados[ID_PERGUNTA],$C$179,dados[Instituição],$A$2)</f>
        <v>135</v>
      </c>
      <c r="J188" s="141" t="n">
        <f t="shared" si="40"/>
        <v>27.218</v>
      </c>
    </row>
    <row r="189">
      <c r="C189" s="77" t="s">
        <v>16</v>
      </c>
      <c r="D189" s="77"/>
      <c r="E189" s="129" t="n">
        <f>COUNTIFS(dados[RESPOSTA],C189, dados[ID_PERGUNTA],C$179,dados[COD_HABILITAÇÃO_CURSO],$C$4)</f>
        <v>0</v>
      </c>
      <c r="F189" s="141" t="n">
        <f t="shared" si="38"/>
        <v>0</v>
      </c>
      <c r="G189" t="n">
        <f>COUNTIFS(dados[RESPOSTA],C189, dados[ID_PERGUNTA],C$179,dados[COD_SETOR_CURSO],$C$5)</f>
        <v>19</v>
      </c>
      <c r="H189" s="141" t="n">
        <f t="shared" si="39"/>
        <v>26.760999999999999</v>
      </c>
      <c r="I189" t="n">
        <f>COUNTIFS(dados[RESPOSTA],C189, dados[ID_PERGUNTA],$C$179,dados[Instituição],$A$2)</f>
        <v>162</v>
      </c>
      <c r="J189" s="141" t="n">
        <f t="shared" si="40"/>
        <v>32.661000000000001</v>
      </c>
    </row>
    <row r="190">
      <c r="C190" s="77" t="s">
        <v>29</v>
      </c>
      <c r="D190" s="77"/>
      <c r="E190" s="129" t="n">
        <f>COUNTIFS(dados[RESPOSTA],C190, dados[ID_PERGUNTA],C$179,dados[COD_HABILITAÇÃO_CURSO],$C$4)</f>
        <v>0</v>
      </c>
      <c r="F190" s="141" t="n">
        <f t="shared" si="38"/>
        <v>0</v>
      </c>
      <c r="G190" t="n">
        <f>COUNTIFS(dados[RESPOSTA],C190, dados[ID_PERGUNTA],C$179,dados[COD_SETOR_CURSO],$C$5)</f>
        <v>9</v>
      </c>
      <c r="H190" s="141" t="n">
        <f t="shared" si="39"/>
        <v>12.676</v>
      </c>
      <c r="I190" t="n">
        <f>COUNTIFS(dados[RESPOSTA],C190, dados[ID_PERGUNTA],$C$179,dados[Instituição],$A$2)</f>
        <v>48</v>
      </c>
      <c r="J190" s="141" t="n">
        <f t="shared" si="40"/>
        <v>9.6769999999999996</v>
      </c>
    </row>
    <row r="191">
      <c r="C191" s="77" t="s">
        <v>79</v>
      </c>
      <c r="D191" s="77"/>
      <c r="E191" s="129" t="n">
        <f>COUNTIFS(dados[RESPOSTA],C191, dados[ID_PERGUNTA],C$179,dados[COD_HABILITAÇÃO_CURSO],$C$4)</f>
        <v>0</v>
      </c>
      <c r="F191" s="141" t="n">
        <f t="shared" si="38"/>
        <v>0</v>
      </c>
      <c r="G191" t="n">
        <f>COUNTIFS(dados[RESPOSTA],C191, dados[ID_PERGUNTA],C$179,dados[COD_SETOR_CURSO],$C$5)</f>
        <v>1</v>
      </c>
      <c r="H191" s="141" t="n">
        <f t="shared" si="39"/>
        <v>1.4079999999999999</v>
      </c>
      <c r="I191" t="n">
        <f>COUNTIFS(dados[RESPOSTA],C191, dados[ID_PERGUNTA],$C$179,dados[Instituição],$A$2)</f>
        <v>14</v>
      </c>
      <c r="J191" s="141" t="n">
        <f t="shared" si="40"/>
        <v>2.823</v>
      </c>
      <c r="P191" s="124"/>
      <c r="Q191" s="124"/>
      <c r="R191" s="124"/>
      <c r="S191" s="124"/>
      <c r="T191" s="124"/>
      <c r="U191" s="124"/>
      <c r="V191" s="124"/>
      <c r="W191" s="124"/>
    </row>
    <row r="192">
      <c r="C192" s="77" t="s">
        <v>80</v>
      </c>
      <c r="D192" s="77"/>
      <c r="E192" s="129" t="n">
        <f>COUNTIFS(dados[RESPOSTA],C192, dados[ID_PERGUNTA],C$179,dados[COD_HABILITAÇÃO_CURSO],$C$4)</f>
        <v>0</v>
      </c>
      <c r="F192" s="141" t="n">
        <f t="shared" si="38"/>
        <v>0</v>
      </c>
      <c r="G192" t="n">
        <f>COUNTIFS(dados[RESPOSTA],C192, dados[ID_PERGUNTA],C$179,dados[COD_SETOR_CURSO],$C$5)</f>
        <v>0</v>
      </c>
      <c r="H192" s="141" t="n">
        <f t="shared" si="39"/>
        <v>0</v>
      </c>
      <c r="I192" t="n">
        <f>COUNTIFS(dados[RESPOSTA],C192, dados[ID_PERGUNTA],$C$179,dados[Instituição],$A$2)</f>
        <v>2</v>
      </c>
      <c r="J192" s="141" t="n">
        <f t="shared" si="40"/>
        <v>0.40300000000000002</v>
      </c>
    </row>
    <row r="193">
      <c r="C193" s="111" t="s">
        <v>313</v>
      </c>
      <c r="D193" s="111"/>
      <c r="E193" s="62" t="n">
        <f t="shared" ref="E193:J193" si="41">SUM(E187:E192)</f>
        <v>3</v>
      </c>
      <c r="F193" s="58" t="n">
        <f t="shared" si="41"/>
        <v>100</v>
      </c>
      <c r="G193" s="62" t="n">
        <f t="shared" si="41"/>
        <v>71</v>
      </c>
      <c r="H193" s="58" t="n">
        <f t="shared" si="41"/>
        <v>100</v>
      </c>
      <c r="I193" s="62" t="n">
        <f t="shared" si="41"/>
        <v>496</v>
      </c>
      <c r="J193" s="58" t="n">
        <f t="shared" si="41"/>
        <v>100</v>
      </c>
    </row>
    <row r="196">
      <c r="C196" s="70" t="s">
        <v>427</v>
      </c>
      <c r="D196" s="70"/>
      <c r="E196" s="70"/>
      <c r="F196" s="70"/>
      <c r="G196" s="70"/>
      <c r="H196" s="70"/>
      <c r="I196" s="70"/>
      <c r="J196" s="70"/>
    </row>
    <row r="197">
      <c r="C197" s="56"/>
      <c r="D197" s="56"/>
      <c r="E197" s="71" t="s">
        <v>418</v>
      </c>
      <c r="F197" s="71"/>
      <c r="G197" s="72" t="s">
        <v>419</v>
      </c>
      <c r="H197" s="72"/>
      <c r="I197" s="73" t="s">
        <v>21</v>
      </c>
      <c r="J197" s="73"/>
      <c r="N197" s="124"/>
      <c r="O197" s="129"/>
    </row>
    <row r="198">
      <c r="C198" s="65" t="s">
        <v>428</v>
      </c>
      <c r="D198" s="65" t="s">
        <v>429</v>
      </c>
      <c r="E198" s="54" t="s">
        <v>303</v>
      </c>
      <c r="F198" s="57" t="s">
        <v>426</v>
      </c>
      <c r="G198" s="54" t="s">
        <v>303</v>
      </c>
      <c r="H198" s="57" t="s">
        <v>426</v>
      </c>
      <c r="I198" s="54" t="s">
        <v>303</v>
      </c>
      <c r="J198" s="57" t="s">
        <v>426</v>
      </c>
      <c r="N198" s="124"/>
    </row>
    <row r="199">
      <c r="C199" s="119" t="s">
        <v>401</v>
      </c>
      <c r="D199" s="48" t="s">
        <v>406</v>
      </c>
      <c r="E199" s="12" t="n">
        <f t="shared" ref="E199:J199" si="42">E192+E191</f>
        <v>0</v>
      </c>
      <c r="F199" s="60" t="n">
        <f t="shared" si="42"/>
        <v>0</v>
      </c>
      <c r="G199" s="12" t="n">
        <f t="shared" si="42"/>
        <v>1</v>
      </c>
      <c r="H199" s="60" t="n">
        <f t="shared" si="42"/>
        <v>1.4079999999999999</v>
      </c>
      <c r="I199" s="12" t="n">
        <f t="shared" si="42"/>
        <v>16</v>
      </c>
      <c r="J199" s="60" t="n">
        <f t="shared" si="42"/>
        <v>3.226</v>
      </c>
      <c r="N199" s="124"/>
    </row>
    <row r="200">
      <c r="C200" s="120" t="s">
        <v>402</v>
      </c>
      <c r="D200" s="48" t="s">
        <v>45</v>
      </c>
      <c r="E200" s="12" t="n">
        <f t="shared" ref="E200:J200" si="43">E187</f>
        <v>0</v>
      </c>
      <c r="F200" s="60" t="n">
        <f t="shared" si="43"/>
        <v>0</v>
      </c>
      <c r="G200" s="12" t="n">
        <f t="shared" si="43"/>
        <v>19</v>
      </c>
      <c r="H200" s="60" t="n">
        <f t="shared" si="43"/>
        <v>26.760999999999999</v>
      </c>
      <c r="I200" s="12" t="n">
        <f t="shared" si="43"/>
        <v>135</v>
      </c>
      <c r="J200" s="60" t="n">
        <f t="shared" si="43"/>
        <v>27.218</v>
      </c>
      <c r="N200" s="124"/>
    </row>
    <row r="201">
      <c r="C201" s="121" t="s">
        <v>403</v>
      </c>
      <c r="D201" s="48" t="s">
        <v>29</v>
      </c>
      <c r="E201" s="12" t="n">
        <f t="shared" ref="E201:J201" si="44">E190</f>
        <v>0</v>
      </c>
      <c r="F201" s="60" t="n">
        <f t="shared" si="44"/>
        <v>0</v>
      </c>
      <c r="G201" s="12" t="n">
        <f t="shared" si="44"/>
        <v>9</v>
      </c>
      <c r="H201" s="60" t="n">
        <f t="shared" si="44"/>
        <v>12.676</v>
      </c>
      <c r="I201" s="12" t="n">
        <f t="shared" si="44"/>
        <v>48</v>
      </c>
      <c r="J201" s="60" t="n">
        <f t="shared" si="44"/>
        <v>9.6769999999999996</v>
      </c>
      <c r="N201" s="124"/>
    </row>
    <row r="202">
      <c r="C202" s="122" t="s">
        <v>404</v>
      </c>
      <c r="D202" s="48" t="s">
        <v>407</v>
      </c>
      <c r="E202" s="147" t="n">
        <f t="shared" ref="E202:J202" si="45">E189+E188</f>
        <v>3</v>
      </c>
      <c r="F202" s="63" t="n">
        <f t="shared" si="45"/>
        <v>100</v>
      </c>
      <c r="G202" s="147" t="n">
        <f t="shared" si="45"/>
        <v>42</v>
      </c>
      <c r="H202" s="63" t="n">
        <f t="shared" si="45"/>
        <v>59.155000000000001</v>
      </c>
      <c r="I202" s="147" t="n">
        <f t="shared" si="45"/>
        <v>297</v>
      </c>
      <c r="J202" s="63" t="n">
        <f t="shared" si="45"/>
        <v>59.879000000000005</v>
      </c>
      <c r="N202" s="124"/>
    </row>
    <row r="203">
      <c r="C203" s="62" t="s">
        <v>313</v>
      </c>
      <c r="D203" s="62"/>
      <c r="E203" s="62" t="n">
        <f>SUM(E199:E202)</f>
        <v>3</v>
      </c>
      <c r="F203" s="58" t="n">
        <f>ROUND(SUM(F199:F202),2)</f>
        <v>100</v>
      </c>
      <c r="G203" s="62" t="n">
        <f>SUM(G199:G202)</f>
        <v>71</v>
      </c>
      <c r="H203" s="58" t="n">
        <f>SUM(H199:H202)</f>
        <v>100</v>
      </c>
      <c r="I203" s="62" t="n">
        <f>SUM(I199:I202)</f>
        <v>496</v>
      </c>
      <c r="J203" s="58" t="n">
        <f>ROUND(SUM(J199:J202),2)</f>
        <v>100</v>
      </c>
      <c r="L203" s="77"/>
      <c r="M203" s="77"/>
      <c r="N203" s="124"/>
    </row>
    <row r="204">
      <c r="L204" s="77"/>
      <c r="M204" s="77"/>
      <c r="N204" s="124"/>
    </row>
    <row r="205">
      <c r="B205" s="178"/>
      <c r="N205" s="124"/>
    </row>
    <row r="206">
      <c r="B206" s="165"/>
      <c r="C206" s="166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</row>
    <row r="208">
      <c r="B208" s="66" t="s">
        <v>421</v>
      </c>
      <c r="C208" s="80" t="n">
        <f>INDEX(Questoes!A:A,MATCH(C212,Questoes!J:J,0))</f>
        <v>27</v>
      </c>
      <c r="D208" s="83" t="str">
        <f>INDEX(Questoes!F:F,MATCH(C212,Questoes!J:J,0))</f>
        <v>Com relação à(s) biblioteca(s) da UFPR que você utiliza, avalie os itens a seguir:</v>
      </c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</row>
    <row r="209">
      <c r="B209" s="66"/>
      <c r="C209" s="80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</row>
    <row r="210">
      <c r="B210" s="66"/>
      <c r="C210" s="80"/>
      <c r="D210" s="84" t="str">
        <f>IF(INDEX(Questoes!G:G,MATCH(C212,Questoes!J:J,0))=0,"",INDEX(Questoes!G:G,MATCH(C212,Questoes!J:J,0)))</f>
      </c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>
      <c r="D211" s="82" t="str">
        <f>IF(INDEX(Questoes!I:I,MATCH(C212,Questoes!J:J,FALSE))=0,"",INDEX(Questoes!I:I,MATCH(C212,Questoes!J:J,FALSE)))</f>
      </c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</row>
    <row r="212">
      <c r="B212" s="79" t="s">
        <v>422</v>
      </c>
      <c r="C212" s="80" t="n">
        <v>1078</v>
      </c>
      <c r="D212" s="81" t="str">
        <f>VLOOKUP(C212, Questoes!J:K,2, 0)</f>
        <v>Atendimento às necessidades de acessibilidade física e informacional</v>
      </c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</row>
    <row r="213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</row>
    <row r="214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</row>
    <row r="215">
      <c r="B215" s="138"/>
      <c r="C215" s="139"/>
      <c r="D215" s="137" t="str">
        <f>IF(INDEX(Questoes!L:L,MATCH(C212,Questoes!J:J,0))=0,"",INDEX(Questoes!L:L,MATCH(C212,Questoes!J:J,0)))</f>
      </c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</row>
    <row r="216">
      <c r="B216" s="138"/>
      <c r="C216" s="139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</row>
    <row r="217">
      <c r="B217" s="146" t="s">
        <v>423</v>
      </c>
      <c r="C217" s="70" t="s">
        <v>424</v>
      </c>
      <c r="D217" s="70"/>
      <c r="E217" s="70"/>
      <c r="F217" s="70"/>
      <c r="G217" s="70"/>
      <c r="H217" s="70"/>
      <c r="I217" s="70"/>
      <c r="J217" s="70"/>
      <c r="K217" s="140"/>
      <c r="L217" s="67" t="str">
        <f>C217</f>
        <v>Apuração de Resultados </v>
      </c>
      <c r="M217" s="68"/>
      <c r="N217" s="68"/>
      <c r="O217" s="69"/>
      <c r="P217" s="117"/>
      <c r="Q217" s="67" t="str">
        <f>C229</f>
        <v>Critérios de Análise</v>
      </c>
      <c r="R217" s="68"/>
      <c r="S217" s="68"/>
      <c r="T217" s="68"/>
      <c r="U217" s="68"/>
      <c r="V217" s="68"/>
      <c r="W217" s="69"/>
    </row>
    <row r="218">
      <c r="C218" s="64"/>
      <c r="D218" s="64"/>
      <c r="E218" s="74" t="s">
        <v>418</v>
      </c>
      <c r="F218" s="74"/>
      <c r="G218" s="75" t="s">
        <v>419</v>
      </c>
      <c r="H218" s="75"/>
      <c r="I218" s="76" t="s">
        <v>21</v>
      </c>
      <c r="J218" s="76"/>
      <c r="L218" s="159" t="s">
        <v>422</v>
      </c>
      <c r="M218" s="106" t="n">
        <f>C212</f>
        <v>1078</v>
      </c>
      <c r="N218" s="106"/>
      <c r="O218" s="106"/>
      <c r="P218" s="117"/>
      <c r="Q218" s="107" t="str">
        <f>L218</f>
        <v>Questão</v>
      </c>
      <c r="R218" s="107"/>
      <c r="S218" s="107"/>
      <c r="T218" s="108" t="n">
        <f>M218</f>
        <v>1078</v>
      </c>
      <c r="U218" s="108"/>
      <c r="V218" s="108"/>
      <c r="W218" s="108"/>
    </row>
    <row r="219">
      <c r="C219" s="54" t="s">
        <v>425</v>
      </c>
      <c r="D219" s="54"/>
      <c r="E219" s="54" t="s">
        <v>303</v>
      </c>
      <c r="F219" s="57" t="s">
        <v>426</v>
      </c>
      <c r="G219" s="54" t="s">
        <v>303</v>
      </c>
      <c r="H219" s="57" t="s">
        <v>426</v>
      </c>
      <c r="I219" s="54" t="s">
        <v>303</v>
      </c>
      <c r="J219" s="57" t="s">
        <v>426</v>
      </c>
      <c r="K219" s="117"/>
    </row>
    <row r="220">
      <c r="C220" s="77" t="s">
        <v>45</v>
      </c>
      <c r="D220" s="77"/>
      <c r="E220" s="129" t="n">
        <f>COUNTIFS(dados[RESPOSTA],C220, dados[ID_PERGUNTA],C$212,dados[COD_HABILITAÇÃO_CURSO],$C$4)</f>
        <v>0</v>
      </c>
      <c r="F220" s="141" t="n">
        <f t="shared" ref="F220:F225" si="46">ROUND(E220/E$226*100,3)</f>
        <v>0</v>
      </c>
      <c r="G220" t="n">
        <f>COUNTIFS(dados[RESPOSTA],C220, dados[ID_PERGUNTA],C$212,dados[COD_SETOR_CURSO],$C$5)</f>
        <v>18</v>
      </c>
      <c r="H220" s="141" t="n">
        <f t="shared" ref="H220:H225" si="47">ROUND(G220/G$226*100,3)</f>
        <v>25.352</v>
      </c>
      <c r="I220" t="n">
        <f>COUNTIFS(dados[RESPOSTA],C220, dados[ID_PERGUNTA],$C$212,dados[Instituição],$A$2)</f>
        <v>146</v>
      </c>
      <c r="J220" s="141" t="n">
        <f t="shared" ref="J220:J225" si="48">ROUND(I220/I$226*100,3)</f>
        <v>29.259</v>
      </c>
      <c r="P220" s="118"/>
      <c r="V220" s="20"/>
      <c r="W220" s="20"/>
    </row>
    <row r="221">
      <c r="C221" s="77" t="s">
        <v>26</v>
      </c>
      <c r="D221" s="77"/>
      <c r="E221" s="129" t="n">
        <f>COUNTIFS(dados[RESPOSTA],C221, dados[ID_PERGUNTA],C$212,dados[COD_HABILITAÇÃO_CURSO],$C$4)</f>
        <v>2</v>
      </c>
      <c r="F221" s="141" t="n">
        <f t="shared" si="46"/>
        <v>100</v>
      </c>
      <c r="G221" t="n">
        <f>COUNTIFS(dados[RESPOSTA],C221, dados[ID_PERGUNTA],C$212,dados[COD_SETOR_CURSO],$C$5)</f>
        <v>25</v>
      </c>
      <c r="H221" s="141" t="n">
        <f t="shared" si="47"/>
        <v>35.210999999999999</v>
      </c>
      <c r="I221" t="n">
        <f>COUNTIFS(dados[RESPOSTA],C221, dados[ID_PERGUNTA],$C$212,dados[Instituição],$A$2)</f>
        <v>133</v>
      </c>
      <c r="J221" s="141" t="n">
        <f t="shared" si="48"/>
        <v>26.652999999999999</v>
      </c>
    </row>
    <row r="222">
      <c r="C222" s="77" t="s">
        <v>16</v>
      </c>
      <c r="D222" s="77"/>
      <c r="E222" s="129" t="n">
        <f>COUNTIFS(dados[RESPOSTA],C222, dados[ID_PERGUNTA],C$212,dados[COD_HABILITAÇÃO_CURSO],$C$4)</f>
        <v>0</v>
      </c>
      <c r="F222" s="141" t="n">
        <f t="shared" si="46"/>
        <v>0</v>
      </c>
      <c r="G222" t="n">
        <f>COUNTIFS(dados[RESPOSTA],C222, dados[ID_PERGUNTA],C$212,dados[COD_SETOR_CURSO],$C$5)</f>
        <v>21</v>
      </c>
      <c r="H222" s="141" t="n">
        <f t="shared" si="47"/>
        <v>29.577000000000002</v>
      </c>
      <c r="I222" t="n">
        <f>COUNTIFS(dados[RESPOSTA],C222, dados[ID_PERGUNTA],$C$212,dados[Instituição],$A$2)</f>
        <v>162</v>
      </c>
      <c r="J222" s="141" t="n">
        <f t="shared" si="48"/>
        <v>32.465000000000003</v>
      </c>
    </row>
    <row r="223">
      <c r="C223" s="77" t="s">
        <v>29</v>
      </c>
      <c r="D223" s="77"/>
      <c r="E223" s="129" t="n">
        <f>COUNTIFS(dados[RESPOSTA],C223, dados[ID_PERGUNTA],C$212,dados[COD_HABILITAÇÃO_CURSO],$C$4)</f>
        <v>0</v>
      </c>
      <c r="F223" s="141" t="n">
        <f t="shared" si="46"/>
        <v>0</v>
      </c>
      <c r="G223" t="n">
        <f>COUNTIFS(dados[RESPOSTA],C223, dados[ID_PERGUNTA],C$212,dados[COD_SETOR_CURSO],$C$5)</f>
        <v>5</v>
      </c>
      <c r="H223" s="141" t="n">
        <f t="shared" si="47"/>
        <v>7.0419999999999998</v>
      </c>
      <c r="I223" t="n">
        <f>COUNTIFS(dados[RESPOSTA],C223, dados[ID_PERGUNTA],$C$212,dados[Instituição],$A$2)</f>
        <v>42</v>
      </c>
      <c r="J223" s="141" t="n">
        <f t="shared" si="48"/>
        <v>8.4169999999999998</v>
      </c>
    </row>
    <row r="224">
      <c r="C224" s="77" t="s">
        <v>79</v>
      </c>
      <c r="D224" s="77"/>
      <c r="E224" s="129" t="n">
        <f>COUNTIFS(dados[RESPOSTA],C224, dados[ID_PERGUNTA],C$212,dados[COD_HABILITAÇÃO_CURSO],$C$4)</f>
        <v>0</v>
      </c>
      <c r="F224" s="141" t="n">
        <f t="shared" si="46"/>
        <v>0</v>
      </c>
      <c r="G224" t="n">
        <f>COUNTIFS(dados[RESPOSTA],C224, dados[ID_PERGUNTA],C$212,dados[COD_SETOR_CURSO],$C$5)</f>
        <v>2</v>
      </c>
      <c r="H224" s="141" t="n">
        <f t="shared" si="47"/>
        <v>2.8170000000000002</v>
      </c>
      <c r="I224" t="n">
        <f>COUNTIFS(dados[RESPOSTA],C224, dados[ID_PERGUNTA],$C$212,dados[Instituição],$A$2)</f>
        <v>11</v>
      </c>
      <c r="J224" s="141" t="n">
        <f t="shared" si="48"/>
        <v>2.2040000000000002</v>
      </c>
      <c r="P224" s="124"/>
      <c r="Q224" s="124"/>
      <c r="R224" s="124"/>
      <c r="S224" s="124"/>
      <c r="T224" s="124"/>
      <c r="U224" s="124"/>
      <c r="V224" s="124"/>
      <c r="W224" s="124"/>
    </row>
    <row r="225">
      <c r="C225" s="77" t="s">
        <v>80</v>
      </c>
      <c r="D225" s="77"/>
      <c r="E225" s="129" t="n">
        <f>COUNTIFS(dados[RESPOSTA],C225, dados[ID_PERGUNTA],C$212,dados[COD_HABILITAÇÃO_CURSO],$C$4)</f>
        <v>0</v>
      </c>
      <c r="F225" s="141" t="n">
        <f t="shared" si="46"/>
        <v>0</v>
      </c>
      <c r="G225" t="n">
        <f>COUNTIFS(dados[RESPOSTA],C225, dados[ID_PERGUNTA],C$212,dados[COD_SETOR_CURSO],$C$5)</f>
        <v>0</v>
      </c>
      <c r="H225" s="141" t="n">
        <f t="shared" si="47"/>
        <v>0</v>
      </c>
      <c r="I225" t="n">
        <f>COUNTIFS(dados[RESPOSTA],C225, dados[ID_PERGUNTA],$C$212,dados[Instituição],$A$2)</f>
        <v>5</v>
      </c>
      <c r="J225" s="141" t="n">
        <f t="shared" si="48"/>
        <v>1.002</v>
      </c>
    </row>
    <row r="226">
      <c r="C226" s="111" t="s">
        <v>313</v>
      </c>
      <c r="D226" s="111"/>
      <c r="E226" s="62" t="n">
        <f t="shared" ref="E226:J226" si="49">SUM(E220:E225)</f>
        <v>2</v>
      </c>
      <c r="F226" s="58" t="n">
        <f t="shared" si="49"/>
        <v>100</v>
      </c>
      <c r="G226" s="62" t="n">
        <f t="shared" si="49"/>
        <v>71</v>
      </c>
      <c r="H226" s="58" t="n">
        <f t="shared" si="49"/>
        <v>99.998999999999995</v>
      </c>
      <c r="I226" s="62" t="n">
        <f t="shared" si="49"/>
        <v>499</v>
      </c>
      <c r="J226" s="58" t="n">
        <f t="shared" si="49"/>
        <v>100</v>
      </c>
    </row>
    <row r="229">
      <c r="C229" s="70" t="s">
        <v>427</v>
      </c>
      <c r="D229" s="70"/>
      <c r="E229" s="70"/>
      <c r="F229" s="70"/>
      <c r="G229" s="70"/>
      <c r="H229" s="70"/>
      <c r="I229" s="70"/>
      <c r="J229" s="70"/>
    </row>
    <row r="230">
      <c r="C230" s="56"/>
      <c r="D230" s="56"/>
      <c r="E230" s="71" t="s">
        <v>418</v>
      </c>
      <c r="F230" s="71"/>
      <c r="G230" s="72" t="s">
        <v>419</v>
      </c>
      <c r="H230" s="72"/>
      <c r="I230" s="73" t="s">
        <v>21</v>
      </c>
      <c r="J230" s="73"/>
      <c r="N230" s="124"/>
      <c r="O230" s="129"/>
    </row>
    <row r="231">
      <c r="C231" s="65" t="s">
        <v>428</v>
      </c>
      <c r="D231" s="65" t="s">
        <v>429</v>
      </c>
      <c r="E231" s="54" t="s">
        <v>303</v>
      </c>
      <c r="F231" s="57" t="s">
        <v>426</v>
      </c>
      <c r="G231" s="54" t="s">
        <v>303</v>
      </c>
      <c r="H231" s="57" t="s">
        <v>426</v>
      </c>
      <c r="I231" s="54" t="s">
        <v>303</v>
      </c>
      <c r="J231" s="57" t="s">
        <v>426</v>
      </c>
      <c r="N231" s="124"/>
    </row>
    <row r="232">
      <c r="C232" s="119" t="s">
        <v>401</v>
      </c>
      <c r="D232" s="48" t="s">
        <v>406</v>
      </c>
      <c r="E232" s="12" t="n">
        <f t="shared" ref="E232:J232" si="50">E225+E224</f>
        <v>0</v>
      </c>
      <c r="F232" s="60" t="n">
        <f t="shared" si="50"/>
        <v>0</v>
      </c>
      <c r="G232" s="12" t="n">
        <f t="shared" si="50"/>
        <v>2</v>
      </c>
      <c r="H232" s="60" t="n">
        <f t="shared" si="50"/>
        <v>2.8170000000000002</v>
      </c>
      <c r="I232" s="12" t="n">
        <f t="shared" si="50"/>
        <v>16</v>
      </c>
      <c r="J232" s="60" t="n">
        <f t="shared" si="50"/>
        <v>3.2060000000000004</v>
      </c>
      <c r="N232" s="124"/>
    </row>
    <row r="233">
      <c r="C233" s="120" t="s">
        <v>402</v>
      </c>
      <c r="D233" s="48" t="s">
        <v>45</v>
      </c>
      <c r="E233" s="12" t="n">
        <f t="shared" ref="E233:J233" si="51">E220</f>
        <v>0</v>
      </c>
      <c r="F233" s="60" t="n">
        <f t="shared" si="51"/>
        <v>0</v>
      </c>
      <c r="G233" s="12" t="n">
        <f t="shared" si="51"/>
        <v>18</v>
      </c>
      <c r="H233" s="60" t="n">
        <f t="shared" si="51"/>
        <v>25.352</v>
      </c>
      <c r="I233" s="12" t="n">
        <f t="shared" si="51"/>
        <v>146</v>
      </c>
      <c r="J233" s="60" t="n">
        <f t="shared" si="51"/>
        <v>29.259</v>
      </c>
      <c r="N233" s="124"/>
    </row>
    <row r="234">
      <c r="C234" s="121" t="s">
        <v>403</v>
      </c>
      <c r="D234" s="48" t="s">
        <v>29</v>
      </c>
      <c r="E234" s="12" t="n">
        <f t="shared" ref="E234:J234" si="52">E223</f>
        <v>0</v>
      </c>
      <c r="F234" s="60" t="n">
        <f t="shared" si="52"/>
        <v>0</v>
      </c>
      <c r="G234" s="12" t="n">
        <f t="shared" si="52"/>
        <v>5</v>
      </c>
      <c r="H234" s="60" t="n">
        <f t="shared" si="52"/>
        <v>7.0419999999999998</v>
      </c>
      <c r="I234" s="12" t="n">
        <f t="shared" si="52"/>
        <v>42</v>
      </c>
      <c r="J234" s="60" t="n">
        <f t="shared" si="52"/>
        <v>8.4169999999999998</v>
      </c>
      <c r="N234" s="124"/>
    </row>
    <row r="235">
      <c r="C235" s="122" t="s">
        <v>404</v>
      </c>
      <c r="D235" s="48" t="s">
        <v>407</v>
      </c>
      <c r="E235" s="147" t="n">
        <f t="shared" ref="E235:J235" si="53">E222+E221</f>
        <v>2</v>
      </c>
      <c r="F235" s="63" t="n">
        <f t="shared" si="53"/>
        <v>100</v>
      </c>
      <c r="G235" s="147" t="n">
        <f t="shared" si="53"/>
        <v>46</v>
      </c>
      <c r="H235" s="63" t="n">
        <f t="shared" si="53"/>
        <v>64.787999999999997</v>
      </c>
      <c r="I235" s="147" t="n">
        <f t="shared" si="53"/>
        <v>295</v>
      </c>
      <c r="J235" s="63" t="n">
        <f t="shared" si="53"/>
        <v>59.118000000000002</v>
      </c>
      <c r="N235" s="124"/>
    </row>
    <row r="236">
      <c r="C236" s="62" t="s">
        <v>313</v>
      </c>
      <c r="D236" s="62"/>
      <c r="E236" s="62" t="n">
        <f>SUM(E232:E235)</f>
        <v>2</v>
      </c>
      <c r="F236" s="58" t="n">
        <f>ROUND(SUM(F232:F235),2)</f>
        <v>100</v>
      </c>
      <c r="G236" s="62" t="n">
        <f>SUM(G232:G235)</f>
        <v>71</v>
      </c>
      <c r="H236" s="58" t="n">
        <f>SUM(H232:H235)</f>
        <v>99.998999999999995</v>
      </c>
      <c r="I236" s="62" t="n">
        <f>SUM(I232:I235)</f>
        <v>499</v>
      </c>
      <c r="J236" s="58" t="n">
        <f>ROUND(SUM(J232:J235),2)</f>
        <v>100</v>
      </c>
      <c r="L236" s="77"/>
      <c r="M236" s="77"/>
      <c r="N236" s="124"/>
    </row>
    <row r="237">
      <c r="L237" s="77"/>
      <c r="M237" s="77"/>
      <c r="N237" s="124"/>
    </row>
    <row r="238">
      <c r="B238" s="178"/>
      <c r="N238" s="124"/>
    </row>
    <row r="239">
      <c r="B239" s="165"/>
      <c r="C239" s="166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</row>
  </sheetData>
  <sheetProtection password="C2D7" sheet="1"/>
  <mergeCells count="209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B1" zoomScale="70" zoomScaleNormal="70" zoomScaleSheetLayoutView="5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436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e">
        <f>VLOOKUP(C4,HAB,4,FALSE)</f>
        <v>#NAME?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INDEX(Questoes!E:E,MATCH('SISTEMA DE REDES'!C14,Questoes!J:J,0))</f>
        <v>SISTEMAS E REDES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28</v>
      </c>
      <c r="D10" s="83" t="str">
        <f>INDEX(Questoes!F:F,MATCH(C14,Questoes!J:J,0))</f>
        <v>Avalie os itens a seguir, sobre sistemas e redes: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1079</v>
      </c>
      <c r="D14" s="81" t="str">
        <f>VLOOKUP(C14, Questoes!J:K,2, 0)</f>
        <v>SIGA - atendimento às atividades acadêmicas do curso 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1079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1079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0</v>
      </c>
      <c r="H22" s="141" t="n">
        <f t="shared" ref="H22:H27" si="1">ROUND(G22/G$28*100,3)</f>
        <v>0</v>
      </c>
      <c r="I22" t="n">
        <f>COUNTIFS(dados[RESPOSTA],C22, dados[ID_PERGUNTA],$C$14,dados[Instituição],$A$2)</f>
        <v>3</v>
      </c>
      <c r="J22" s="141" t="n">
        <f t="shared" ref="J22:J27" si="2">ROUND(I22/I$28*100,3)</f>
        <v>0.59799999999999998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1</v>
      </c>
      <c r="F23" s="141" t="n">
        <f t="shared" si="0"/>
        <v>33.332999999999998</v>
      </c>
      <c r="G23" t="n">
        <f>COUNTIFS(dados[RESPOSTA],C23, dados[ID_PERGUNTA],$C$14,dados[COD_SETOR_CURSO],$C$5)</f>
        <v>19</v>
      </c>
      <c r="H23" s="141" t="n">
        <f t="shared" si="1"/>
        <v>26.388999999999999</v>
      </c>
      <c r="I23" t="n">
        <f>COUNTIFS(dados[RESPOSTA],C23, dados[ID_PERGUNTA],$C$14,dados[Instituição],$A$2)</f>
        <v>165</v>
      </c>
      <c r="J23" s="141" t="n">
        <f t="shared" si="2"/>
        <v>32.869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2</v>
      </c>
      <c r="F24" s="141" t="n">
        <f t="shared" si="0"/>
        <v>66.667000000000002</v>
      </c>
      <c r="G24" t="n">
        <f>COUNTIFS(dados[RESPOSTA],C24, dados[ID_PERGUNTA],$C$14,dados[COD_SETOR_CURSO],$C$5)</f>
        <v>30</v>
      </c>
      <c r="H24" s="141" t="n">
        <f t="shared" si="1"/>
        <v>41.667000000000002</v>
      </c>
      <c r="I24" t="n">
        <f>COUNTIFS(dados[RESPOSTA],C24, dados[ID_PERGUNTA],$C$14,dados[Instituição],$A$2)</f>
        <v>210</v>
      </c>
      <c r="J24" s="141" t="n">
        <f t="shared" si="2"/>
        <v>41.832999999999998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n">
        <f t="shared" si="0"/>
        <v>0</v>
      </c>
      <c r="G25" t="n">
        <f>COUNTIFS(dados[RESPOSTA],C25, dados[ID_PERGUNTA],$C$14,dados[COD_SETOR_CURSO],$C$5)</f>
        <v>20</v>
      </c>
      <c r="H25" s="141" t="n">
        <f t="shared" si="1"/>
        <v>27.777999999999999</v>
      </c>
      <c r="I25" t="n">
        <f>COUNTIFS(dados[RESPOSTA],C25, dados[ID_PERGUNTA],$C$14,dados[Instituição],$A$2)</f>
        <v>95</v>
      </c>
      <c r="J25" s="141" t="n">
        <f t="shared" si="2"/>
        <v>18.923999999999999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2</v>
      </c>
      <c r="H26" s="141" t="n">
        <f t="shared" si="1"/>
        <v>2.778</v>
      </c>
      <c r="I26" t="n">
        <f>COUNTIFS(dados[RESPOSTA],C26, dados[ID_PERGUNTA],$C$14,dados[Instituição],$A$2)</f>
        <v>19</v>
      </c>
      <c r="J26" s="141" t="n">
        <f t="shared" si="2"/>
        <v>3.7850000000000001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1</v>
      </c>
      <c r="H27" s="141" t="n">
        <f t="shared" si="1"/>
        <v>1.389</v>
      </c>
      <c r="I27" t="n">
        <f>COUNTIFS(dados[RESPOSTA],C27, dados[ID_PERGUNTA],$C$14,dados[Instituição],$A$2)</f>
        <v>10</v>
      </c>
      <c r="J27" s="141" t="n">
        <f t="shared" si="2"/>
        <v>1.992</v>
      </c>
    </row>
    <row r="28">
      <c r="C28" s="111" t="s">
        <v>313</v>
      </c>
      <c r="D28" s="111"/>
      <c r="E28" s="62" t="n">
        <f t="shared" ref="E28:J28" si="3">SUM(E22:E27)</f>
        <v>3</v>
      </c>
      <c r="F28" s="58" t="n">
        <f t="shared" si="3"/>
        <v>100</v>
      </c>
      <c r="G28" s="62" t="n">
        <f t="shared" si="3"/>
        <v>72</v>
      </c>
      <c r="H28" s="58" t="n">
        <f t="shared" si="3"/>
        <v>100.001</v>
      </c>
      <c r="I28" s="62" t="n">
        <f t="shared" si="3"/>
        <v>502</v>
      </c>
      <c r="J28" s="58" t="n">
        <f t="shared" si="3"/>
        <v>100.00099999999999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3</v>
      </c>
      <c r="H34" s="60" t="n">
        <f t="shared" si="4"/>
        <v>4.1669999999999998</v>
      </c>
      <c r="I34" s="12" t="n">
        <f t="shared" si="4"/>
        <v>29</v>
      </c>
      <c r="J34" s="60" t="n">
        <f t="shared" si="4"/>
        <v>5.7770000000000001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0</v>
      </c>
      <c r="H35" s="60" t="n">
        <f t="shared" si="5"/>
        <v>0</v>
      </c>
      <c r="I35" s="12" t="n">
        <f t="shared" si="5"/>
        <v>3</v>
      </c>
      <c r="J35" s="60" t="n">
        <f t="shared" si="5"/>
        <v>0.59799999999999998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0</v>
      </c>
      <c r="F36" s="60" t="n">
        <f t="shared" si="6"/>
        <v>0</v>
      </c>
      <c r="G36" s="12" t="n">
        <f t="shared" si="6"/>
        <v>20</v>
      </c>
      <c r="H36" s="60" t="n">
        <f t="shared" si="6"/>
        <v>27.777999999999999</v>
      </c>
      <c r="I36" s="12" t="n">
        <f t="shared" si="6"/>
        <v>95</v>
      </c>
      <c r="J36" s="60" t="n">
        <f t="shared" si="6"/>
        <v>18.923999999999999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3</v>
      </c>
      <c r="F37" s="63" t="n">
        <f t="shared" si="7"/>
        <v>100</v>
      </c>
      <c r="G37" s="147" t="n">
        <f t="shared" si="7"/>
        <v>49</v>
      </c>
      <c r="H37" s="63" t="n">
        <f t="shared" si="7"/>
        <v>68.055999999999997</v>
      </c>
      <c r="I37" s="147" t="n">
        <f t="shared" si="7"/>
        <v>375</v>
      </c>
      <c r="J37" s="63" t="n">
        <f t="shared" si="7"/>
        <v>74.701999999999998</v>
      </c>
      <c r="N37" s="124"/>
    </row>
    <row r="38">
      <c r="C38" s="62" t="s">
        <v>313</v>
      </c>
      <c r="D38" s="62"/>
      <c r="E38" s="62" t="n">
        <f>SUM(E34:E37)</f>
        <v>3</v>
      </c>
      <c r="F38" s="58" t="n">
        <f>SUM(F34:F37)</f>
        <v>100</v>
      </c>
      <c r="G38" s="62" t="n">
        <f>SUM(G34:G37)</f>
        <v>72</v>
      </c>
      <c r="H38" s="58" t="n">
        <f>SUM(H34:H37)</f>
        <v>100.001</v>
      </c>
      <c r="I38" s="62" t="n">
        <f>SUM(I34:I37)</f>
        <v>502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29</v>
      </c>
      <c r="D43" s="83" t="str">
        <f>INDEX(Questoes!F:F,MATCH(C47,Questoes!J:J,0))</f>
        <v>Avalie os itens a seguir, sobre sistemas e redes: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1080</v>
      </c>
      <c r="D47" s="81" t="str">
        <f>VLOOKUP(C47, Questoes!J:K,2, 0)</f>
        <v>UFPR VIRTUAL - atendimento às atividades acadêmicas do curso 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1080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1080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 dados[ID_PERGUNTA],$C$47,dados[COD_SETOR_CURSO],$C$5)</f>
        <v>5</v>
      </c>
      <c r="H55" s="141" t="n">
        <f t="shared" ref="H55:H60" si="9">ROUND(G55/G$61*100,3)</f>
        <v>6.944</v>
      </c>
      <c r="I55" t="n">
        <f>COUNTIFS(dados[RESPOSTA],C55, dados[ID_PERGUNTA],$C$47,dados[Instituição],$A$2)</f>
        <v>16</v>
      </c>
      <c r="J55" s="141" t="n">
        <f t="shared" ref="J55:J60" si="10">ROUND(I55/$I$61*100,3)</f>
        <v>3.206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1</v>
      </c>
      <c r="F56" s="141" t="n">
        <f t="shared" si="8"/>
        <v>100</v>
      </c>
      <c r="G56" t="n">
        <f>COUNTIFS(dados[RESPOSTA],C56, dados[ID_PERGUNTA],$C$47,dados[COD_SETOR_CURSO],$C$5)</f>
        <v>19</v>
      </c>
      <c r="H56" s="141" t="n">
        <f t="shared" si="9"/>
        <v>26.388999999999999</v>
      </c>
      <c r="I56" t="n">
        <f>COUNTIFS(dados[RESPOSTA],C56, dados[ID_PERGUNTA],$C$47,dados[Instituição],$A$2)</f>
        <v>134</v>
      </c>
      <c r="J56" s="141" t="n">
        <f t="shared" si="10"/>
        <v>26.853999999999999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n">
        <f t="shared" si="8"/>
        <v>0</v>
      </c>
      <c r="G57" t="n">
        <f>COUNTIFS(dados[RESPOSTA],C57, dados[ID_PERGUNTA],$C$47,dados[COD_SETOR_CURSO],$C$5)</f>
        <v>20</v>
      </c>
      <c r="H57" s="141" t="n">
        <f t="shared" si="9"/>
        <v>27.777999999999999</v>
      </c>
      <c r="I57" t="n">
        <f>COUNTIFS(dados[RESPOSTA],C57, dados[ID_PERGUNTA],$C$47,dados[Instituição],$A$2)</f>
        <v>186</v>
      </c>
      <c r="J57" s="141" t="n">
        <f t="shared" si="10"/>
        <v>37.274999999999999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n">
        <f t="shared" si="8"/>
        <v>0</v>
      </c>
      <c r="G58" t="n">
        <f>COUNTIFS(dados[RESPOSTA],C58, dados[ID_PERGUNTA],$C$47,dados[COD_SETOR_CURSO],$C$5)</f>
        <v>19</v>
      </c>
      <c r="H58" s="141" t="n">
        <f t="shared" si="9"/>
        <v>26.388999999999999</v>
      </c>
      <c r="I58" t="n">
        <f>COUNTIFS(dados[RESPOSTA],C58, dados[ID_PERGUNTA],$C$47,dados[Instituição],$A$2)</f>
        <v>103</v>
      </c>
      <c r="J58" s="141" t="n">
        <f t="shared" si="10"/>
        <v>20.640999999999998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8"/>
        <v>0</v>
      </c>
      <c r="G59" t="n">
        <f>COUNTIFS(dados[RESPOSTA],C59, dados[ID_PERGUNTA],$C$47,dados[COD_SETOR_CURSO],$C$5)</f>
        <v>5</v>
      </c>
      <c r="H59" s="141" t="n">
        <f t="shared" si="9"/>
        <v>6.944</v>
      </c>
      <c r="I59" t="n">
        <f>COUNTIFS(dados[RESPOSTA],C59, dados[ID_PERGUNTA],$C$47,dados[Instituição],$A$2)</f>
        <v>32</v>
      </c>
      <c r="J59" s="141" t="n">
        <f t="shared" si="10"/>
        <v>6.4130000000000003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8"/>
        <v>0</v>
      </c>
      <c r="G60" t="n">
        <f>COUNTIFS(dados[RESPOSTA],C60, dados[ID_PERGUNTA],$C$47,dados[COD_SETOR_CURSO],$C$5)</f>
        <v>4</v>
      </c>
      <c r="H60" s="141" t="n">
        <f t="shared" si="9"/>
        <v>5.556</v>
      </c>
      <c r="I60" t="n">
        <f>COUNTIFS(dados[RESPOSTA],C60, dados[ID_PERGUNTA],$C$47,dados[Instituição],$A$2)</f>
        <v>28</v>
      </c>
      <c r="J60" s="141" t="n">
        <f t="shared" si="10"/>
        <v>5.6109999999999998</v>
      </c>
    </row>
    <row r="61">
      <c r="C61" s="111" t="s">
        <v>313</v>
      </c>
      <c r="D61" s="111"/>
      <c r="E61" s="62" t="n">
        <f t="shared" ref="E61:J61" si="11">SUM(E55:E60)</f>
        <v>1</v>
      </c>
      <c r="F61" s="58" t="n">
        <f t="shared" si="11"/>
        <v>100</v>
      </c>
      <c r="G61" s="62" t="n">
        <f t="shared" si="11"/>
        <v>72</v>
      </c>
      <c r="H61" s="58" t="n">
        <f t="shared" si="11"/>
        <v>100</v>
      </c>
      <c r="I61" s="62" t="n">
        <f t="shared" si="11"/>
        <v>499</v>
      </c>
      <c r="J61" s="58" t="n">
        <f t="shared" si="11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n">
        <f t="shared" si="12"/>
        <v>0</v>
      </c>
      <c r="G67" s="12" t="n">
        <f t="shared" si="12"/>
        <v>9</v>
      </c>
      <c r="H67" s="60" t="n">
        <f t="shared" si="12"/>
        <v>12.5</v>
      </c>
      <c r="I67" s="12" t="n">
        <f t="shared" si="12"/>
        <v>60</v>
      </c>
      <c r="J67" s="60" t="n">
        <f t="shared" si="12"/>
        <v>12.024000000000001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n">
        <f t="shared" si="13"/>
        <v>0</v>
      </c>
      <c r="G68" s="12" t="n">
        <f t="shared" si="13"/>
        <v>5</v>
      </c>
      <c r="H68" s="60" t="n">
        <f t="shared" si="13"/>
        <v>6.944</v>
      </c>
      <c r="I68" s="12" t="n">
        <f t="shared" si="13"/>
        <v>16</v>
      </c>
      <c r="J68" s="60" t="n">
        <f t="shared" si="13"/>
        <v>3.206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0</v>
      </c>
      <c r="F69" s="60" t="n">
        <f t="shared" si="14"/>
        <v>0</v>
      </c>
      <c r="G69" s="12" t="n">
        <f t="shared" si="14"/>
        <v>19</v>
      </c>
      <c r="H69" s="60" t="n">
        <f t="shared" si="14"/>
        <v>26.388999999999999</v>
      </c>
      <c r="I69" s="12" t="n">
        <f t="shared" si="14"/>
        <v>103</v>
      </c>
      <c r="J69" s="60" t="n">
        <f t="shared" si="14"/>
        <v>20.640999999999998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1</v>
      </c>
      <c r="F70" s="63" t="n">
        <f t="shared" si="15"/>
        <v>100</v>
      </c>
      <c r="G70" s="147" t="n">
        <f t="shared" si="15"/>
        <v>39</v>
      </c>
      <c r="H70" s="63" t="n">
        <f t="shared" si="15"/>
        <v>54.167000000000002</v>
      </c>
      <c r="I70" s="147" t="n">
        <f t="shared" si="15"/>
        <v>320</v>
      </c>
      <c r="J70" s="63" t="n">
        <f t="shared" si="15"/>
        <v>64.128999999999991</v>
      </c>
      <c r="N70" s="124"/>
    </row>
    <row r="71" ht="15" customHeight="1">
      <c r="C71" s="62" t="s">
        <v>313</v>
      </c>
      <c r="D71" s="62"/>
      <c r="E71" s="62" t="n">
        <f>SUM(E67:E70)</f>
        <v>1</v>
      </c>
      <c r="F71" s="58" t="n">
        <f>ROUND(SUM(F67:F70),2)</f>
        <v>100</v>
      </c>
      <c r="G71" s="62" t="n">
        <f>SUM(G67:G70)</f>
        <v>72</v>
      </c>
      <c r="H71" s="58" t="n">
        <f>SUM(H67:H70)</f>
        <v>100</v>
      </c>
      <c r="I71" s="62" t="n">
        <f>SUM(I67:I70)</f>
        <v>499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30</v>
      </c>
      <c r="D76" s="83" t="str">
        <f>INDEX(Questoes!F:F,MATCH(C80,Questoes!J:J,0))</f>
        <v>Avalie os itens a seguir, sobre sistemas e redes: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1081</v>
      </c>
      <c r="D80" s="81" t="str">
        <f>VLOOKUP(C80, Questoes!J:K,2, 0)</f>
        <v>Qualidade das redes ofertadas pela instituição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1081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1081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16">ROUND(E88/$E$94*100,3)</f>
        <v>#DIV/0!</v>
      </c>
      <c r="G88" t="n">
        <f>COUNTIFS(dados[RESPOSTA],C88, dados[ID_PERGUNTA],$C$80,dados[COD_SETOR_CURSO],$C$5)</f>
        <v>4</v>
      </c>
      <c r="H88" s="141" t="n">
        <f t="shared" ref="H88:H93" si="17">ROUND(G88/$G$94*100,3)</f>
        <v>5.556</v>
      </c>
      <c r="I88" t="n">
        <f>COUNTIFS(dados[RESPOSTA],C88, dados[ID_PERGUNTA],$C$80,dados[Instituição],$A$2)</f>
        <v>18</v>
      </c>
      <c r="J88" s="141" t="n">
        <f t="shared" ref="J88:J93" si="18">ROUND(I88/$I$94*100,3)</f>
        <v>3.593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16"/>
        <v>#DIV/0!</v>
      </c>
      <c r="G89" t="n">
        <f>COUNTIFS(dados[RESPOSTA],C89, dados[ID_PERGUNTA],$C$80,dados[COD_SETOR_CURSO],$C$5)</f>
        <v>10</v>
      </c>
      <c r="H89" s="141" t="n">
        <f t="shared" si="17"/>
        <v>13.888999999999999</v>
      </c>
      <c r="I89" t="n">
        <f>COUNTIFS(dados[RESPOSTA],C89, dados[ID_PERGUNTA],$C$80,dados[Instituição],$A$2)</f>
        <v>104</v>
      </c>
      <c r="J89" s="141" t="n">
        <f t="shared" si="18"/>
        <v>20.757999999999999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16"/>
        <v>#DIV/0!</v>
      </c>
      <c r="G90" t="n">
        <f>COUNTIFS(dados[RESPOSTA],C90, dados[ID_PERGUNTA],$C$80,dados[COD_SETOR_CURSO],$C$5)</f>
        <v>24</v>
      </c>
      <c r="H90" s="141" t="n">
        <f t="shared" si="17"/>
        <v>33.332999999999998</v>
      </c>
      <c r="I90" t="n">
        <f>COUNTIFS(dados[RESPOSTA],C90, dados[ID_PERGUNTA],$C$80,dados[Instituição],$A$2)</f>
        <v>193</v>
      </c>
      <c r="J90" s="141" t="n">
        <f t="shared" si="18"/>
        <v>38.523000000000003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16"/>
        <v>#DIV/0!</v>
      </c>
      <c r="G91" t="n">
        <f>COUNTIFS(dados[RESPOSTA],C91, dados[ID_PERGUNTA],$C$80,dados[COD_SETOR_CURSO],$C$5)</f>
        <v>25</v>
      </c>
      <c r="H91" s="141" t="n">
        <f t="shared" si="17"/>
        <v>34.722000000000001</v>
      </c>
      <c r="I91" t="n">
        <f>COUNTIFS(dados[RESPOSTA],C91, dados[ID_PERGUNTA],$C$80,dados[Instituição],$A$2)</f>
        <v>119</v>
      </c>
      <c r="J91" s="141" t="n">
        <f t="shared" si="18"/>
        <v>23.751999999999999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16"/>
        <v>#DIV/0!</v>
      </c>
      <c r="G92" t="n">
        <f>COUNTIFS(dados[RESPOSTA],C92, dados[ID_PERGUNTA],$C$80,dados[COD_SETOR_CURSO],$C$5)</f>
        <v>4</v>
      </c>
      <c r="H92" s="141" t="n">
        <f t="shared" si="17"/>
        <v>5.556</v>
      </c>
      <c r="I92" t="n">
        <f>COUNTIFS(dados[RESPOSTA],C92, dados[ID_PERGUNTA],$C$80,dados[Instituição],$A$2)</f>
        <v>40</v>
      </c>
      <c r="J92" s="141" t="n">
        <f t="shared" si="18"/>
        <v>7.984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16"/>
        <v>#DIV/0!</v>
      </c>
      <c r="G93" t="n">
        <f>COUNTIFS(dados[RESPOSTA],C93, dados[ID_PERGUNTA],$C$80,dados[COD_SETOR_CURSO],$C$5)</f>
        <v>5</v>
      </c>
      <c r="H93" s="141" t="n">
        <f t="shared" si="17"/>
        <v>6.944</v>
      </c>
      <c r="I93" t="n">
        <f>COUNTIFS(dados[RESPOSTA],C93, dados[ID_PERGUNTA],$C$80,dados[Instituição],$A$2)</f>
        <v>27</v>
      </c>
      <c r="J93" s="141" t="n">
        <f t="shared" si="18"/>
        <v>5.3890000000000002</v>
      </c>
    </row>
    <row r="94">
      <c r="C94" s="111" t="s">
        <v>313</v>
      </c>
      <c r="D94" s="111"/>
      <c r="E94" s="62" t="n">
        <f t="shared" ref="E94:J94" si="19">SUM(E88:E93)</f>
        <v>0</v>
      </c>
      <c r="F94" s="58" t="e">
        <f t="shared" si="19"/>
        <v>#DIV/0!</v>
      </c>
      <c r="G94" s="62" t="n">
        <f t="shared" si="19"/>
        <v>72</v>
      </c>
      <c r="H94" s="58" t="n">
        <f t="shared" si="19"/>
        <v>100</v>
      </c>
      <c r="I94" s="62" t="n">
        <f t="shared" si="19"/>
        <v>501</v>
      </c>
      <c r="J94" s="58" t="n">
        <f t="shared" si="19"/>
        <v>99.998999999999995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0">E93+E92</f>
        <v>0</v>
      </c>
      <c r="F100" s="60" t="e">
        <f t="shared" si="20"/>
        <v>#DIV/0!</v>
      </c>
      <c r="G100" s="12" t="n">
        <f t="shared" si="20"/>
        <v>9</v>
      </c>
      <c r="H100" s="60" t="n">
        <f t="shared" si="20"/>
        <v>12.5</v>
      </c>
      <c r="I100" s="12" t="n">
        <f t="shared" si="20"/>
        <v>67</v>
      </c>
      <c r="J100" s="60" t="n">
        <f t="shared" si="20"/>
        <v>13.373000000000001</v>
      </c>
      <c r="N100" s="124"/>
    </row>
    <row r="101">
      <c r="C101" s="120" t="s">
        <v>402</v>
      </c>
      <c r="D101" s="48" t="s">
        <v>45</v>
      </c>
      <c r="E101" s="12" t="n">
        <f t="shared" ref="E101:J101" si="21">E88</f>
        <v>0</v>
      </c>
      <c r="F101" s="60" t="e">
        <f t="shared" si="21"/>
        <v>#DIV/0!</v>
      </c>
      <c r="G101" s="12" t="n">
        <f t="shared" si="21"/>
        <v>4</v>
      </c>
      <c r="H101" s="60" t="n">
        <f t="shared" si="21"/>
        <v>5.556</v>
      </c>
      <c r="I101" s="12" t="n">
        <f t="shared" si="21"/>
        <v>18</v>
      </c>
      <c r="J101" s="60" t="n">
        <f t="shared" si="21"/>
        <v>3.593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2">E91</f>
        <v>0</v>
      </c>
      <c r="F102" s="60" t="e">
        <f t="shared" si="22"/>
        <v>#DIV/0!</v>
      </c>
      <c r="G102" s="12" t="n">
        <f t="shared" si="22"/>
        <v>25</v>
      </c>
      <c r="H102" s="60" t="n">
        <f t="shared" si="22"/>
        <v>34.722000000000001</v>
      </c>
      <c r="I102" s="12" t="n">
        <f t="shared" si="22"/>
        <v>119</v>
      </c>
      <c r="J102" s="60" t="n">
        <f t="shared" si="22"/>
        <v>23.751999999999999</v>
      </c>
      <c r="N102" s="124"/>
    </row>
    <row r="103">
      <c r="C103" s="122" t="s">
        <v>404</v>
      </c>
      <c r="D103" s="48" t="s">
        <v>407</v>
      </c>
      <c r="E103" s="147" t="n">
        <f t="shared" ref="E103:J103" si="23">E90+E89</f>
        <v>0</v>
      </c>
      <c r="F103" s="63" t="e">
        <f t="shared" si="23"/>
        <v>#DIV/0!</v>
      </c>
      <c r="G103" s="147" t="n">
        <f t="shared" si="23"/>
        <v>34</v>
      </c>
      <c r="H103" s="63" t="n">
        <f t="shared" si="23"/>
        <v>47.221999999999994</v>
      </c>
      <c r="I103" s="147" t="n">
        <f t="shared" si="23"/>
        <v>297</v>
      </c>
      <c r="J103" s="63" t="n">
        <f t="shared" si="23"/>
        <v>59.281000000000006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ROUND(SUM(F100:F103),2)</f>
        <v>#DIV/0!</v>
      </c>
      <c r="G104" s="62" t="n">
        <f>SUM(G100:G103)</f>
        <v>72</v>
      </c>
      <c r="H104" s="58" t="n">
        <f>SUM(H100:H103)</f>
        <v>100</v>
      </c>
      <c r="I104" s="62" t="n">
        <f>SUM(I100:I103)</f>
        <v>501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</sheetData>
  <sheetProtection password="C2D7" sheet="1"/>
  <mergeCells count="93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C93:D93"/>
    <mergeCell ref="C94:D94"/>
    <mergeCell ref="C97:J97"/>
    <mergeCell ref="E98:F98"/>
    <mergeCell ref="G98:H98"/>
    <mergeCell ref="I98:J98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E55" sqref="E5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436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INDEX(Questoes!E:E,MATCH('AVALIAÇÃO DE SERVIÇOS '!C14,Questoes!J:J,0))</f>
        <v>AVALIAÇÃO DE SERVIÇOS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31</v>
      </c>
      <c r="D10" s="83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1082</v>
      </c>
      <c r="D14" s="81" t="str">
        <f>VLOOKUP(C14, Questoes!J:K,2, 0)</f>
        <v>Coordenação do Curso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4" t="s">
        <v>432</v>
      </c>
      <c r="C19" s="70" t="s">
        <v>424</v>
      </c>
      <c r="D19" s="70"/>
      <c r="E19" s="70"/>
      <c r="F19" s="70"/>
      <c r="G19" s="70"/>
      <c r="H19" s="70"/>
      <c r="I19" s="70"/>
      <c r="J19" s="70"/>
      <c r="K19" s="140"/>
      <c r="L19" s="67" t="str">
        <f>C31</f>
        <v>Critérios de Análise</v>
      </c>
      <c r="M19" s="68"/>
      <c r="N19" s="68"/>
      <c r="O19" s="69"/>
      <c r="P19" s="117"/>
      <c r="Q19" s="67" t="str">
        <f>C31</f>
        <v>Critérios de Análise</v>
      </c>
      <c r="R19" s="68"/>
      <c r="S19" s="68"/>
      <c r="T19" s="68"/>
      <c r="U19" s="68"/>
      <c r="V19" s="68"/>
      <c r="W19" s="69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1082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1082</v>
      </c>
      <c r="U20" s="108"/>
      <c r="V20" s="108"/>
      <c r="W20" s="108"/>
    </row>
    <row r="21">
      <c r="C21" s="112" t="s">
        <v>425</v>
      </c>
      <c r="D21" s="112"/>
      <c r="E21" s="156" t="s">
        <v>303</v>
      </c>
      <c r="F21" s="155" t="s">
        <v>426</v>
      </c>
      <c r="G21" s="156" t="s">
        <v>303</v>
      </c>
      <c r="H21" s="155" t="s">
        <v>426</v>
      </c>
      <c r="I21" s="156" t="s">
        <v>303</v>
      </c>
      <c r="J21" s="155" t="s">
        <v>426</v>
      </c>
    </row>
    <row r="22">
      <c r="C22" s="109" t="n">
        <v>2</v>
      </c>
      <c r="D22" s="109"/>
      <c r="E22" t="n">
        <f>COUNTIFS(dados[RESPOSTA],C22,dados[ID_PERGUNTA],C$14,dados[COD_HABILITAÇÃO_CURSO],$C$4)</f>
        <v>0</v>
      </c>
      <c r="F22" s="141" t="e">
        <f t="shared" ref="F22:F27" si="0">ROUND(E22/E$28*100,3)</f>
        <v>#DIV/0!</v>
      </c>
      <c r="G22" t="n">
        <f>COUNTIFS(dados[RESPOSTA],C22,dados[ID_PERGUNTA],C$14,dados[COD_SETOR_CURSO],$C$5)</f>
        <v>3</v>
      </c>
      <c r="H22" s="141" t="n">
        <f t="shared" ref="H22:H27" si="1">ROUND(G22/G$28*100,3)</f>
        <v>4.3479999999999999</v>
      </c>
      <c r="I22" t="n">
        <f>COUNTIFS(dados[RESPOSTA],C22, dados[ID_PERGUNTA],C$14,dados[Instituição],$A$2)</f>
        <v>22</v>
      </c>
      <c r="J22" s="141" t="n">
        <f t="shared" ref="J22:J27" si="2">ROUND(I22/I$28*100,3)</f>
        <v>4.4809999999999999</v>
      </c>
      <c r="N22" s="124"/>
      <c r="X22" s="118"/>
      <c r="Y22" s="118"/>
    </row>
    <row r="23">
      <c r="C23" s="77" t="n">
        <v>4</v>
      </c>
      <c r="D23" s="77"/>
      <c r="E23" t="n">
        <f>COUNTIFS(dados[RESPOSTA],C23,dados[ID_PERGUNTA],C$14,dados[COD_HABILITAÇÃO_CURSO],$C$4)</f>
        <v>0</v>
      </c>
      <c r="F23" s="141" t="e">
        <f t="shared" si="0"/>
        <v>#DIV/0!</v>
      </c>
      <c r="G23" t="n">
        <f>COUNTIFS(dados[RESPOSTA],C23,dados[ID_PERGUNTA],C$14,dados[COD_SETOR_CURSO],$C$5)</f>
        <v>5</v>
      </c>
      <c r="H23" s="141" t="n">
        <f t="shared" si="1"/>
        <v>7.2460000000000004</v>
      </c>
      <c r="I23" t="n">
        <f>COUNTIFS(dados[RESPOSTA],C23, dados[ID_PERGUNTA],C$14,dados[Instituição],$A$2)</f>
        <v>27</v>
      </c>
      <c r="J23" s="141" t="n">
        <f t="shared" si="2"/>
        <v>5.4989999999999997</v>
      </c>
      <c r="N23" s="124"/>
    </row>
    <row r="24">
      <c r="C24" s="77" t="n">
        <v>6</v>
      </c>
      <c r="D24" s="77"/>
      <c r="E24" t="n">
        <f>COUNTIFS(dados[RESPOSTA],C24,dados[ID_PERGUNTA],C$14,dados[COD_HABILITAÇÃO_CURSO],$C$4)</f>
        <v>0</v>
      </c>
      <c r="F24" s="141" t="e">
        <f t="shared" si="0"/>
        <v>#DIV/0!</v>
      </c>
      <c r="G24" t="n">
        <f>COUNTIFS(dados[RESPOSTA],C24,dados[ID_PERGUNTA],C$14,dados[COD_SETOR_CURSO],$C$5)</f>
        <v>10</v>
      </c>
      <c r="H24" s="141" t="n">
        <f t="shared" si="1"/>
        <v>14.493</v>
      </c>
      <c r="I24" t="n">
        <f>COUNTIFS(dados[RESPOSTA],C24, dados[ID_PERGUNTA],C$14,dados[Instituição],$A$2)</f>
        <v>65</v>
      </c>
      <c r="J24" s="141" t="n">
        <f t="shared" si="2"/>
        <v>13.238</v>
      </c>
      <c r="N24" s="124"/>
    </row>
    <row r="25">
      <c r="C25" s="77" t="n">
        <v>8</v>
      </c>
      <c r="D25" s="77"/>
      <c r="E25" t="n">
        <f>COUNTIFS(dados[RESPOSTA],C25,dados[ID_PERGUNTA],C$14,dados[COD_HABILITAÇÃO_CURSO],$C$4)</f>
        <v>0</v>
      </c>
      <c r="F25" s="141" t="e">
        <f t="shared" si="0"/>
        <v>#DIV/0!</v>
      </c>
      <c r="G25" t="n">
        <f>COUNTIFS(dados[RESPOSTA],C25,dados[ID_PERGUNTA],C$14,dados[COD_SETOR_CURSO],$C$5)</f>
        <v>21</v>
      </c>
      <c r="H25" s="141" t="n">
        <f t="shared" si="1"/>
        <v>30.434999999999999</v>
      </c>
      <c r="I25" t="n">
        <f>COUNTIFS(dados[RESPOSTA],C25, dados[ID_PERGUNTA],C$14,dados[Instituição],$A$2)</f>
        <v>163</v>
      </c>
      <c r="J25" s="141" t="n">
        <f t="shared" si="2"/>
        <v>33.198</v>
      </c>
      <c r="N25" s="124"/>
    </row>
    <row r="26">
      <c r="C26" s="77" t="n">
        <v>10</v>
      </c>
      <c r="D26" s="77"/>
      <c r="E26" t="n">
        <f>COUNTIFS(dados[RESPOSTA],C26,dados[ID_PERGUNTA],C$14,dados[COD_HABILITAÇÃO_CURSO],$C$4)</f>
        <v>0</v>
      </c>
      <c r="F26" s="141" t="e">
        <f t="shared" si="0"/>
        <v>#DIV/0!</v>
      </c>
      <c r="G26" t="n">
        <f>COUNTIFS(dados[RESPOSTA],C26,dados[ID_PERGUNTA],C$14,dados[COD_SETOR_CURSO],$C$5)</f>
        <v>21</v>
      </c>
      <c r="H26" s="141" t="n">
        <f t="shared" si="1"/>
        <v>30.434999999999999</v>
      </c>
      <c r="I26" t="n">
        <f>COUNTIFS(dados[RESPOSTA],C26, dados[ID_PERGUNTA],C$14,dados[Instituição],$A$2)</f>
        <v>153</v>
      </c>
      <c r="J26" s="141" t="n">
        <f t="shared" si="2"/>
        <v>31.161000000000001</v>
      </c>
      <c r="N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110" t="s">
        <v>55</v>
      </c>
      <c r="D27" s="110"/>
      <c r="E27" t="n">
        <f>COUNTIFS(dados[RESPOSTA],C27,dados[ID_PERGUNTA],C$14,dados[COD_HABILITAÇÃO_CURSO],$C$4)</f>
        <v>0</v>
      </c>
      <c r="F27" s="141" t="e">
        <f t="shared" si="0"/>
        <v>#DIV/0!</v>
      </c>
      <c r="G27" t="n">
        <f>COUNTIFS(dados[RESPOSTA],C27,dados[ID_PERGUNTA],C$14,dados[COD_SETOR_CURSO],$C$5)</f>
        <v>9</v>
      </c>
      <c r="H27" s="141" t="n">
        <f t="shared" si="1"/>
        <v>13.042999999999999</v>
      </c>
      <c r="I27" t="n">
        <f>COUNTIFS(dados[RESPOSTA],C27, dados[ID_PERGUNTA],C$14,dados[Instituição],$A$2)</f>
        <v>61</v>
      </c>
      <c r="J27" s="141" t="n">
        <f t="shared" si="2"/>
        <v>12.423999999999999</v>
      </c>
      <c r="N27" s="124"/>
    </row>
    <row r="28">
      <c r="C28" s="111" t="s">
        <v>313</v>
      </c>
      <c r="D28" s="111"/>
      <c r="E28" s="132" t="n">
        <f t="shared" ref="E28:J28" si="3">SUM(E22:E27)</f>
        <v>0</v>
      </c>
      <c r="F28" s="142" t="e">
        <f t="shared" si="3"/>
        <v>#DIV/0!</v>
      </c>
      <c r="G28" s="62" t="n">
        <f t="shared" si="3"/>
        <v>69</v>
      </c>
      <c r="H28" s="58" t="n">
        <f t="shared" si="3"/>
        <v>100</v>
      </c>
      <c r="I28" s="62" t="n">
        <f t="shared" si="3"/>
        <v>491</v>
      </c>
      <c r="J28" s="58" t="n">
        <f t="shared" si="3"/>
        <v>100.001</v>
      </c>
    </row>
    <row r="31">
      <c r="C31" s="70" t="s">
        <v>427</v>
      </c>
      <c r="D31" s="70"/>
      <c r="E31" s="70"/>
      <c r="F31" s="70"/>
      <c r="G31" s="70"/>
      <c r="H31" s="70"/>
      <c r="I31" s="70"/>
      <c r="J31" s="70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</row>
    <row r="33">
      <c r="C33" s="136" t="s">
        <v>428</v>
      </c>
      <c r="D33" s="136" t="s">
        <v>429</v>
      </c>
      <c r="E33" s="156" t="s">
        <v>303</v>
      </c>
      <c r="F33" s="155" t="s">
        <v>426</v>
      </c>
      <c r="G33" s="156" t="s">
        <v>303</v>
      </c>
      <c r="H33" s="155" t="s">
        <v>426</v>
      </c>
      <c r="I33" s="156" t="s">
        <v>303</v>
      </c>
      <c r="J33" s="155" t="s">
        <v>426</v>
      </c>
    </row>
    <row r="34">
      <c r="C34" s="119" t="s">
        <v>401</v>
      </c>
      <c r="D34" s="41" t="s">
        <v>409</v>
      </c>
      <c r="E34" s="12" t="n">
        <f>E22+E23</f>
        <v>0</v>
      </c>
      <c r="F34" s="141" t="e">
        <f>SUM(F22+F23)</f>
        <v>#DIV/0!</v>
      </c>
      <c r="G34" s="12" t="n">
        <f>G22+G23</f>
        <v>8</v>
      </c>
      <c r="H34" s="141" t="n">
        <f>SUM(H22+H23)</f>
        <v>11.594000000000001</v>
      </c>
      <c r="I34" s="12" t="n">
        <f>I22+I23</f>
        <v>49</v>
      </c>
      <c r="J34" s="141" t="n">
        <f>SUM(J22+J23)</f>
        <v>9.98</v>
      </c>
    </row>
    <row r="35">
      <c r="C35" s="120" t="s">
        <v>402</v>
      </c>
      <c r="D35" s="41" t="s">
        <v>55</v>
      </c>
      <c r="E35" s="12" t="n">
        <f t="shared" ref="E35:J35" si="4">E27</f>
        <v>0</v>
      </c>
      <c r="F35" s="141" t="e">
        <f t="shared" si="4"/>
        <v>#DIV/0!</v>
      </c>
      <c r="G35" s="12" t="n">
        <f t="shared" si="4"/>
        <v>9</v>
      </c>
      <c r="H35" s="141" t="n">
        <f t="shared" si="4"/>
        <v>13.042999999999999</v>
      </c>
      <c r="I35" s="12" t="n">
        <f t="shared" si="4"/>
        <v>61</v>
      </c>
      <c r="J35" s="141" t="n">
        <f t="shared" si="4"/>
        <v>12.423999999999999</v>
      </c>
    </row>
    <row r="36">
      <c r="C36" s="121" t="s">
        <v>403</v>
      </c>
      <c r="D36" s="41" t="n">
        <v>6</v>
      </c>
      <c r="E36" s="12" t="n">
        <f t="shared" ref="E36:J36" si="5">E24</f>
        <v>0</v>
      </c>
      <c r="F36" s="141" t="e">
        <f t="shared" si="5"/>
        <v>#DIV/0!</v>
      </c>
      <c r="G36" s="12" t="n">
        <f t="shared" si="5"/>
        <v>10</v>
      </c>
      <c r="H36" s="141" t="n">
        <f t="shared" si="5"/>
        <v>14.493</v>
      </c>
      <c r="I36" s="12" t="n">
        <f t="shared" si="5"/>
        <v>65</v>
      </c>
      <c r="J36" s="141" t="n">
        <f t="shared" si="5"/>
        <v>13.238</v>
      </c>
    </row>
    <row r="37">
      <c r="C37" s="122" t="s">
        <v>404</v>
      </c>
      <c r="D37" s="41" t="s">
        <v>410</v>
      </c>
      <c r="E37" s="147" t="n">
        <f t="shared" ref="E37:J37" si="6">E25+E26</f>
        <v>0</v>
      </c>
      <c r="F37" s="141" t="e">
        <f t="shared" si="6"/>
        <v>#DIV/0!</v>
      </c>
      <c r="G37" s="147" t="n">
        <f t="shared" si="6"/>
        <v>42</v>
      </c>
      <c r="H37" s="141" t="n">
        <f t="shared" si="6"/>
        <v>60.87</v>
      </c>
      <c r="I37" s="147" t="n">
        <f t="shared" si="6"/>
        <v>316</v>
      </c>
      <c r="J37" s="141" t="n">
        <f t="shared" si="6"/>
        <v>64.359000000000009</v>
      </c>
    </row>
    <row r="38">
      <c r="C38" s="132"/>
      <c r="D38" s="132" t="s">
        <v>313</v>
      </c>
      <c r="E38" s="132" t="n">
        <f t="shared" ref="E38:J38" si="7">SUM(E34:E37)</f>
        <v>0</v>
      </c>
      <c r="F38" s="142" t="e">
        <f t="shared" si="7"/>
        <v>#DIV/0!</v>
      </c>
      <c r="G38" s="132" t="n">
        <f t="shared" si="7"/>
        <v>69</v>
      </c>
      <c r="H38" s="142" t="n">
        <f t="shared" si="7"/>
        <v>100</v>
      </c>
      <c r="I38" s="132" t="n">
        <f t="shared" si="7"/>
        <v>491</v>
      </c>
      <c r="J38" s="142" t="n">
        <f t="shared" si="7"/>
        <v>100.001</v>
      </c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32</v>
      </c>
      <c r="D43" s="83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1083</v>
      </c>
      <c r="D47" s="81" t="str">
        <f>VLOOKUP(C47, Questoes!J:K,2, 0)</f>
        <v>Secretaria do Curso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4" t="s">
        <v>432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C64</f>
        <v>Critérios de Análise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1083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1083</v>
      </c>
      <c r="U53" s="108"/>
      <c r="V53" s="108"/>
      <c r="W53" s="108"/>
    </row>
    <row r="54">
      <c r="C54" s="112" t="s">
        <v>425</v>
      </c>
      <c r="D54" s="112"/>
      <c r="E54" s="156" t="s">
        <v>303</v>
      </c>
      <c r="F54" s="155" t="s">
        <v>426</v>
      </c>
      <c r="G54" s="156" t="s">
        <v>303</v>
      </c>
      <c r="H54" s="155" t="s">
        <v>426</v>
      </c>
      <c r="I54" s="156" t="s">
        <v>303</v>
      </c>
      <c r="J54" s="155" t="s">
        <v>426</v>
      </c>
    </row>
    <row r="55">
      <c r="C55" s="109" t="n">
        <v>2</v>
      </c>
      <c r="D55" s="109"/>
      <c r="E55" t="n">
        <f>COUNTIFS(dados[RESPOSTA],C55,dados[ID_PERGUNTA],$C$47,dados[COD_HABILITAÇÃO_CURSO],$C$4)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COUNTIFS(dados[RESPOSTA],C55,dados[ID_PERGUNTA],C$47,dados[COD_SETOR_CURSO],$C$5)</f>
        <v>2</v>
      </c>
      <c r="H55" s="141" t="n">
        <f t="shared" ref="H55:H60" si="9">ROUND(G55/G$61*100,3)</f>
        <v>2.899</v>
      </c>
      <c r="I55" t="n">
        <f>COUNTIFS(dados[RESPOSTA],C55, dados[ID_PERGUNTA],C$47,dados[Instituição],$A$2)</f>
        <v>18</v>
      </c>
      <c r="J55" s="141" t="n">
        <f t="shared" ref="J55:J60" si="10">ROUND(I55/I$61*100,3)</f>
        <v>3.6659999999999999</v>
      </c>
      <c r="N55" s="124"/>
    </row>
    <row r="56">
      <c r="C56" s="77" t="n">
        <v>4</v>
      </c>
      <c r="D56" s="77"/>
      <c r="E56" t="n">
        <f>COUNTIFS(dados[RESPOSTA],C56,dados[ID_PERGUNTA],$C$47,dados[COD_HABILITAÇÃO_CURSO],$C$4)</f>
        <v>0</v>
      </c>
      <c r="F56" s="141" t="n">
        <f t="shared" si="8"/>
        <v>0</v>
      </c>
      <c r="G56" t="n">
        <f>COUNTIFS(dados[RESPOSTA],C56,dados[ID_PERGUNTA],C$47,dados[COD_SETOR_CURSO],$C$5)</f>
        <v>4</v>
      </c>
      <c r="H56" s="141" t="n">
        <f t="shared" si="9"/>
        <v>5.7969999999999997</v>
      </c>
      <c r="I56" t="n">
        <f>COUNTIFS(dados[RESPOSTA],C56, dados[ID_PERGUNTA],C$47,dados[Instituição],$A$2)</f>
        <v>21</v>
      </c>
      <c r="J56" s="141" t="n">
        <f t="shared" si="10"/>
        <v>4.2770000000000001</v>
      </c>
      <c r="N56" s="124"/>
    </row>
    <row r="57">
      <c r="C57" s="77" t="n">
        <v>6</v>
      </c>
      <c r="D57" s="77"/>
      <c r="E57" t="n">
        <f>COUNTIFS(dados[RESPOSTA],C57,dados[ID_PERGUNTA],$C$47,dados[COD_HABILITAÇÃO_CURSO],$C$4)</f>
        <v>0</v>
      </c>
      <c r="F57" s="141" t="n">
        <f t="shared" si="8"/>
        <v>0</v>
      </c>
      <c r="G57" t="n">
        <f>COUNTIFS(dados[RESPOSTA],C57,dados[ID_PERGUNTA],C$47,dados[COD_SETOR_CURSO],$C$5)</f>
        <v>3</v>
      </c>
      <c r="H57" s="141" t="n">
        <f t="shared" si="9"/>
        <v>4.3479999999999999</v>
      </c>
      <c r="I57" t="n">
        <f>COUNTIFS(dados[RESPOSTA],C57, dados[ID_PERGUNTA],C$47,dados[Instituição],$A$2)</f>
        <v>51</v>
      </c>
      <c r="J57" s="141" t="n">
        <f t="shared" si="10"/>
        <v>10.387</v>
      </c>
      <c r="N57" s="124"/>
    </row>
    <row r="58">
      <c r="C58" s="77" t="n">
        <v>8</v>
      </c>
      <c r="D58" s="77"/>
      <c r="E58" t="n">
        <f>COUNTIFS(dados[RESPOSTA],C58,dados[ID_PERGUNTA],$C$47,dados[COD_HABILITAÇÃO_CURSO],$C$4)</f>
        <v>1</v>
      </c>
      <c r="F58" s="141" t="n">
        <f t="shared" si="8"/>
        <v>50</v>
      </c>
      <c r="G58" t="n">
        <f>COUNTIFS(dados[RESPOSTA],C58,dados[ID_PERGUNTA],C$47,dados[COD_SETOR_CURSO],$C$5)</f>
        <v>20</v>
      </c>
      <c r="H58" s="141" t="n">
        <f t="shared" si="9"/>
        <v>28.986000000000001</v>
      </c>
      <c r="I58" t="n">
        <f>COUNTIFS(dados[RESPOSTA],C58, dados[ID_PERGUNTA],C$47,dados[Instituição],$A$2)</f>
        <v>123</v>
      </c>
      <c r="J58" s="141" t="n">
        <f t="shared" si="10"/>
        <v>25.050999999999998</v>
      </c>
      <c r="N58" s="124"/>
    </row>
    <row r="59">
      <c r="C59" s="77" t="n">
        <v>10</v>
      </c>
      <c r="D59" s="77"/>
      <c r="E59" t="n">
        <f>COUNTIFS(dados[RESPOSTA],C59,dados[ID_PERGUNTA],$C$47,dados[COD_HABILITAÇÃO_CURSO],$C$4)</f>
        <v>0</v>
      </c>
      <c r="F59" s="141" t="n">
        <f t="shared" si="8"/>
        <v>0</v>
      </c>
      <c r="G59" t="n">
        <f>COUNTIFS(dados[RESPOSTA],C59,dados[ID_PERGUNTA],C$47,dados[COD_SETOR_CURSO],$C$5)</f>
        <v>29</v>
      </c>
      <c r="H59" s="141" t="n">
        <f t="shared" si="9"/>
        <v>42.029000000000003</v>
      </c>
      <c r="I59" t="n">
        <f>COUNTIFS(dados[RESPOSTA],C59, dados[ID_PERGUNTA],C$47,dados[Instituição],$A$2)</f>
        <v>178</v>
      </c>
      <c r="J59" s="141" t="n">
        <f t="shared" si="10"/>
        <v>36.253</v>
      </c>
      <c r="N59" s="124"/>
    </row>
    <row r="60">
      <c r="C60" s="110" t="s">
        <v>55</v>
      </c>
      <c r="D60" s="110"/>
      <c r="E60" t="n">
        <f>COUNTIFS(dados[RESPOSTA],C60,dados[ID_PERGUNTA],$C$47,dados[COD_HABILITAÇÃO_CURSO],$C$4)</f>
        <v>1</v>
      </c>
      <c r="F60" s="141" t="n">
        <f t="shared" si="8"/>
        <v>50</v>
      </c>
      <c r="G60" t="n">
        <f>COUNTIFS(dados[RESPOSTA],C60,dados[ID_PERGUNTA],C$47,dados[COD_SETOR_CURSO],$C$5)</f>
        <v>11</v>
      </c>
      <c r="H60" s="141" t="n">
        <f t="shared" si="9"/>
        <v>15.942</v>
      </c>
      <c r="I60" t="n">
        <f>COUNTIFS(dados[RESPOSTA],C60, dados[ID_PERGUNTA],C$47,dados[Instituição],$A$2)</f>
        <v>100</v>
      </c>
      <c r="J60" s="141" t="n">
        <f t="shared" si="10"/>
        <v>20.367000000000001</v>
      </c>
      <c r="N60" s="124"/>
    </row>
    <row r="61">
      <c r="C61" s="111" t="s">
        <v>313</v>
      </c>
      <c r="D61" s="111"/>
      <c r="E61" s="132" t="n">
        <f t="shared" ref="E61:J61" si="11">SUM(E55:E60)</f>
        <v>2</v>
      </c>
      <c r="F61" s="142" t="n">
        <f t="shared" si="11"/>
        <v>100</v>
      </c>
      <c r="G61" s="62" t="n">
        <f t="shared" si="11"/>
        <v>69</v>
      </c>
      <c r="H61" s="58" t="n">
        <f t="shared" si="11"/>
        <v>100.001</v>
      </c>
      <c r="I61" s="62" t="n">
        <f t="shared" si="11"/>
        <v>491</v>
      </c>
      <c r="J61" s="58" t="n">
        <f t="shared" si="11"/>
        <v>100.001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</row>
    <row r="66">
      <c r="C66" s="136" t="s">
        <v>428</v>
      </c>
      <c r="D66" s="136" t="s">
        <v>429</v>
      </c>
      <c r="E66" s="156" t="s">
        <v>303</v>
      </c>
      <c r="F66" s="155" t="s">
        <v>426</v>
      </c>
      <c r="G66" s="156" t="s">
        <v>303</v>
      </c>
      <c r="H66" s="155" t="s">
        <v>426</v>
      </c>
      <c r="I66" s="156" t="s">
        <v>303</v>
      </c>
      <c r="J66" s="155" t="s">
        <v>426</v>
      </c>
    </row>
    <row r="67">
      <c r="C67" s="119" t="s">
        <v>401</v>
      </c>
      <c r="D67" s="41" t="s">
        <v>409</v>
      </c>
      <c r="E67" s="12" t="n">
        <f>E55+E56</f>
        <v>0</v>
      </c>
      <c r="F67" s="141" t="n">
        <f>SUM(F55+F56)</f>
        <v>0</v>
      </c>
      <c r="G67" s="12" t="n">
        <f>G55+G56</f>
        <v>6</v>
      </c>
      <c r="H67" s="141" t="n">
        <f>SUM(H55+H56)</f>
        <v>8.6959999999999997</v>
      </c>
      <c r="I67" s="12" t="n">
        <f>I55+I56</f>
        <v>39</v>
      </c>
      <c r="J67" s="141" t="n">
        <f>SUM(J55+J56)</f>
        <v>7.9429999999999996</v>
      </c>
    </row>
    <row r="68">
      <c r="C68" s="120" t="s">
        <v>402</v>
      </c>
      <c r="D68" s="41" t="s">
        <v>55</v>
      </c>
      <c r="E68" s="12" t="n">
        <f t="shared" ref="E68:J68" si="12">E60</f>
        <v>1</v>
      </c>
      <c r="F68" s="141" t="n">
        <f t="shared" si="12"/>
        <v>50</v>
      </c>
      <c r="G68" s="12" t="n">
        <f t="shared" si="12"/>
        <v>11</v>
      </c>
      <c r="H68" s="141" t="n">
        <f t="shared" si="12"/>
        <v>15.942</v>
      </c>
      <c r="I68" s="12" t="n">
        <f t="shared" si="12"/>
        <v>100</v>
      </c>
      <c r="J68" s="141" t="n">
        <f t="shared" si="12"/>
        <v>20.367000000000001</v>
      </c>
    </row>
    <row r="69">
      <c r="C69" s="121" t="s">
        <v>403</v>
      </c>
      <c r="D69" s="41" t="n">
        <v>6</v>
      </c>
      <c r="E69" s="12" t="n">
        <f t="shared" ref="E69:J69" si="13">E57</f>
        <v>0</v>
      </c>
      <c r="F69" s="141" t="n">
        <f t="shared" si="13"/>
        <v>0</v>
      </c>
      <c r="G69" s="12" t="n">
        <f t="shared" si="13"/>
        <v>3</v>
      </c>
      <c r="H69" s="141" t="n">
        <f t="shared" si="13"/>
        <v>4.3479999999999999</v>
      </c>
      <c r="I69" s="12" t="n">
        <f t="shared" si="13"/>
        <v>51</v>
      </c>
      <c r="J69" s="141" t="n">
        <f t="shared" si="13"/>
        <v>10.387</v>
      </c>
    </row>
    <row r="70">
      <c r="C70" s="122" t="s">
        <v>404</v>
      </c>
      <c r="D70" s="41" t="s">
        <v>410</v>
      </c>
      <c r="E70" s="147" t="n">
        <f t="shared" ref="E70:J70" si="14">E58+E59</f>
        <v>1</v>
      </c>
      <c r="F70" s="141" t="n">
        <f t="shared" si="14"/>
        <v>50</v>
      </c>
      <c r="G70" s="147" t="n">
        <f t="shared" si="14"/>
        <v>49</v>
      </c>
      <c r="H70" s="141" t="n">
        <f t="shared" si="14"/>
        <v>71.015000000000001</v>
      </c>
      <c r="I70" s="147" t="n">
        <f t="shared" si="14"/>
        <v>301</v>
      </c>
      <c r="J70" s="141" t="n">
        <f t="shared" si="14"/>
        <v>61.304000000000002</v>
      </c>
    </row>
    <row r="71" ht="15" customHeight="1">
      <c r="C71" s="132"/>
      <c r="D71" s="132" t="s">
        <v>313</v>
      </c>
      <c r="E71" s="132" t="n">
        <f t="shared" ref="E71:J71" si="15">SUM(E67:E70)</f>
        <v>2</v>
      </c>
      <c r="F71" s="142" t="n">
        <f t="shared" si="15"/>
        <v>100</v>
      </c>
      <c r="G71" s="132" t="n">
        <f t="shared" si="15"/>
        <v>69</v>
      </c>
      <c r="H71" s="142" t="n">
        <f t="shared" si="15"/>
        <v>100.001</v>
      </c>
      <c r="I71" s="132" t="n">
        <f t="shared" si="15"/>
        <v>491</v>
      </c>
      <c r="J71" s="142" t="n">
        <f t="shared" si="15"/>
        <v>100.001</v>
      </c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33</v>
      </c>
      <c r="D76" s="83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1084</v>
      </c>
      <c r="D80" s="81" t="str">
        <f>VLOOKUP(C80, Questoes!J:K,2, 0)</f>
        <v>Secretarias dos departamentos que atendem ao curso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4" t="s">
        <v>432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1084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1084</v>
      </c>
      <c r="U86" s="108"/>
      <c r="V86" s="108"/>
      <c r="W86" s="108"/>
    </row>
    <row r="87">
      <c r="C87" s="112" t="s">
        <v>425</v>
      </c>
      <c r="D87" s="112"/>
      <c r="E87" s="156" t="s">
        <v>303</v>
      </c>
      <c r="F87" s="155" t="s">
        <v>426</v>
      </c>
      <c r="G87" s="156" t="s">
        <v>303</v>
      </c>
      <c r="H87" s="155" t="s">
        <v>426</v>
      </c>
      <c r="I87" s="156" t="s">
        <v>303</v>
      </c>
      <c r="J87" s="155" t="s">
        <v>426</v>
      </c>
      <c r="K87" s="117"/>
    </row>
    <row r="88">
      <c r="C88" s="109" t="n">
        <v>2</v>
      </c>
      <c r="D88" s="109"/>
      <c r="E88" t="n">
        <f>COUNTIFS(dados[RESPOSTA],C88,dados[ID_PERGUNTA],$C$80,dados[COD_HABILITAÇÃO_CURSO],$C$4)</f>
        <v>0</v>
      </c>
      <c r="F88" s="141" t="e">
        <f t="shared" ref="F88:F93" si="16">ROUND(E88/E$94*100,3)</f>
        <v>#DIV/0!</v>
      </c>
      <c r="G88" t="n">
        <f>COUNTIFS(dados[RESPOSTA],C88,dados[ID_PERGUNTA],C$80,dados[COD_SETOR_CURSO],$C$5)</f>
        <v>2</v>
      </c>
      <c r="H88" s="141" t="n">
        <f t="shared" ref="H88:H93" si="17">ROUND(G88/$G$94*100,3)</f>
        <v>2.899</v>
      </c>
      <c r="I88" t="n">
        <f>COUNTIFS(dados[RESPOSTA],C88, dados[ID_PERGUNTA],$C$80,dados[Instituição],$A$2)</f>
        <v>15</v>
      </c>
      <c r="J88" s="141" t="n">
        <f t="shared" ref="J88:J93" si="18">ROUND(I88/$I$94*100,3)</f>
        <v>3.0550000000000002</v>
      </c>
      <c r="P88" s="118"/>
      <c r="V88" s="20"/>
      <c r="W88" s="20"/>
    </row>
    <row r="89">
      <c r="C89" s="77" t="n">
        <v>4</v>
      </c>
      <c r="D89" s="77"/>
      <c r="E89" t="n">
        <f>COUNTIFS(dados[RESPOSTA],C89,dados[ID_PERGUNTA],$C$80,dados[COD_HABILITAÇÃO_CURSO],$C$4)</f>
        <v>0</v>
      </c>
      <c r="F89" s="141" t="e">
        <f t="shared" si="16"/>
        <v>#DIV/0!</v>
      </c>
      <c r="G89" t="n">
        <f>COUNTIFS(dados[RESPOSTA],C89,dados[ID_PERGUNTA],C$80,dados[COD_SETOR_CURSO],$C$5)</f>
        <v>1</v>
      </c>
      <c r="H89" s="141" t="n">
        <f t="shared" si="17"/>
        <v>1.4490000000000001</v>
      </c>
      <c r="I89" t="n">
        <f>COUNTIFS(dados[RESPOSTA],C89, dados[ID_PERGUNTA],$C$80,dados[Instituição],$A$2)</f>
        <v>18</v>
      </c>
      <c r="J89" s="141" t="n">
        <f t="shared" si="18"/>
        <v>3.6659999999999999</v>
      </c>
    </row>
    <row r="90">
      <c r="C90" s="77" t="n">
        <v>6</v>
      </c>
      <c r="D90" s="77"/>
      <c r="E90" t="n">
        <f>COUNTIFS(dados[RESPOSTA],C90,dados[ID_PERGUNTA],$C$80,dados[COD_HABILITAÇÃO_CURSO],$C$4)</f>
        <v>0</v>
      </c>
      <c r="F90" s="141" t="e">
        <f t="shared" si="16"/>
        <v>#DIV/0!</v>
      </c>
      <c r="G90" t="n">
        <f>COUNTIFS(dados[RESPOSTA],C90,dados[ID_PERGUNTA],C$80,dados[COD_SETOR_CURSO],$C$5)</f>
        <v>7</v>
      </c>
      <c r="H90" s="141" t="n">
        <f t="shared" si="17"/>
        <v>10.145</v>
      </c>
      <c r="I90" t="n">
        <f>COUNTIFS(dados[RESPOSTA],C90, dados[ID_PERGUNTA],$C$80,dados[Instituição],$A$2)</f>
        <v>41</v>
      </c>
      <c r="J90" s="141" t="n">
        <f t="shared" si="18"/>
        <v>8.35</v>
      </c>
    </row>
    <row r="91">
      <c r="C91" s="77" t="n">
        <v>8</v>
      </c>
      <c r="D91" s="77"/>
      <c r="E91" t="n">
        <f>COUNTIFS(dados[RESPOSTA],C91,dados[ID_PERGUNTA],$C$80,dados[COD_HABILITAÇÃO_CURSO],$C$4)</f>
        <v>0</v>
      </c>
      <c r="F91" s="141" t="e">
        <f t="shared" si="16"/>
        <v>#DIV/0!</v>
      </c>
      <c r="G91" t="n">
        <f>COUNTIFS(dados[RESPOSTA],C91,dados[ID_PERGUNTA],C$80,dados[COD_SETOR_CURSO],$C$5)</f>
        <v>13</v>
      </c>
      <c r="H91" s="141" t="n">
        <f t="shared" si="17"/>
        <v>18.841000000000001</v>
      </c>
      <c r="I91" t="n">
        <f>COUNTIFS(dados[RESPOSTA],C91, dados[ID_PERGUNTA],$C$80,dados[Instituição],$A$2)</f>
        <v>112</v>
      </c>
      <c r="J91" s="141" t="n">
        <f t="shared" si="18"/>
        <v>22.811</v>
      </c>
    </row>
    <row r="92">
      <c r="C92" s="77" t="n">
        <v>10</v>
      </c>
      <c r="D92" s="77"/>
      <c r="E92" t="n">
        <f>COUNTIFS(dados[RESPOSTA],C92,dados[ID_PERGUNTA],$C$80,dados[COD_HABILITAÇÃO_CURSO],$C$4)</f>
        <v>0</v>
      </c>
      <c r="F92" s="141" t="e">
        <f t="shared" si="16"/>
        <v>#DIV/0!</v>
      </c>
      <c r="G92" t="n">
        <f>COUNTIFS(dados[RESPOSTA],C92,dados[ID_PERGUNTA],C$80,dados[COD_SETOR_CURSO],$C$5)</f>
        <v>17</v>
      </c>
      <c r="H92" s="141" t="n">
        <f t="shared" si="17"/>
        <v>24.638000000000002</v>
      </c>
      <c r="I92" t="n">
        <f>COUNTIFS(dados[RESPOSTA],C92, dados[ID_PERGUNTA],$C$80,dados[Instituição],$A$2)</f>
        <v>125</v>
      </c>
      <c r="J92" s="141" t="n">
        <f t="shared" si="18"/>
        <v>25.457999999999998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110" t="s">
        <v>55</v>
      </c>
      <c r="D93" s="110"/>
      <c r="E93" t="n">
        <f>COUNTIFS(dados[RESPOSTA],C93,dados[ID_PERGUNTA],$C$80,dados[COD_HABILITAÇÃO_CURSO],$C$4)</f>
        <v>0</v>
      </c>
      <c r="F93" s="141" t="e">
        <f t="shared" si="16"/>
        <v>#DIV/0!</v>
      </c>
      <c r="G93" t="n">
        <f>COUNTIFS(dados[RESPOSTA],C93,dados[ID_PERGUNTA],C$80,dados[COD_SETOR_CURSO],$C$5)</f>
        <v>29</v>
      </c>
      <c r="H93" s="141" t="n">
        <f t="shared" si="17"/>
        <v>42.029000000000003</v>
      </c>
      <c r="I93" t="n">
        <f>COUNTIFS(dados[RESPOSTA],C93, dados[ID_PERGUNTA],$C$80,dados[Instituição],$A$2)</f>
        <v>180</v>
      </c>
      <c r="J93" s="141" t="n">
        <f t="shared" si="18"/>
        <v>36.659999999999997</v>
      </c>
    </row>
    <row r="94">
      <c r="C94" s="111" t="s">
        <v>313</v>
      </c>
      <c r="D94" s="111"/>
      <c r="E94" s="132" t="n">
        <f t="shared" ref="E94:J94" si="19">SUM(E88:E93)</f>
        <v>0</v>
      </c>
      <c r="F94" s="142" t="e">
        <f t="shared" si="19"/>
        <v>#DIV/0!</v>
      </c>
      <c r="G94" s="62" t="n">
        <f t="shared" si="19"/>
        <v>69</v>
      </c>
      <c r="H94" s="58" t="n">
        <f t="shared" si="19"/>
        <v>100.001</v>
      </c>
      <c r="I94" s="62" t="n">
        <f t="shared" si="19"/>
        <v>491</v>
      </c>
      <c r="J94" s="58" t="n">
        <f t="shared" si="19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136" t="s">
        <v>428</v>
      </c>
      <c r="D99" s="136" t="s">
        <v>429</v>
      </c>
      <c r="E99" s="156" t="s">
        <v>303</v>
      </c>
      <c r="F99" s="155" t="s">
        <v>426</v>
      </c>
      <c r="G99" s="156" t="s">
        <v>303</v>
      </c>
      <c r="H99" s="155" t="s">
        <v>426</v>
      </c>
      <c r="I99" s="156" t="s">
        <v>303</v>
      </c>
      <c r="J99" s="155" t="s">
        <v>426</v>
      </c>
      <c r="N99" s="124"/>
    </row>
    <row r="100">
      <c r="C100" s="119" t="s">
        <v>401</v>
      </c>
      <c r="D100" s="41" t="s">
        <v>409</v>
      </c>
      <c r="E100" s="12" t="n">
        <f>E88+E89</f>
        <v>0</v>
      </c>
      <c r="F100" s="141" t="e">
        <f>SUM(F88+F89)</f>
        <v>#DIV/0!</v>
      </c>
      <c r="G100" s="12" t="n">
        <f>G88+G89</f>
        <v>3</v>
      </c>
      <c r="H100" s="141" t="n">
        <f>SUM(H88+H89)</f>
        <v>4.3479999999999999</v>
      </c>
      <c r="I100" s="12" t="n">
        <f>I88+I89</f>
        <v>33</v>
      </c>
      <c r="J100" s="141" t="n">
        <f>SUM(J88+J89)</f>
        <v>6.7210000000000001</v>
      </c>
      <c r="N100" s="124"/>
    </row>
    <row r="101">
      <c r="C101" s="120" t="s">
        <v>402</v>
      </c>
      <c r="D101" s="41" t="s">
        <v>55</v>
      </c>
      <c r="E101" s="12" t="n">
        <f t="shared" ref="E101:J101" si="20">E93</f>
        <v>0</v>
      </c>
      <c r="F101" s="141" t="e">
        <f t="shared" si="20"/>
        <v>#DIV/0!</v>
      </c>
      <c r="G101" s="12" t="n">
        <f t="shared" si="20"/>
        <v>29</v>
      </c>
      <c r="H101" s="141" t="n">
        <f t="shared" si="20"/>
        <v>42.029000000000003</v>
      </c>
      <c r="I101" s="12" t="n">
        <f t="shared" si="20"/>
        <v>180</v>
      </c>
      <c r="J101" s="141" t="n">
        <f t="shared" si="20"/>
        <v>36.659999999999997</v>
      </c>
      <c r="N101" s="124"/>
    </row>
    <row r="102" ht="15" customHeight="1">
      <c r="C102" s="121" t="s">
        <v>403</v>
      </c>
      <c r="D102" s="41" t="n">
        <v>6</v>
      </c>
      <c r="E102" s="12" t="n">
        <f t="shared" ref="E102:J102" si="21">E90</f>
        <v>0</v>
      </c>
      <c r="F102" s="141" t="e">
        <f t="shared" si="21"/>
        <v>#DIV/0!</v>
      </c>
      <c r="G102" s="12" t="n">
        <f t="shared" si="21"/>
        <v>7</v>
      </c>
      <c r="H102" s="141" t="n">
        <f t="shared" si="21"/>
        <v>10.145</v>
      </c>
      <c r="I102" s="12" t="n">
        <f t="shared" si="21"/>
        <v>41</v>
      </c>
      <c r="J102" s="141" t="n">
        <f t="shared" si="21"/>
        <v>8.35</v>
      </c>
      <c r="N102" s="124"/>
    </row>
    <row r="103">
      <c r="C103" s="122" t="s">
        <v>404</v>
      </c>
      <c r="D103" s="41" t="s">
        <v>410</v>
      </c>
      <c r="E103" s="147" t="n">
        <f t="shared" ref="E103:J103" si="22">E91+E92</f>
        <v>0</v>
      </c>
      <c r="F103" s="141" t="e">
        <f t="shared" si="22"/>
        <v>#DIV/0!</v>
      </c>
      <c r="G103" s="147" t="n">
        <f t="shared" si="22"/>
        <v>30</v>
      </c>
      <c r="H103" s="141" t="n">
        <f t="shared" si="22"/>
        <v>43.478999999999999</v>
      </c>
      <c r="I103" s="147" t="n">
        <f t="shared" si="22"/>
        <v>237</v>
      </c>
      <c r="J103" s="141" t="n">
        <f t="shared" si="22"/>
        <v>48.268999999999998</v>
      </c>
      <c r="N103" s="124"/>
    </row>
    <row r="104">
      <c r="C104" s="132"/>
      <c r="D104" s="132" t="s">
        <v>313</v>
      </c>
      <c r="E104" s="132" t="n">
        <f t="shared" ref="E104:J104" si="23">SUM(E100:E103)</f>
        <v>0</v>
      </c>
      <c r="F104" s="142" t="e">
        <f t="shared" si="23"/>
        <v>#DIV/0!</v>
      </c>
      <c r="G104" s="132" t="n">
        <f t="shared" si="23"/>
        <v>69</v>
      </c>
      <c r="H104" s="142" t="n">
        <f t="shared" si="23"/>
        <v>100.001</v>
      </c>
      <c r="I104" s="132" t="n">
        <f t="shared" si="23"/>
        <v>491</v>
      </c>
      <c r="J104" s="142" t="n">
        <f t="shared" si="23"/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34</v>
      </c>
      <c r="D109" s="83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1085</v>
      </c>
      <c r="D113" s="81" t="str">
        <f>VLOOKUP(C113, Questoes!J:K,2, 0)</f>
        <v>Biblioteca(s)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4" t="s">
        <v>432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1085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1085</v>
      </c>
      <c r="U119" s="108"/>
      <c r="V119" s="108"/>
      <c r="W119" s="108"/>
    </row>
    <row r="120">
      <c r="C120" s="112" t="s">
        <v>425</v>
      </c>
      <c r="D120" s="112"/>
      <c r="E120" s="156" t="s">
        <v>303</v>
      </c>
      <c r="F120" s="155" t="s">
        <v>426</v>
      </c>
      <c r="G120" s="156" t="s">
        <v>303</v>
      </c>
      <c r="H120" s="155" t="s">
        <v>426</v>
      </c>
      <c r="I120" s="156" t="s">
        <v>303</v>
      </c>
      <c r="J120" s="155" t="s">
        <v>426</v>
      </c>
      <c r="K120" s="117"/>
    </row>
    <row r="121">
      <c r="C121" s="109" t="n">
        <v>2</v>
      </c>
      <c r="D121" s="109"/>
      <c r="E121" t="n">
        <f>COUNTIFS(dados[RESPOSTA],C121,dados[ID_PERGUNTA],$C$113,dados[COD_HABILITAÇÃO_CURSO],$C$4)</f>
        <v>0</v>
      </c>
      <c r="F121" s="141" t="n">
        <f t="shared" ref="F121:F126" si="24">ROUND(E121/$E$127*100,3)</f>
        <v>0</v>
      </c>
      <c r="G121" t="n">
        <f>COUNTIFS(dados[RESPOSTA],C121,dados[ID_PERGUNTA],$C$113,dados[COD_SETOR_CURSO],$C$5)</f>
        <v>0</v>
      </c>
      <c r="H121" s="141" t="n">
        <f t="shared" ref="H121:H126" si="25">ROUND(G121/$G$127*100,3)</f>
        <v>0</v>
      </c>
      <c r="I121" t="n">
        <f>COUNTIFS(dados[RESPOSTA],C121, dados[ID_PERGUNTA],$C$113,dados[Instituição],$A$2)</f>
        <v>0</v>
      </c>
      <c r="J121" s="141" t="n">
        <f t="shared" ref="J121:J126" si="26">ROUND(I121/$I$127*100,3)</f>
        <v>0</v>
      </c>
      <c r="P121" s="118"/>
      <c r="V121" s="20"/>
      <c r="W121" s="20"/>
    </row>
    <row r="122">
      <c r="C122" s="77" t="n">
        <v>4</v>
      </c>
      <c r="D122" s="77"/>
      <c r="E122" t="n">
        <f>COUNTIFS(dados[RESPOSTA],C122,dados[ID_PERGUNTA],$C$113,dados[COD_HABILITAÇÃO_CURSO],$C$4)</f>
        <v>0</v>
      </c>
      <c r="F122" s="141" t="n">
        <f t="shared" si="24"/>
        <v>0</v>
      </c>
      <c r="G122" t="n">
        <f>COUNTIFS(dados[RESPOSTA],C122,dados[ID_PERGUNTA],$C$113,dados[COD_SETOR_CURSO],$C$5)</f>
        <v>1</v>
      </c>
      <c r="H122" s="141" t="n">
        <f t="shared" si="25"/>
        <v>1.4490000000000001</v>
      </c>
      <c r="I122" t="n">
        <f>COUNTIFS(dados[RESPOSTA],C122, dados[ID_PERGUNTA],$C$113,dados[Instituição],$A$2)</f>
        <v>7</v>
      </c>
      <c r="J122" s="141" t="n">
        <f t="shared" si="26"/>
        <v>1.423</v>
      </c>
    </row>
    <row r="123">
      <c r="C123" s="77" t="n">
        <v>6</v>
      </c>
      <c r="D123" s="77"/>
      <c r="E123" t="n">
        <f>COUNTIFS(dados[RESPOSTA],C123,dados[ID_PERGUNTA],$C$113,dados[COD_HABILITAÇÃO_CURSO],$C$4)</f>
        <v>0</v>
      </c>
      <c r="F123" s="141" t="n">
        <f t="shared" si="24"/>
        <v>0</v>
      </c>
      <c r="G123" t="n">
        <f>COUNTIFS(dados[RESPOSTA],C123,dados[ID_PERGUNTA],$C$113,dados[COD_SETOR_CURSO],$C$5)</f>
        <v>3</v>
      </c>
      <c r="H123" s="141" t="n">
        <f t="shared" si="25"/>
        <v>4.3479999999999999</v>
      </c>
      <c r="I123" t="n">
        <f>COUNTIFS(dados[RESPOSTA],C123, dados[ID_PERGUNTA],$C$113,dados[Instituição],$A$2)</f>
        <v>19</v>
      </c>
      <c r="J123" s="141" t="n">
        <f t="shared" si="26"/>
        <v>3.8620000000000001</v>
      </c>
    </row>
    <row r="124">
      <c r="C124" s="77" t="n">
        <v>8</v>
      </c>
      <c r="D124" s="77"/>
      <c r="E124" t="n">
        <f>COUNTIFS(dados[RESPOSTA],C124,dados[ID_PERGUNTA],$C$113,dados[COD_HABILITAÇÃO_CURSO],$C$4)</f>
        <v>0</v>
      </c>
      <c r="F124" s="141" t="n">
        <f t="shared" si="24"/>
        <v>0</v>
      </c>
      <c r="G124" t="n">
        <f>COUNTIFS(dados[RESPOSTA],C124,dados[ID_PERGUNTA],$C$113,dados[COD_SETOR_CURSO],$C$5)</f>
        <v>24</v>
      </c>
      <c r="H124" s="141" t="n">
        <f t="shared" si="25"/>
        <v>34.783000000000001</v>
      </c>
      <c r="I124" t="n">
        <f>COUNTIFS(dados[RESPOSTA],C124, dados[ID_PERGUNTA],$C$113,dados[Instituição],$A$2)</f>
        <v>133</v>
      </c>
      <c r="J124" s="141" t="n">
        <f t="shared" si="26"/>
        <v>27.033000000000001</v>
      </c>
    </row>
    <row r="125">
      <c r="C125" s="77" t="n">
        <v>10</v>
      </c>
      <c r="D125" s="77"/>
      <c r="E125" t="n">
        <f>COUNTIFS(dados[RESPOSTA],C125,dados[ID_PERGUNTA],$C$113,dados[COD_HABILITAÇÃO_CURSO],$C$4)</f>
        <v>0</v>
      </c>
      <c r="F125" s="141" t="n">
        <f t="shared" si="24"/>
        <v>0</v>
      </c>
      <c r="G125" t="n">
        <f>COUNTIFS(dados[RESPOSTA],C125,dados[ID_PERGUNTA],$C$113,dados[COD_SETOR_CURSO],$C$5)</f>
        <v>33</v>
      </c>
      <c r="H125" s="141" t="n">
        <f t="shared" si="25"/>
        <v>47.826000000000001</v>
      </c>
      <c r="I125" t="n">
        <f>COUNTIFS(dados[RESPOSTA],C125, dados[ID_PERGUNTA],$C$113,dados[Instituição],$A$2)</f>
        <v>246</v>
      </c>
      <c r="J125" s="141" t="n">
        <f t="shared" si="26"/>
        <v>50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110" t="s">
        <v>55</v>
      </c>
      <c r="D126" s="110"/>
      <c r="E126" t="n">
        <f>COUNTIFS(dados[RESPOSTA],C126,dados[ID_PERGUNTA],$C$113,dados[COD_HABILITAÇÃO_CURSO],$C$4)</f>
        <v>1</v>
      </c>
      <c r="F126" s="141" t="n">
        <f t="shared" si="24"/>
        <v>100</v>
      </c>
      <c r="G126" t="n">
        <f>COUNTIFS(dados[RESPOSTA],C126,dados[ID_PERGUNTA],$C$113,dados[COD_SETOR_CURSO],$C$5)</f>
        <v>8</v>
      </c>
      <c r="H126" s="141" t="n">
        <f t="shared" si="25"/>
        <v>11.593999999999999</v>
      </c>
      <c r="I126" t="n">
        <f>COUNTIFS(dados[RESPOSTA],C126, dados[ID_PERGUNTA],$C$113,dados[Instituição],$A$2)</f>
        <v>87</v>
      </c>
      <c r="J126" s="141" t="n">
        <f t="shared" si="26"/>
        <v>17.683</v>
      </c>
    </row>
    <row r="127">
      <c r="C127" s="111" t="s">
        <v>313</v>
      </c>
      <c r="D127" s="111"/>
      <c r="E127" s="132" t="n">
        <f t="shared" ref="E127:J127" si="27">SUM(E121:E126)</f>
        <v>1</v>
      </c>
      <c r="F127" s="142" t="n">
        <f t="shared" si="27"/>
        <v>100</v>
      </c>
      <c r="G127" s="62" t="n">
        <f t="shared" si="27"/>
        <v>69</v>
      </c>
      <c r="H127" s="58" t="n">
        <f t="shared" si="27"/>
        <v>100</v>
      </c>
      <c r="I127" s="62" t="n">
        <f t="shared" si="27"/>
        <v>492</v>
      </c>
      <c r="J127" s="58" t="n">
        <f t="shared" si="27"/>
        <v>100.001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136" t="s">
        <v>428</v>
      </c>
      <c r="D132" s="136" t="s">
        <v>429</v>
      </c>
      <c r="E132" s="156" t="s">
        <v>303</v>
      </c>
      <c r="F132" s="155" t="s">
        <v>426</v>
      </c>
      <c r="G132" s="156" t="s">
        <v>303</v>
      </c>
      <c r="H132" s="155" t="s">
        <v>426</v>
      </c>
      <c r="I132" s="156" t="s">
        <v>303</v>
      </c>
      <c r="J132" s="155" t="s">
        <v>426</v>
      </c>
      <c r="N132" s="124"/>
    </row>
    <row r="133">
      <c r="C133" s="119" t="s">
        <v>401</v>
      </c>
      <c r="D133" s="41" t="s">
        <v>409</v>
      </c>
      <c r="E133" s="12" t="n">
        <f>E121+E122</f>
        <v>0</v>
      </c>
      <c r="F133" s="141" t="n">
        <f>SUM(F121+F122)</f>
        <v>0</v>
      </c>
      <c r="G133" s="12" t="n">
        <f>G121+G122</f>
        <v>1</v>
      </c>
      <c r="H133" s="141" t="n">
        <f>SUM(H121+H122)</f>
        <v>1.4490000000000001</v>
      </c>
      <c r="I133" s="12" t="n">
        <f>I121+I122</f>
        <v>7</v>
      </c>
      <c r="J133" s="141" t="n">
        <f>SUM(J121+J122)</f>
        <v>1.423</v>
      </c>
      <c r="N133" s="124"/>
    </row>
    <row r="134">
      <c r="C134" s="120" t="s">
        <v>402</v>
      </c>
      <c r="D134" s="41" t="s">
        <v>55</v>
      </c>
      <c r="E134" s="12" t="n">
        <f t="shared" ref="E134:J134" si="28">E126</f>
        <v>1</v>
      </c>
      <c r="F134" s="141" t="n">
        <f t="shared" si="28"/>
        <v>100</v>
      </c>
      <c r="G134" s="12" t="n">
        <f t="shared" si="28"/>
        <v>8</v>
      </c>
      <c r="H134" s="141" t="n">
        <f t="shared" si="28"/>
        <v>11.593999999999999</v>
      </c>
      <c r="I134" s="12" t="n">
        <f t="shared" si="28"/>
        <v>87</v>
      </c>
      <c r="J134" s="141" t="n">
        <f t="shared" si="28"/>
        <v>17.683</v>
      </c>
      <c r="N134" s="124"/>
    </row>
    <row r="135">
      <c r="C135" s="121" t="s">
        <v>403</v>
      </c>
      <c r="D135" s="41" t="n">
        <v>6</v>
      </c>
      <c r="E135" s="12" t="n">
        <f t="shared" ref="E135:J135" si="29">E123</f>
        <v>0</v>
      </c>
      <c r="F135" s="141" t="n">
        <f t="shared" si="29"/>
        <v>0</v>
      </c>
      <c r="G135" s="12" t="n">
        <f t="shared" si="29"/>
        <v>3</v>
      </c>
      <c r="H135" s="141" t="n">
        <f t="shared" si="29"/>
        <v>4.3479999999999999</v>
      </c>
      <c r="I135" s="12" t="n">
        <f t="shared" si="29"/>
        <v>19</v>
      </c>
      <c r="J135" s="141" t="n">
        <f t="shared" si="29"/>
        <v>3.8620000000000001</v>
      </c>
      <c r="N135" s="124"/>
    </row>
    <row r="136">
      <c r="C136" s="122" t="s">
        <v>404</v>
      </c>
      <c r="D136" s="41" t="s">
        <v>410</v>
      </c>
      <c r="E136" s="147" t="n">
        <f t="shared" ref="E136:J136" si="30">E124+E125</f>
        <v>0</v>
      </c>
      <c r="F136" s="141" t="n">
        <f t="shared" si="30"/>
        <v>0</v>
      </c>
      <c r="G136" s="147" t="n">
        <f t="shared" si="30"/>
        <v>57</v>
      </c>
      <c r="H136" s="141" t="n">
        <f t="shared" si="30"/>
        <v>82.609000000000009</v>
      </c>
      <c r="I136" s="147" t="n">
        <f t="shared" si="30"/>
        <v>379</v>
      </c>
      <c r="J136" s="141" t="n">
        <f t="shared" si="30"/>
        <v>77.033000000000001</v>
      </c>
      <c r="N136" s="124"/>
    </row>
    <row r="137">
      <c r="C137" s="132"/>
      <c r="D137" s="132" t="s">
        <v>313</v>
      </c>
      <c r="E137" s="132" t="n">
        <f t="shared" ref="E137:J137" si="31">SUM(E133:E136)</f>
        <v>1</v>
      </c>
      <c r="F137" s="142" t="n">
        <f t="shared" si="31"/>
        <v>100</v>
      </c>
      <c r="G137" s="132" t="n">
        <f t="shared" si="31"/>
        <v>69</v>
      </c>
      <c r="H137" s="142" t="n">
        <f t="shared" si="31"/>
        <v>100</v>
      </c>
      <c r="I137" s="132" t="n">
        <f t="shared" si="31"/>
        <v>492</v>
      </c>
      <c r="J137" s="142" t="n">
        <f t="shared" si="31"/>
        <v>100.001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  <row r="142">
      <c r="B142" s="66" t="s">
        <v>421</v>
      </c>
      <c r="C142" s="80" t="n">
        <f>INDEX(Questoes!A:A,MATCH(C146,Questoes!J:J,0))</f>
        <v>35</v>
      </c>
      <c r="D142" s="83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</row>
    <row r="143">
      <c r="B143" s="66"/>
      <c r="C143" s="80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</row>
    <row r="144">
      <c r="B144" s="66"/>
      <c r="C144" s="80"/>
      <c r="D144" s="84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>
      <c r="D145" s="82" t="str">
        <f>IF(INDEX(Questoes!I:I,MATCH(C146,Questoes!J:J,FALSE))=0,"",INDEX(Questoes!I:I,MATCH(C146,Questoes!J:J,FALSE)))</f>
      </c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</row>
    <row r="146">
      <c r="B146" s="79" t="s">
        <v>422</v>
      </c>
      <c r="C146" s="80" t="n">
        <v>1086</v>
      </c>
      <c r="D146" s="81" t="str">
        <f>VLOOKUP(C146, Questoes!J:K,2, 0)</f>
        <v>Laboratório(s), quando houver</v>
      </c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</row>
    <row r="147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</row>
    <row r="148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</row>
    <row r="149">
      <c r="B149" s="138"/>
      <c r="C149" s="139"/>
      <c r="D149" s="137" t="str">
        <f>IF(INDEX(Questoes!L:L,MATCH(C146,Questoes!J:J,0))=0,"",INDEX(Questoes!L:L,MATCH(C146,Questoes!J:J,0)))</f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</row>
    <row r="150">
      <c r="B150" s="138"/>
      <c r="C150" s="139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</row>
    <row r="151">
      <c r="B151" s="144" t="s">
        <v>432</v>
      </c>
      <c r="C151" s="70" t="s">
        <v>424</v>
      </c>
      <c r="D151" s="70"/>
      <c r="E151" s="70"/>
      <c r="F151" s="70"/>
      <c r="G151" s="70"/>
      <c r="H151" s="70"/>
      <c r="I151" s="70"/>
      <c r="J151" s="70"/>
      <c r="K151" s="140"/>
      <c r="L151" s="67" t="str">
        <f>C151</f>
        <v>Apuração de Resultados </v>
      </c>
      <c r="M151" s="68"/>
      <c r="N151" s="68"/>
      <c r="O151" s="69"/>
      <c r="P151" s="117"/>
      <c r="Q151" s="67" t="str">
        <f>C163</f>
        <v>Critérios de Análise</v>
      </c>
      <c r="R151" s="68"/>
      <c r="S151" s="68"/>
      <c r="T151" s="68"/>
      <c r="U151" s="68"/>
      <c r="V151" s="68"/>
      <c r="W151" s="69"/>
    </row>
    <row r="152">
      <c r="C152" s="64"/>
      <c r="D152" s="64"/>
      <c r="E152" s="74" t="s">
        <v>418</v>
      </c>
      <c r="F152" s="74"/>
      <c r="G152" s="75" t="s">
        <v>419</v>
      </c>
      <c r="H152" s="75"/>
      <c r="I152" s="76" t="s">
        <v>21</v>
      </c>
      <c r="J152" s="76"/>
      <c r="L152" s="159" t="s">
        <v>422</v>
      </c>
      <c r="M152" s="106" t="n">
        <f>C146</f>
        <v>1086</v>
      </c>
      <c r="N152" s="106"/>
      <c r="O152" s="106"/>
      <c r="P152" s="117"/>
      <c r="Q152" s="107" t="str">
        <f>L152</f>
        <v>Questão</v>
      </c>
      <c r="R152" s="107"/>
      <c r="S152" s="107"/>
      <c r="T152" s="108" t="n">
        <f>M152</f>
        <v>1086</v>
      </c>
      <c r="U152" s="108"/>
      <c r="V152" s="108"/>
      <c r="W152" s="108"/>
    </row>
    <row r="153">
      <c r="C153" s="112" t="s">
        <v>425</v>
      </c>
      <c r="D153" s="112"/>
      <c r="E153" s="156" t="s">
        <v>303</v>
      </c>
      <c r="F153" s="155" t="s">
        <v>426</v>
      </c>
      <c r="G153" s="156" t="s">
        <v>303</v>
      </c>
      <c r="H153" s="155" t="s">
        <v>426</v>
      </c>
      <c r="I153" s="156" t="s">
        <v>303</v>
      </c>
      <c r="J153" s="155" t="s">
        <v>426</v>
      </c>
      <c r="K153" s="117"/>
    </row>
    <row r="154">
      <c r="C154" s="109" t="n">
        <v>2</v>
      </c>
      <c r="D154" s="109"/>
      <c r="E154" t="n">
        <f>COUNTIFS(dados[RESPOSTA],C154,dados[ID_PERGUNTA],$C$146,dados[COD_HABILITAÇÃO_CURSO],$C$4)</f>
        <v>0</v>
      </c>
      <c r="F154" s="141" t="e">
        <f t="shared" ref="F154:F159" si="32">ROUND(E154/$E$160*100,3)</f>
        <v>#DIV/0!</v>
      </c>
      <c r="G154" t="n">
        <f>COUNTIFS(dados[RESPOSTA],C154,dados[ID_PERGUNTA],$C$146,dados[COD_SETOR_CURSO],$C$5)</f>
        <v>2</v>
      </c>
      <c r="H154" s="141" t="n">
        <f t="shared" ref="H154:H159" si="33">ROUND(G154/$G$160*100,3)</f>
        <v>2.899</v>
      </c>
      <c r="I154" t="n">
        <f>COUNTIFS(dados[RESPOSTA],C154, dados[ID_PERGUNTA],$C$146,dados[Instituição],$A$2)</f>
        <v>7</v>
      </c>
      <c r="J154" s="141" t="n">
        <f t="shared" ref="J154:J159" si="34">ROUND(I154/$I$160*100,3)</f>
        <v>1.429</v>
      </c>
      <c r="P154" s="118"/>
      <c r="V154" s="20"/>
      <c r="W154" s="20"/>
    </row>
    <row r="155">
      <c r="C155" s="77" t="n">
        <v>4</v>
      </c>
      <c r="D155" s="77"/>
      <c r="E155" t="n">
        <f>COUNTIFS(dados[RESPOSTA],C155,dados[ID_PERGUNTA],$C$146,dados[COD_HABILITAÇÃO_CURSO],$C$4)</f>
        <v>0</v>
      </c>
      <c r="F155" s="141" t="e">
        <f t="shared" si="32"/>
        <v>#DIV/0!</v>
      </c>
      <c r="G155" t="n">
        <f>COUNTIFS(dados[RESPOSTA],C155,dados[ID_PERGUNTA],$C$146,dados[COD_SETOR_CURSO],$C$5)</f>
        <v>1</v>
      </c>
      <c r="H155" s="141" t="n">
        <f t="shared" si="33"/>
        <v>1.4490000000000001</v>
      </c>
      <c r="I155" t="n">
        <f>COUNTIFS(dados[RESPOSTA],C155, dados[ID_PERGUNTA],$C$146,dados[Instituição],$A$2)</f>
        <v>19</v>
      </c>
      <c r="J155" s="141" t="n">
        <f t="shared" si="34"/>
        <v>3.8780000000000001</v>
      </c>
    </row>
    <row r="156">
      <c r="C156" s="77" t="n">
        <v>6</v>
      </c>
      <c r="D156" s="77"/>
      <c r="E156" t="n">
        <f>COUNTIFS(dados[RESPOSTA],C156,dados[ID_PERGUNTA],$C$146,dados[COD_HABILITAÇÃO_CURSO],$C$4)</f>
        <v>0</v>
      </c>
      <c r="F156" s="141" t="e">
        <f t="shared" si="32"/>
        <v>#DIV/0!</v>
      </c>
      <c r="G156" t="n">
        <f>COUNTIFS(dados[RESPOSTA],C156,dados[ID_PERGUNTA],$C$146,dados[COD_SETOR_CURSO],$C$5)</f>
        <v>0</v>
      </c>
      <c r="H156" s="141" t="n">
        <f t="shared" si="33"/>
        <v>0</v>
      </c>
      <c r="I156" t="n">
        <f>COUNTIFS(dados[RESPOSTA],C156, dados[ID_PERGUNTA],$C$146,dados[Instituição],$A$2)</f>
        <v>61</v>
      </c>
      <c r="J156" s="141" t="n">
        <f t="shared" si="34"/>
        <v>12.449</v>
      </c>
    </row>
    <row r="157">
      <c r="C157" s="77" t="n">
        <v>8</v>
      </c>
      <c r="D157" s="77"/>
      <c r="E157" t="n">
        <f>COUNTIFS(dados[RESPOSTA],C157,dados[ID_PERGUNTA],$C$146,dados[COD_HABILITAÇÃO_CURSO],$C$4)</f>
        <v>0</v>
      </c>
      <c r="F157" s="141" t="e">
        <f t="shared" si="32"/>
        <v>#DIV/0!</v>
      </c>
      <c r="G157" t="n">
        <f>COUNTIFS(dados[RESPOSTA],C157,dados[ID_PERGUNTA],$C$146,dados[COD_SETOR_CURSO],$C$5)</f>
        <v>10</v>
      </c>
      <c r="H157" s="141" t="n">
        <f t="shared" si="33"/>
        <v>14.493</v>
      </c>
      <c r="I157" t="n">
        <f>COUNTIFS(dados[RESPOSTA],C157, dados[ID_PERGUNTA],$C$146,dados[Instituição],$A$2)</f>
        <v>139</v>
      </c>
      <c r="J157" s="141" t="n">
        <f t="shared" si="34"/>
        <v>28.367000000000001</v>
      </c>
    </row>
    <row r="158">
      <c r="C158" s="77" t="n">
        <v>10</v>
      </c>
      <c r="D158" s="77"/>
      <c r="E158" t="n">
        <f>COUNTIFS(dados[RESPOSTA],C158,dados[ID_PERGUNTA],$C$146,dados[COD_HABILITAÇÃO_CURSO],$C$4)</f>
        <v>0</v>
      </c>
      <c r="F158" s="141" t="e">
        <f t="shared" si="32"/>
        <v>#DIV/0!</v>
      </c>
      <c r="G158" t="n">
        <f>COUNTIFS(dados[RESPOSTA],C158,dados[ID_PERGUNTA],$C$146,dados[COD_SETOR_CURSO],$C$5)</f>
        <v>8</v>
      </c>
      <c r="H158" s="141" t="n">
        <f t="shared" si="33"/>
        <v>11.593999999999999</v>
      </c>
      <c r="I158" t="n">
        <f>COUNTIFS(dados[RESPOSTA],C158, dados[ID_PERGUNTA],$C$146,dados[Instituição],$A$2)</f>
        <v>114</v>
      </c>
      <c r="J158" s="141" t="n">
        <f t="shared" si="34"/>
        <v>23.265000000000001</v>
      </c>
      <c r="P158" s="124"/>
      <c r="Q158" s="124"/>
      <c r="R158" s="124"/>
      <c r="S158" s="124"/>
      <c r="T158" s="124"/>
      <c r="U158" s="124"/>
      <c r="V158" s="124"/>
      <c r="W158" s="124"/>
    </row>
    <row r="159">
      <c r="C159" s="110" t="s">
        <v>55</v>
      </c>
      <c r="D159" s="110"/>
      <c r="E159" t="n">
        <f>COUNTIFS(dados[RESPOSTA],C159,dados[ID_PERGUNTA],$C$146,dados[COD_HABILITAÇÃO_CURSO],$C$4)</f>
        <v>0</v>
      </c>
      <c r="F159" s="141" t="e">
        <f t="shared" si="32"/>
        <v>#DIV/0!</v>
      </c>
      <c r="G159" t="n">
        <f>COUNTIFS(dados[RESPOSTA],C159,dados[ID_PERGUNTA],$C$146,dados[COD_SETOR_CURSO],$C$5)</f>
        <v>48</v>
      </c>
      <c r="H159" s="141" t="n">
        <f t="shared" si="33"/>
        <v>69.564999999999998</v>
      </c>
      <c r="I159" t="n">
        <f>COUNTIFS(dados[RESPOSTA],C159, dados[ID_PERGUNTA],$C$146,dados[Instituição],$A$2)</f>
        <v>150</v>
      </c>
      <c r="J159" s="141" t="n">
        <f t="shared" si="34"/>
        <v>30.611999999999998</v>
      </c>
    </row>
    <row r="160">
      <c r="C160" s="111" t="s">
        <v>313</v>
      </c>
      <c r="D160" s="111"/>
      <c r="E160" s="132" t="n">
        <f t="shared" ref="E160:J160" si="35">SUM(E154:E159)</f>
        <v>0</v>
      </c>
      <c r="F160" s="142" t="e">
        <f t="shared" si="35"/>
        <v>#DIV/0!</v>
      </c>
      <c r="G160" s="62" t="n">
        <f t="shared" si="35"/>
        <v>69</v>
      </c>
      <c r="H160" s="58" t="n">
        <f t="shared" si="35"/>
        <v>100</v>
      </c>
      <c r="I160" s="62" t="n">
        <f t="shared" si="35"/>
        <v>490</v>
      </c>
      <c r="J160" s="58" t="n">
        <f t="shared" si="35"/>
        <v>100</v>
      </c>
    </row>
    <row r="163">
      <c r="C163" s="70" t="s">
        <v>427</v>
      </c>
      <c r="D163" s="70"/>
      <c r="E163" s="70"/>
      <c r="F163" s="70"/>
      <c r="G163" s="70"/>
      <c r="H163" s="70"/>
      <c r="I163" s="70"/>
      <c r="J163" s="70"/>
    </row>
    <row r="164">
      <c r="C164" s="56"/>
      <c r="D164" s="56"/>
      <c r="E164" s="71" t="s">
        <v>418</v>
      </c>
      <c r="F164" s="71"/>
      <c r="G164" s="72" t="s">
        <v>419</v>
      </c>
      <c r="H164" s="72"/>
      <c r="I164" s="73" t="s">
        <v>21</v>
      </c>
      <c r="J164" s="73"/>
      <c r="N164" s="124"/>
      <c r="O164" s="129"/>
    </row>
    <row r="165">
      <c r="C165" s="136" t="s">
        <v>428</v>
      </c>
      <c r="D165" s="136" t="s">
        <v>429</v>
      </c>
      <c r="E165" s="156" t="s">
        <v>303</v>
      </c>
      <c r="F165" s="155" t="s">
        <v>426</v>
      </c>
      <c r="G165" s="156" t="s">
        <v>303</v>
      </c>
      <c r="H165" s="155" t="s">
        <v>426</v>
      </c>
      <c r="I165" s="156" t="s">
        <v>303</v>
      </c>
      <c r="J165" s="155" t="s">
        <v>426</v>
      </c>
      <c r="N165" s="124"/>
    </row>
    <row r="166">
      <c r="C166" s="119" t="s">
        <v>401</v>
      </c>
      <c r="D166" s="41" t="s">
        <v>409</v>
      </c>
      <c r="E166" s="12" t="n">
        <f>E154+E155</f>
        <v>0</v>
      </c>
      <c r="F166" s="141" t="e">
        <f>SUM(F154+F155)</f>
        <v>#DIV/0!</v>
      </c>
      <c r="G166" s="12" t="n">
        <f>G154+G155</f>
        <v>3</v>
      </c>
      <c r="H166" s="141" t="n">
        <f>SUM(H154+H155)</f>
        <v>4.3479999999999999</v>
      </c>
      <c r="I166" s="12" t="n">
        <f>I154+I155</f>
        <v>26</v>
      </c>
      <c r="J166" s="141" t="n">
        <f>SUM(J154+J155)</f>
        <v>5.3070000000000004</v>
      </c>
      <c r="N166" s="124"/>
    </row>
    <row r="167">
      <c r="C167" s="120" t="s">
        <v>402</v>
      </c>
      <c r="D167" s="41" t="s">
        <v>55</v>
      </c>
      <c r="E167" s="12" t="n">
        <f t="shared" ref="E167:J167" si="36">E159</f>
        <v>0</v>
      </c>
      <c r="F167" s="141" t="e">
        <f t="shared" si="36"/>
        <v>#DIV/0!</v>
      </c>
      <c r="G167" s="12" t="n">
        <f t="shared" si="36"/>
        <v>48</v>
      </c>
      <c r="H167" s="141" t="n">
        <f t="shared" si="36"/>
        <v>69.564999999999998</v>
      </c>
      <c r="I167" s="12" t="n">
        <f t="shared" si="36"/>
        <v>150</v>
      </c>
      <c r="J167" s="141" t="n">
        <f t="shared" si="36"/>
        <v>30.611999999999998</v>
      </c>
      <c r="N167" s="124"/>
    </row>
    <row r="168">
      <c r="C168" s="121" t="s">
        <v>403</v>
      </c>
      <c r="D168" s="41" t="n">
        <v>6</v>
      </c>
      <c r="E168" s="12" t="n">
        <f t="shared" ref="E168:J168" si="37">E156</f>
        <v>0</v>
      </c>
      <c r="F168" s="141" t="e">
        <f t="shared" si="37"/>
        <v>#DIV/0!</v>
      </c>
      <c r="G168" s="12" t="n">
        <f t="shared" si="37"/>
        <v>0</v>
      </c>
      <c r="H168" s="141" t="n">
        <f t="shared" si="37"/>
        <v>0</v>
      </c>
      <c r="I168" s="12" t="n">
        <f t="shared" si="37"/>
        <v>61</v>
      </c>
      <c r="J168" s="141" t="n">
        <f t="shared" si="37"/>
        <v>12.449</v>
      </c>
      <c r="N168" s="124"/>
    </row>
    <row r="169">
      <c r="C169" s="122" t="s">
        <v>404</v>
      </c>
      <c r="D169" s="41" t="s">
        <v>410</v>
      </c>
      <c r="E169" s="147" t="n">
        <f t="shared" ref="E169:J169" si="38">E157+E158</f>
        <v>0</v>
      </c>
      <c r="F169" s="141" t="e">
        <f t="shared" si="38"/>
        <v>#DIV/0!</v>
      </c>
      <c r="G169" s="147" t="n">
        <f t="shared" si="38"/>
        <v>18</v>
      </c>
      <c r="H169" s="141" t="n">
        <f t="shared" si="38"/>
        <v>26.087</v>
      </c>
      <c r="I169" s="147" t="n">
        <f t="shared" si="38"/>
        <v>253</v>
      </c>
      <c r="J169" s="141" t="n">
        <f t="shared" si="38"/>
        <v>51.632000000000005</v>
      </c>
      <c r="N169" s="124"/>
    </row>
    <row r="170">
      <c r="C170" s="132"/>
      <c r="D170" s="132" t="s">
        <v>313</v>
      </c>
      <c r="E170" s="132" t="n">
        <f t="shared" ref="E170:J170" si="39">SUM(E166:E169)</f>
        <v>0</v>
      </c>
      <c r="F170" s="142" t="e">
        <f t="shared" si="39"/>
        <v>#DIV/0!</v>
      </c>
      <c r="G170" s="132" t="n">
        <f t="shared" si="39"/>
        <v>69</v>
      </c>
      <c r="H170" s="142" t="n">
        <f t="shared" si="39"/>
        <v>100</v>
      </c>
      <c r="I170" s="132" t="n">
        <f t="shared" si="39"/>
        <v>490</v>
      </c>
      <c r="J170" s="142" t="n">
        <f t="shared" si="39"/>
        <v>100</v>
      </c>
      <c r="L170" s="77"/>
      <c r="M170" s="77"/>
      <c r="N170" s="124"/>
    </row>
    <row r="171">
      <c r="L171" s="77"/>
      <c r="M171" s="77"/>
      <c r="N171" s="124"/>
    </row>
    <row r="172">
      <c r="B172" s="178"/>
      <c r="N172" s="124"/>
    </row>
    <row r="173">
      <c r="B173" s="165"/>
      <c r="C173" s="166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</row>
    <row r="175">
      <c r="B175" s="66" t="s">
        <v>421</v>
      </c>
      <c r="C175" s="80" t="n">
        <f>INDEX(Questoes!A:A,MATCH(C179,Questoes!J:J,0))</f>
        <v>36</v>
      </c>
      <c r="D175" s="83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</row>
    <row r="176">
      <c r="B176" s="66"/>
      <c r="C176" s="80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</row>
    <row r="177">
      <c r="B177" s="66"/>
      <c r="C177" s="80"/>
      <c r="D177" s="84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>
      <c r="D178" s="82" t="str">
        <f>IF(INDEX(Questoes!I:I,MATCH(C179,Questoes!J:J,FALSE))=0,"",INDEX(Questoes!I:I,MATCH(C179,Questoes!J:J,FALSE)))</f>
      </c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</row>
    <row r="179">
      <c r="B179" s="79" t="s">
        <v>422</v>
      </c>
      <c r="C179" s="80" t="n">
        <v>1087</v>
      </c>
      <c r="D179" s="81" t="str">
        <f>VLOOKUP(C179, Questoes!J:K,2, 0)</f>
        <v>Unidade de atendimento ao público da PROGRAD</v>
      </c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</row>
    <row r="180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</row>
    <row r="181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</row>
    <row r="182">
      <c r="B182" s="138"/>
      <c r="C182" s="139"/>
      <c r="D182" s="137" t="str">
        <f>IF(INDEX(Questoes!L:L,MATCH(C179,Questoes!J:J,0))=0,"",INDEX(Questoes!L:L,MATCH(C179,Questoes!J:J,0)))</f>
      </c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</row>
    <row r="183">
      <c r="B183" s="138"/>
      <c r="C183" s="139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</row>
    <row r="184">
      <c r="B184" s="144" t="s">
        <v>432</v>
      </c>
      <c r="C184" s="70" t="s">
        <v>424</v>
      </c>
      <c r="D184" s="70"/>
      <c r="E184" s="70"/>
      <c r="F184" s="70"/>
      <c r="G184" s="70"/>
      <c r="H184" s="70"/>
      <c r="I184" s="70"/>
      <c r="J184" s="70"/>
      <c r="K184" s="140"/>
      <c r="L184" s="67" t="str">
        <f>C184</f>
        <v>Apuração de Resultados </v>
      </c>
      <c r="M184" s="68"/>
      <c r="N184" s="68"/>
      <c r="O184" s="69"/>
      <c r="P184" s="117"/>
      <c r="Q184" s="67" t="str">
        <f>C196</f>
        <v>Critérios de Análise</v>
      </c>
      <c r="R184" s="68"/>
      <c r="S184" s="68"/>
      <c r="T184" s="68"/>
      <c r="U184" s="68"/>
      <c r="V184" s="68"/>
      <c r="W184" s="69"/>
    </row>
    <row r="185">
      <c r="C185" s="64"/>
      <c r="D185" s="64"/>
      <c r="E185" s="74" t="s">
        <v>418</v>
      </c>
      <c r="F185" s="74"/>
      <c r="G185" s="75" t="s">
        <v>419</v>
      </c>
      <c r="H185" s="75"/>
      <c r="I185" s="76" t="s">
        <v>21</v>
      </c>
      <c r="J185" s="76"/>
      <c r="L185" s="159" t="s">
        <v>422</v>
      </c>
      <c r="M185" s="106" t="n">
        <f>C179</f>
        <v>1087</v>
      </c>
      <c r="N185" s="106"/>
      <c r="O185" s="106"/>
      <c r="P185" s="117"/>
      <c r="Q185" s="107" t="str">
        <f>L185</f>
        <v>Questão</v>
      </c>
      <c r="R185" s="107"/>
      <c r="S185" s="107"/>
      <c r="T185" s="108" t="n">
        <f>M185</f>
        <v>1087</v>
      </c>
      <c r="U185" s="108"/>
      <c r="V185" s="108"/>
      <c r="W185" s="108"/>
    </row>
    <row r="186">
      <c r="C186" s="112" t="s">
        <v>425</v>
      </c>
      <c r="D186" s="112"/>
      <c r="E186" s="156" t="s">
        <v>303</v>
      </c>
      <c r="F186" s="155" t="s">
        <v>426</v>
      </c>
      <c r="G186" s="156" t="s">
        <v>303</v>
      </c>
      <c r="H186" s="155" t="s">
        <v>426</v>
      </c>
      <c r="I186" s="156" t="s">
        <v>303</v>
      </c>
      <c r="J186" s="155" t="s">
        <v>426</v>
      </c>
      <c r="K186" s="117"/>
    </row>
    <row r="187">
      <c r="C187" s="109" t="n">
        <v>2</v>
      </c>
      <c r="D187" s="109"/>
      <c r="E187" t="n">
        <f>COUNTIFS(dados[RESPOSTA],C187,dados[ID_PERGUNTA],$C$179,dados[COD_HABILITAÇÃO_CURSO],$C$4)</f>
        <v>0</v>
      </c>
      <c r="F187" s="141" t="e">
        <f t="shared" ref="F187:F192" si="40">ROUND(E187/$E$193*100,3)</f>
        <v>#DIV/0!</v>
      </c>
      <c r="G187" t="n">
        <f>COUNTIFS(dados[RESPOSTA],C187,dados[ID_PERGUNTA],$C$179,dados[COD_SETOR_CURSO],$C$5)</f>
        <v>1</v>
      </c>
      <c r="H187" s="141" t="n">
        <f t="shared" ref="H187:H192" si="41">ROUND(G187/$G$193*100,3)</f>
        <v>1.4490000000000001</v>
      </c>
      <c r="I187" t="n">
        <f>COUNTIFS(dados[RESPOSTA],C187, dados[ID_PERGUNTA],$C$179,dados[Instituição],$A$2)</f>
        <v>8</v>
      </c>
      <c r="J187" s="141" t="n">
        <f t="shared" ref="J187:J192" si="42">ROUND(I187/$I$193*100,3)</f>
        <v>1.639</v>
      </c>
      <c r="P187" s="118"/>
      <c r="V187" s="20"/>
      <c r="W187" s="20"/>
    </row>
    <row r="188">
      <c r="C188" s="77" t="n">
        <v>4</v>
      </c>
      <c r="D188" s="77"/>
      <c r="E188" t="n">
        <f>COUNTIFS(dados[RESPOSTA],C188,dados[ID_PERGUNTA],$C$179,dados[COD_HABILITAÇÃO_CURSO],$C$4)</f>
        <v>0</v>
      </c>
      <c r="F188" s="141" t="e">
        <f t="shared" si="40"/>
        <v>#DIV/0!</v>
      </c>
      <c r="G188" t="n">
        <f>COUNTIFS(dados[RESPOSTA],C188,dados[ID_PERGUNTA],$C$179,dados[COD_SETOR_CURSO],$C$5)</f>
        <v>3</v>
      </c>
      <c r="H188" s="141" t="n">
        <f t="shared" si="41"/>
        <v>4.3479999999999999</v>
      </c>
      <c r="I188" t="n">
        <f>COUNTIFS(dados[RESPOSTA],C188, dados[ID_PERGUNTA],$C$179,dados[Instituição],$A$2)</f>
        <v>7</v>
      </c>
      <c r="J188" s="141" t="n">
        <f t="shared" si="42"/>
        <v>1.4339999999999999</v>
      </c>
    </row>
    <row r="189">
      <c r="C189" s="77" t="n">
        <v>6</v>
      </c>
      <c r="D189" s="77"/>
      <c r="E189" t="n">
        <f>COUNTIFS(dados[RESPOSTA],C189,dados[ID_PERGUNTA],$C$179,dados[COD_HABILITAÇÃO_CURSO],$C$4)</f>
        <v>0</v>
      </c>
      <c r="F189" s="141" t="e">
        <f t="shared" si="40"/>
        <v>#DIV/0!</v>
      </c>
      <c r="G189" t="n">
        <f>COUNTIFS(dados[RESPOSTA],C189,dados[ID_PERGUNTA],$C$179,dados[COD_SETOR_CURSO],$C$5)</f>
        <v>2</v>
      </c>
      <c r="H189" s="141" t="n">
        <f t="shared" si="41"/>
        <v>2.899</v>
      </c>
      <c r="I189" t="n">
        <f>COUNTIFS(dados[RESPOSTA],C189, dados[ID_PERGUNTA],$C$179,dados[Instituição],$A$2)</f>
        <v>19</v>
      </c>
      <c r="J189" s="141" t="n">
        <f t="shared" si="42"/>
        <v>3.8929999999999998</v>
      </c>
    </row>
    <row r="190">
      <c r="C190" s="77" t="n">
        <v>8</v>
      </c>
      <c r="D190" s="77"/>
      <c r="E190" t="n">
        <f>COUNTIFS(dados[RESPOSTA],C190,dados[ID_PERGUNTA],$C$179,dados[COD_HABILITAÇÃO_CURSO],$C$4)</f>
        <v>0</v>
      </c>
      <c r="F190" s="141" t="e">
        <f t="shared" si="40"/>
        <v>#DIV/0!</v>
      </c>
      <c r="G190" t="n">
        <f>COUNTIFS(dados[RESPOSTA],C190,dados[ID_PERGUNTA],$C$179,dados[COD_SETOR_CURSO],$C$5)</f>
        <v>2</v>
      </c>
      <c r="H190" s="141" t="n">
        <f t="shared" si="41"/>
        <v>2.899</v>
      </c>
      <c r="I190" t="n">
        <f>COUNTIFS(dados[RESPOSTA],C190, dados[ID_PERGUNTA],$C$179,dados[Instituição],$A$2)</f>
        <v>41</v>
      </c>
      <c r="J190" s="141" t="n">
        <f t="shared" si="42"/>
        <v>8.4019999999999992</v>
      </c>
    </row>
    <row r="191">
      <c r="C191" s="77" t="n">
        <v>10</v>
      </c>
      <c r="D191" s="77"/>
      <c r="E191" t="n">
        <f>COUNTIFS(dados[RESPOSTA],C191,dados[ID_PERGUNTA],$C$179,dados[COD_HABILITAÇÃO_CURSO],$C$4)</f>
        <v>0</v>
      </c>
      <c r="F191" s="141" t="e">
        <f t="shared" si="40"/>
        <v>#DIV/0!</v>
      </c>
      <c r="G191" t="n">
        <f>COUNTIFS(dados[RESPOSTA],C191,dados[ID_PERGUNTA],$C$179,dados[COD_SETOR_CURSO],$C$5)</f>
        <v>8</v>
      </c>
      <c r="H191" s="141" t="n">
        <f t="shared" si="41"/>
        <v>11.593999999999999</v>
      </c>
      <c r="I191" t="n">
        <f>COUNTIFS(dados[RESPOSTA],C191, dados[ID_PERGUNTA],$C$179,dados[Instituição],$A$2)</f>
        <v>56</v>
      </c>
      <c r="J191" s="141" t="n">
        <f t="shared" si="42"/>
        <v>11.475</v>
      </c>
      <c r="P191" s="124"/>
      <c r="Q191" s="124"/>
      <c r="R191" s="124"/>
      <c r="S191" s="124"/>
      <c r="T191" s="124"/>
      <c r="U191" s="124"/>
      <c r="V191" s="124"/>
      <c r="W191" s="124"/>
    </row>
    <row r="192">
      <c r="C192" s="110" t="s">
        <v>55</v>
      </c>
      <c r="D192" s="110"/>
      <c r="E192" t="n">
        <f>COUNTIFS(dados[RESPOSTA],C192,dados[ID_PERGUNTA],$C$179,dados[COD_HABILITAÇÃO_CURSO],$C$4)</f>
        <v>0</v>
      </c>
      <c r="F192" s="141" t="e">
        <f t="shared" si="40"/>
        <v>#DIV/0!</v>
      </c>
      <c r="G192" t="n">
        <f>COUNTIFS(dados[RESPOSTA],C192,dados[ID_PERGUNTA],$C$179,dados[COD_SETOR_CURSO],$C$5)</f>
        <v>53</v>
      </c>
      <c r="H192" s="141" t="n">
        <f t="shared" si="41"/>
        <v>76.811999999999998</v>
      </c>
      <c r="I192" t="n">
        <f>COUNTIFS(dados[RESPOSTA],C192, dados[ID_PERGUNTA],$C$179,dados[Instituição],$A$2)</f>
        <v>357</v>
      </c>
      <c r="J192" s="141" t="n">
        <f t="shared" si="42"/>
        <v>73.156000000000006</v>
      </c>
    </row>
    <row r="193">
      <c r="C193" s="111" t="s">
        <v>313</v>
      </c>
      <c r="D193" s="111"/>
      <c r="E193" s="132" t="n">
        <f t="shared" ref="E193:J193" si="43">SUM(E187:E192)</f>
        <v>0</v>
      </c>
      <c r="F193" s="142" t="e">
        <f t="shared" si="43"/>
        <v>#DIV/0!</v>
      </c>
      <c r="G193" s="62" t="n">
        <f t="shared" si="43"/>
        <v>69</v>
      </c>
      <c r="H193" s="58" t="n">
        <f t="shared" si="43"/>
        <v>100.001</v>
      </c>
      <c r="I193" s="62" t="n">
        <f t="shared" si="43"/>
        <v>488</v>
      </c>
      <c r="J193" s="58" t="n">
        <f t="shared" si="43"/>
        <v>99.998999999999995</v>
      </c>
    </row>
    <row r="196">
      <c r="C196" s="70" t="s">
        <v>427</v>
      </c>
      <c r="D196" s="70"/>
      <c r="E196" s="70"/>
      <c r="F196" s="70"/>
      <c r="G196" s="70"/>
      <c r="H196" s="70"/>
      <c r="I196" s="70"/>
      <c r="J196" s="70"/>
    </row>
    <row r="197">
      <c r="C197" s="56"/>
      <c r="D197" s="56"/>
      <c r="E197" s="71" t="s">
        <v>418</v>
      </c>
      <c r="F197" s="71"/>
      <c r="G197" s="72" t="s">
        <v>419</v>
      </c>
      <c r="H197" s="72"/>
      <c r="I197" s="73" t="s">
        <v>21</v>
      </c>
      <c r="J197" s="73"/>
      <c r="N197" s="124"/>
      <c r="O197" s="129"/>
    </row>
    <row r="198">
      <c r="C198" s="136" t="s">
        <v>428</v>
      </c>
      <c r="D198" s="136" t="s">
        <v>429</v>
      </c>
      <c r="E198" s="156" t="s">
        <v>303</v>
      </c>
      <c r="F198" s="155" t="s">
        <v>426</v>
      </c>
      <c r="G198" s="156" t="s">
        <v>303</v>
      </c>
      <c r="H198" s="155" t="s">
        <v>426</v>
      </c>
      <c r="I198" s="156" t="s">
        <v>303</v>
      </c>
      <c r="J198" s="155" t="s">
        <v>426</v>
      </c>
      <c r="N198" s="124"/>
    </row>
    <row r="199">
      <c r="C199" s="119" t="s">
        <v>401</v>
      </c>
      <c r="D199" s="41" t="s">
        <v>409</v>
      </c>
      <c r="E199" s="12" t="n">
        <f>E187+E188</f>
        <v>0</v>
      </c>
      <c r="F199" s="141" t="e">
        <f>SUM(F187+F188)</f>
        <v>#DIV/0!</v>
      </c>
      <c r="G199" s="12" t="n">
        <f>G187+G188</f>
        <v>4</v>
      </c>
      <c r="H199" s="141" t="n">
        <f>SUM(H187+H188)</f>
        <v>5.7969999999999997</v>
      </c>
      <c r="I199" s="12" t="n">
        <f>I187+I188</f>
        <v>15</v>
      </c>
      <c r="J199" s="141" t="n">
        <f>SUM(J187+J188)</f>
        <v>3.073</v>
      </c>
      <c r="N199" s="124"/>
    </row>
    <row r="200">
      <c r="C200" s="120" t="s">
        <v>402</v>
      </c>
      <c r="D200" s="41" t="s">
        <v>55</v>
      </c>
      <c r="E200" s="12" t="n">
        <f t="shared" ref="E200:J200" si="44">E192</f>
        <v>0</v>
      </c>
      <c r="F200" s="141" t="e">
        <f t="shared" si="44"/>
        <v>#DIV/0!</v>
      </c>
      <c r="G200" s="12" t="n">
        <f t="shared" si="44"/>
        <v>53</v>
      </c>
      <c r="H200" s="141" t="n">
        <f t="shared" si="44"/>
        <v>76.811999999999998</v>
      </c>
      <c r="I200" s="12" t="n">
        <f t="shared" si="44"/>
        <v>357</v>
      </c>
      <c r="J200" s="141" t="n">
        <f t="shared" si="44"/>
        <v>73.156000000000006</v>
      </c>
      <c r="N200" s="124"/>
    </row>
    <row r="201">
      <c r="C201" s="121" t="s">
        <v>403</v>
      </c>
      <c r="D201" s="41" t="n">
        <v>6</v>
      </c>
      <c r="E201" s="12" t="n">
        <f t="shared" ref="E201:J201" si="45">E189</f>
        <v>0</v>
      </c>
      <c r="F201" s="141" t="e">
        <f t="shared" si="45"/>
        <v>#DIV/0!</v>
      </c>
      <c r="G201" s="12" t="n">
        <f t="shared" si="45"/>
        <v>2</v>
      </c>
      <c r="H201" s="141" t="n">
        <f t="shared" si="45"/>
        <v>2.899</v>
      </c>
      <c r="I201" s="12" t="n">
        <f t="shared" si="45"/>
        <v>19</v>
      </c>
      <c r="J201" s="141" t="n">
        <f t="shared" si="45"/>
        <v>3.8929999999999998</v>
      </c>
      <c r="N201" s="124"/>
    </row>
    <row r="202">
      <c r="C202" s="122" t="s">
        <v>404</v>
      </c>
      <c r="D202" s="41" t="s">
        <v>410</v>
      </c>
      <c r="E202" s="147" t="n">
        <f t="shared" ref="E202:J202" si="46">E190+E191</f>
        <v>0</v>
      </c>
      <c r="F202" s="141" t="e">
        <f t="shared" si="46"/>
        <v>#DIV/0!</v>
      </c>
      <c r="G202" s="147" t="n">
        <f t="shared" si="46"/>
        <v>10</v>
      </c>
      <c r="H202" s="141" t="n">
        <f t="shared" si="46"/>
        <v>14.492999999999999</v>
      </c>
      <c r="I202" s="147" t="n">
        <f t="shared" si="46"/>
        <v>97</v>
      </c>
      <c r="J202" s="141" t="n">
        <f t="shared" si="46"/>
        <v>19.876999999999999</v>
      </c>
      <c r="N202" s="124"/>
    </row>
    <row r="203">
      <c r="C203" s="132"/>
      <c r="D203" s="132" t="s">
        <v>313</v>
      </c>
      <c r="E203" s="132" t="n">
        <f t="shared" ref="E203:J203" si="47">SUM(E199:E202)</f>
        <v>0</v>
      </c>
      <c r="F203" s="142" t="e">
        <f t="shared" si="47"/>
        <v>#DIV/0!</v>
      </c>
      <c r="G203" s="132" t="n">
        <f t="shared" si="47"/>
        <v>69</v>
      </c>
      <c r="H203" s="142" t="n">
        <f t="shared" si="47"/>
        <v>100.00099999999999</v>
      </c>
      <c r="I203" s="132" t="n">
        <f t="shared" si="47"/>
        <v>488</v>
      </c>
      <c r="J203" s="142" t="n">
        <f t="shared" si="47"/>
        <v>99.998999999999995</v>
      </c>
      <c r="L203" s="77"/>
      <c r="M203" s="77"/>
      <c r="N203" s="124"/>
    </row>
    <row r="204">
      <c r="L204" s="77"/>
      <c r="M204" s="77"/>
      <c r="N204" s="124"/>
    </row>
    <row r="205">
      <c r="B205" s="178"/>
      <c r="N205" s="124"/>
    </row>
    <row r="206">
      <c r="B206" s="165"/>
      <c r="C206" s="166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</row>
    <row r="208">
      <c r="B208" s="66" t="s">
        <v>421</v>
      </c>
      <c r="C208" s="80" t="n">
        <f>INDEX(Questoes!A:A,MATCH(C212,Questoes!J:J,0))</f>
        <v>37</v>
      </c>
      <c r="D208" s="83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</row>
    <row r="209">
      <c r="B209" s="66"/>
      <c r="C209" s="80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</row>
    <row r="210">
      <c r="B210" s="66"/>
      <c r="C210" s="80"/>
      <c r="D210" s="84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>
      <c r="D211" s="82" t="str">
        <f>IF(INDEX(Questoes!I:I,MATCH(C212,Questoes!J:J,FALSE))=0,"",INDEX(Questoes!I:I,MATCH(C212,Questoes!J:J,FALSE)))</f>
      </c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</row>
    <row r="212">
      <c r="B212" s="79" t="s">
        <v>422</v>
      </c>
      <c r="C212" s="80" t="n">
        <v>1088</v>
      </c>
      <c r="D212" s="81" t="str">
        <f>VLOOKUP(C212, Questoes!J:K,2, 0)</f>
        <v>Unidade de estágio da PROGRAD</v>
      </c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</row>
    <row r="213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</row>
    <row r="214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</row>
    <row r="215">
      <c r="B215" s="138"/>
      <c r="C215" s="139"/>
      <c r="D215" s="137" t="str">
        <f>IF(INDEX(Questoes!L:L,MATCH(C212,Questoes!J:J,0))=0,"",INDEX(Questoes!L:L,MATCH(C212,Questoes!J:J,0)))</f>
      </c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</row>
    <row r="216">
      <c r="B216" s="138"/>
      <c r="C216" s="139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</row>
    <row r="217">
      <c r="B217" s="144" t="s">
        <v>432</v>
      </c>
      <c r="C217" s="70" t="s">
        <v>424</v>
      </c>
      <c r="D217" s="70"/>
      <c r="E217" s="70"/>
      <c r="F217" s="70"/>
      <c r="G217" s="70"/>
      <c r="H217" s="70"/>
      <c r="I217" s="70"/>
      <c r="J217" s="70"/>
      <c r="K217" s="140"/>
      <c r="L217" s="67" t="str">
        <f>C217</f>
        <v>Apuração de Resultados </v>
      </c>
      <c r="M217" s="68"/>
      <c r="N217" s="68"/>
      <c r="O217" s="69"/>
      <c r="P217" s="117"/>
      <c r="Q217" s="67" t="str">
        <f>C229</f>
        <v>Critérios de Análise</v>
      </c>
      <c r="R217" s="68"/>
      <c r="S217" s="68"/>
      <c r="T217" s="68"/>
      <c r="U217" s="68"/>
      <c r="V217" s="68"/>
      <c r="W217" s="69"/>
    </row>
    <row r="218">
      <c r="C218" s="64"/>
      <c r="D218" s="64"/>
      <c r="E218" s="74" t="s">
        <v>418</v>
      </c>
      <c r="F218" s="74"/>
      <c r="G218" s="75" t="s">
        <v>419</v>
      </c>
      <c r="H218" s="75"/>
      <c r="I218" s="76" t="s">
        <v>21</v>
      </c>
      <c r="J218" s="76"/>
      <c r="L218" s="159" t="s">
        <v>422</v>
      </c>
      <c r="M218" s="106" t="n">
        <f>C212</f>
        <v>1088</v>
      </c>
      <c r="N218" s="106"/>
      <c r="O218" s="106"/>
      <c r="P218" s="117"/>
      <c r="Q218" s="107" t="str">
        <f>L218</f>
        <v>Questão</v>
      </c>
      <c r="R218" s="107"/>
      <c r="S218" s="107"/>
      <c r="T218" s="108" t="n">
        <f>M218</f>
        <v>1088</v>
      </c>
      <c r="U218" s="108"/>
      <c r="V218" s="108"/>
      <c r="W218" s="108"/>
    </row>
    <row r="219">
      <c r="C219" s="112" t="s">
        <v>425</v>
      </c>
      <c r="D219" s="112"/>
      <c r="E219" s="156" t="s">
        <v>303</v>
      </c>
      <c r="F219" s="155" t="s">
        <v>426</v>
      </c>
      <c r="G219" s="156" t="s">
        <v>303</v>
      </c>
      <c r="H219" s="155" t="s">
        <v>426</v>
      </c>
      <c r="I219" s="156" t="s">
        <v>303</v>
      </c>
      <c r="J219" s="155" t="s">
        <v>426</v>
      </c>
      <c r="K219" s="117"/>
    </row>
    <row r="220">
      <c r="C220" s="109" t="n">
        <v>2</v>
      </c>
      <c r="D220" s="109"/>
      <c r="E220" t="n">
        <f>COUNTIFS(dados[RESPOSTA],C220,dados[ID_PERGUNTA],$C$212,dados[COD_HABILITAÇÃO_CURSO],$C$4)</f>
        <v>0</v>
      </c>
      <c r="F220" s="141" t="n">
        <f t="shared" ref="F220:F225" si="48">ROUND(E220/E$226*100,3)</f>
        <v>0</v>
      </c>
      <c r="G220" t="n">
        <f>COUNTIFS(dados[RESPOSTA],C220,dados[ID_PERGUNTA],$C$212,dados[COD_SETOR_CURSO],$C$5)</f>
        <v>1</v>
      </c>
      <c r="H220" s="141" t="n">
        <f t="shared" ref="H220:H225" si="49">ROUND(G220/G$226*100,3)</f>
        <v>1.4490000000000001</v>
      </c>
      <c r="I220" t="n">
        <f>COUNTIFS(dados[RESPOSTA],C220, dados[ID_PERGUNTA],$C$212,dados[Instituição],$A$2)</f>
        <v>9</v>
      </c>
      <c r="J220" s="141" t="n">
        <f t="shared" ref="J220:J225" si="50">ROUND(I220/I$226*100,3)</f>
        <v>1.8560000000000001</v>
      </c>
      <c r="P220" s="118"/>
      <c r="V220" s="20"/>
      <c r="W220" s="20"/>
    </row>
    <row r="221">
      <c r="C221" s="77" t="n">
        <v>4</v>
      </c>
      <c r="D221" s="77"/>
      <c r="E221" t="n">
        <f>COUNTIFS(dados[RESPOSTA],C221,dados[ID_PERGUNTA],$C$212,dados[COD_HABILITAÇÃO_CURSO],$C$4)</f>
        <v>0</v>
      </c>
      <c r="F221" s="141" t="n">
        <f t="shared" si="48"/>
        <v>0</v>
      </c>
      <c r="G221" t="n">
        <f>COUNTIFS(dados[RESPOSTA],C221,dados[ID_PERGUNTA],$C$212,dados[COD_SETOR_CURSO],$C$5)</f>
        <v>4</v>
      </c>
      <c r="H221" s="141" t="n">
        <f t="shared" si="49"/>
        <v>5.7969999999999997</v>
      </c>
      <c r="I221" t="n">
        <f>COUNTIFS(dados[RESPOSTA],C221, dados[ID_PERGUNTA],$C$212,dados[Instituição],$A$2)</f>
        <v>14</v>
      </c>
      <c r="J221" s="141" t="n">
        <f t="shared" si="50"/>
        <v>2.887</v>
      </c>
    </row>
    <row r="222">
      <c r="C222" s="77" t="n">
        <v>6</v>
      </c>
      <c r="D222" s="77"/>
      <c r="E222" t="n">
        <f>COUNTIFS(dados[RESPOSTA],C222,dados[ID_PERGUNTA],$C$212,dados[COD_HABILITAÇÃO_CURSO],$C$4)</f>
        <v>0</v>
      </c>
      <c r="F222" s="141" t="n">
        <f t="shared" si="48"/>
        <v>0</v>
      </c>
      <c r="G222" t="n">
        <f>COUNTIFS(dados[RESPOSTA],C222,dados[ID_PERGUNTA],$C$212,dados[COD_SETOR_CURSO],$C$5)</f>
        <v>3</v>
      </c>
      <c r="H222" s="141" t="n">
        <f t="shared" si="49"/>
        <v>4.3479999999999999</v>
      </c>
      <c r="I222" t="n">
        <f>COUNTIFS(dados[RESPOSTA],C222, dados[ID_PERGUNTA],$C$212,dados[Instituição],$A$2)</f>
        <v>29</v>
      </c>
      <c r="J222" s="141" t="n">
        <f t="shared" si="50"/>
        <v>5.9790000000000001</v>
      </c>
    </row>
    <row r="223">
      <c r="C223" s="77" t="n">
        <v>8</v>
      </c>
      <c r="D223" s="77"/>
      <c r="E223" t="n">
        <f>COUNTIFS(dados[RESPOSTA],C223,dados[ID_PERGUNTA],$C$212,dados[COD_HABILITAÇÃO_CURSO],$C$4)</f>
        <v>0</v>
      </c>
      <c r="F223" s="141" t="n">
        <f t="shared" si="48"/>
        <v>0</v>
      </c>
      <c r="G223" t="n">
        <f>COUNTIFS(dados[RESPOSTA],C223,dados[ID_PERGUNTA],$C$212,dados[COD_SETOR_CURSO],$C$5)</f>
        <v>4</v>
      </c>
      <c r="H223" s="141" t="n">
        <f t="shared" si="49"/>
        <v>5.7969999999999997</v>
      </c>
      <c r="I223" t="n">
        <f>COUNTIFS(dados[RESPOSTA],C223, dados[ID_PERGUNTA],$C$212,dados[Instituição],$A$2)</f>
        <v>51</v>
      </c>
      <c r="J223" s="141" t="n">
        <f t="shared" si="50"/>
        <v>10.515000000000001</v>
      </c>
    </row>
    <row r="224">
      <c r="C224" s="77" t="n">
        <v>10</v>
      </c>
      <c r="D224" s="77"/>
      <c r="E224" t="n">
        <f>COUNTIFS(dados[RESPOSTA],C224,dados[ID_PERGUNTA],$C$212,dados[COD_HABILITAÇÃO_CURSO],$C$4)</f>
        <v>1</v>
      </c>
      <c r="F224" s="141" t="n">
        <f t="shared" si="48"/>
        <v>100</v>
      </c>
      <c r="G224" t="n">
        <f>COUNTIFS(dados[RESPOSTA],C224,dados[ID_PERGUNTA],$C$212,dados[COD_SETOR_CURSO],$C$5)</f>
        <v>7</v>
      </c>
      <c r="H224" s="141" t="n">
        <f t="shared" si="49"/>
        <v>10.145</v>
      </c>
      <c r="I224" t="n">
        <f>COUNTIFS(dados[RESPOSTA],C224, dados[ID_PERGUNTA],$C$212,dados[Instituição],$A$2)</f>
        <v>61</v>
      </c>
      <c r="J224" s="141" t="n">
        <f t="shared" si="50"/>
        <v>12.577</v>
      </c>
      <c r="P224" s="124"/>
      <c r="Q224" s="124"/>
      <c r="R224" s="124"/>
      <c r="S224" s="124"/>
      <c r="T224" s="124"/>
      <c r="U224" s="124"/>
      <c r="V224" s="124"/>
      <c r="W224" s="124"/>
    </row>
    <row r="225">
      <c r="C225" s="110" t="s">
        <v>55</v>
      </c>
      <c r="D225" s="110"/>
      <c r="E225" t="n">
        <f>COUNTIFS(dados[RESPOSTA],C225,dados[ID_PERGUNTA],$C$212,dados[COD_HABILITAÇÃO_CURSO],$C$4)</f>
        <v>0</v>
      </c>
      <c r="F225" s="141" t="n">
        <f t="shared" si="48"/>
        <v>0</v>
      </c>
      <c r="G225" t="n">
        <f>COUNTIFS(dados[RESPOSTA],C225,dados[ID_PERGUNTA],$C$212,dados[COD_SETOR_CURSO],$C$5)</f>
        <v>50</v>
      </c>
      <c r="H225" s="141" t="n">
        <f t="shared" si="49"/>
        <v>72.463999999999999</v>
      </c>
      <c r="I225" t="n">
        <f>COUNTIFS(dados[RESPOSTA],C225, dados[ID_PERGUNTA],$C$212,dados[Instituição],$A$2)</f>
        <v>321</v>
      </c>
      <c r="J225" s="141" t="n">
        <f t="shared" si="50"/>
        <v>66.186000000000007</v>
      </c>
    </row>
    <row r="226">
      <c r="C226" s="111" t="s">
        <v>313</v>
      </c>
      <c r="D226" s="111"/>
      <c r="E226" s="132" t="n">
        <f t="shared" ref="E226:J226" si="51">SUM(E220:E225)</f>
        <v>1</v>
      </c>
      <c r="F226" s="142" t="n">
        <f t="shared" si="51"/>
        <v>100</v>
      </c>
      <c r="G226" s="62" t="n">
        <f t="shared" si="51"/>
        <v>69</v>
      </c>
      <c r="H226" s="58" t="n">
        <f t="shared" si="51"/>
        <v>100</v>
      </c>
      <c r="I226" s="62" t="n">
        <f t="shared" si="51"/>
        <v>485</v>
      </c>
      <c r="J226" s="58" t="n">
        <f t="shared" si="51"/>
        <v>100</v>
      </c>
    </row>
    <row r="229">
      <c r="C229" s="70" t="s">
        <v>427</v>
      </c>
      <c r="D229" s="70"/>
      <c r="E229" s="70"/>
      <c r="F229" s="70"/>
      <c r="G229" s="70"/>
      <c r="H229" s="70"/>
      <c r="I229" s="70"/>
      <c r="J229" s="70"/>
    </row>
    <row r="230">
      <c r="C230" s="56"/>
      <c r="D230" s="56"/>
      <c r="E230" s="71" t="s">
        <v>418</v>
      </c>
      <c r="F230" s="71"/>
      <c r="G230" s="72" t="s">
        <v>419</v>
      </c>
      <c r="H230" s="72"/>
      <c r="I230" s="73" t="s">
        <v>21</v>
      </c>
      <c r="J230" s="73"/>
      <c r="N230" s="124"/>
      <c r="O230" s="129"/>
    </row>
    <row r="231">
      <c r="C231" s="136" t="s">
        <v>428</v>
      </c>
      <c r="D231" s="136" t="s">
        <v>429</v>
      </c>
      <c r="E231" s="156" t="s">
        <v>303</v>
      </c>
      <c r="F231" s="155" t="s">
        <v>426</v>
      </c>
      <c r="G231" s="156" t="s">
        <v>303</v>
      </c>
      <c r="H231" s="155" t="s">
        <v>426</v>
      </c>
      <c r="I231" s="156" t="s">
        <v>303</v>
      </c>
      <c r="J231" s="155" t="s">
        <v>426</v>
      </c>
      <c r="N231" s="124"/>
    </row>
    <row r="232">
      <c r="C232" s="119" t="s">
        <v>401</v>
      </c>
      <c r="D232" s="41" t="s">
        <v>409</v>
      </c>
      <c r="E232" s="12" t="n">
        <f>E220+E221</f>
        <v>0</v>
      </c>
      <c r="F232" s="141" t="n">
        <f>SUM(F220+F221)</f>
        <v>0</v>
      </c>
      <c r="G232" s="12" t="n">
        <f>G220+G221</f>
        <v>5</v>
      </c>
      <c r="H232" s="141" t="n">
        <f>SUM(H220+H221)</f>
        <v>7.2459999999999996</v>
      </c>
      <c r="I232" s="12" t="n">
        <f>I220+I221</f>
        <v>23</v>
      </c>
      <c r="J232" s="141" t="n">
        <f>SUM(J220+J221)</f>
        <v>4.7430000000000003</v>
      </c>
      <c r="N232" s="124"/>
    </row>
    <row r="233">
      <c r="C233" s="120" t="s">
        <v>402</v>
      </c>
      <c r="D233" s="41" t="s">
        <v>55</v>
      </c>
      <c r="E233" s="12" t="n">
        <f t="shared" ref="E233:J233" si="52">E225</f>
        <v>0</v>
      </c>
      <c r="F233" s="141" t="n">
        <f t="shared" si="52"/>
        <v>0</v>
      </c>
      <c r="G233" s="12" t="n">
        <f t="shared" si="52"/>
        <v>50</v>
      </c>
      <c r="H233" s="141" t="n">
        <f t="shared" si="52"/>
        <v>72.463999999999999</v>
      </c>
      <c r="I233" s="12" t="n">
        <f t="shared" si="52"/>
        <v>321</v>
      </c>
      <c r="J233" s="141" t="n">
        <f t="shared" si="52"/>
        <v>66.186000000000007</v>
      </c>
      <c r="N233" s="124"/>
    </row>
    <row r="234">
      <c r="C234" s="121" t="s">
        <v>403</v>
      </c>
      <c r="D234" s="41" t="n">
        <v>6</v>
      </c>
      <c r="E234" s="12" t="n">
        <f t="shared" ref="E234:J234" si="53">E222</f>
        <v>0</v>
      </c>
      <c r="F234" s="141" t="n">
        <f t="shared" si="53"/>
        <v>0</v>
      </c>
      <c r="G234" s="12" t="n">
        <f t="shared" si="53"/>
        <v>3</v>
      </c>
      <c r="H234" s="141" t="n">
        <f t="shared" si="53"/>
        <v>4.3479999999999999</v>
      </c>
      <c r="I234" s="12" t="n">
        <f t="shared" si="53"/>
        <v>29</v>
      </c>
      <c r="J234" s="141" t="n">
        <f t="shared" si="53"/>
        <v>5.9790000000000001</v>
      </c>
      <c r="N234" s="124"/>
    </row>
    <row r="235">
      <c r="C235" s="122" t="s">
        <v>404</v>
      </c>
      <c r="D235" s="41" t="s">
        <v>410</v>
      </c>
      <c r="E235" s="147" t="n">
        <f t="shared" ref="E235:J235" si="54">E223+E224</f>
        <v>1</v>
      </c>
      <c r="F235" s="141" t="n">
        <f t="shared" si="54"/>
        <v>100</v>
      </c>
      <c r="G235" s="147" t="n">
        <f t="shared" si="54"/>
        <v>11</v>
      </c>
      <c r="H235" s="141" t="n">
        <f t="shared" si="54"/>
        <v>15.942</v>
      </c>
      <c r="I235" s="147" t="n">
        <f t="shared" si="54"/>
        <v>112</v>
      </c>
      <c r="J235" s="141" t="n">
        <f t="shared" si="54"/>
        <v>23.091999999999999</v>
      </c>
      <c r="N235" s="124"/>
    </row>
    <row r="236">
      <c r="C236" s="132"/>
      <c r="D236" s="132" t="s">
        <v>313</v>
      </c>
      <c r="E236" s="132" t="n">
        <f t="shared" ref="E236:J236" si="55">SUM(E232:E235)</f>
        <v>1</v>
      </c>
      <c r="F236" s="142" t="n">
        <f t="shared" si="55"/>
        <v>100</v>
      </c>
      <c r="G236" s="132" t="n">
        <f t="shared" si="55"/>
        <v>69</v>
      </c>
      <c r="H236" s="142" t="n">
        <f t="shared" si="55"/>
        <v>100</v>
      </c>
      <c r="I236" s="132" t="n">
        <f t="shared" si="55"/>
        <v>485</v>
      </c>
      <c r="J236" s="142" t="n">
        <f t="shared" si="55"/>
        <v>100</v>
      </c>
      <c r="L236" s="77"/>
      <c r="M236" s="77"/>
      <c r="N236" s="124"/>
    </row>
    <row r="237">
      <c r="L237" s="77"/>
      <c r="M237" s="77"/>
      <c r="N237" s="124"/>
    </row>
    <row r="238">
      <c r="B238" s="178"/>
      <c r="N238" s="124"/>
    </row>
    <row r="239">
      <c r="B239" s="165"/>
      <c r="C239" s="166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</row>
    <row r="241">
      <c r="B241" s="66" t="s">
        <v>421</v>
      </c>
      <c r="C241" s="80" t="n">
        <f>INDEX(Questoes!A:A,MATCH(C245,Questoes!J:J,0))</f>
        <v>38</v>
      </c>
      <c r="D241" s="83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</row>
    <row r="242">
      <c r="B242" s="66"/>
      <c r="C242" s="80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</row>
    <row r="243">
      <c r="B243" s="66"/>
      <c r="C243" s="80"/>
      <c r="D243" s="84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</row>
    <row r="244">
      <c r="D244" s="82" t="str">
        <f>IF(INDEX(Questoes!I:I,MATCH(C245,Questoes!J:J,FALSE))=0,"",INDEX(Questoes!I:I,MATCH(C245,Questoes!J:J,FALSE)))</f>
      </c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</row>
    <row r="245">
      <c r="B245" s="79" t="s">
        <v>422</v>
      </c>
      <c r="C245" s="80" t="n">
        <v>1089</v>
      </c>
      <c r="D245" s="81" t="str">
        <f>VLOOKUP(C245, Questoes!J:K,2, 0)</f>
        <v>Unidade da extensão da PROEC</v>
      </c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</row>
    <row r="246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</row>
    <row r="247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</row>
    <row r="248">
      <c r="B248" s="138"/>
      <c r="C248" s="139"/>
      <c r="D248" s="137" t="str">
        <f>IF(INDEX(Questoes!L:L,MATCH(C245,Questoes!J:J,0))=0,"",INDEX(Questoes!L:L,MATCH(C245,Questoes!J:J,0)))</f>
      </c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</row>
    <row r="249">
      <c r="B249" s="138"/>
      <c r="C249" s="139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</row>
    <row r="250">
      <c r="B250" s="144" t="s">
        <v>432</v>
      </c>
      <c r="C250" s="70" t="s">
        <v>424</v>
      </c>
      <c r="D250" s="70"/>
      <c r="E250" s="70"/>
      <c r="F250" s="70"/>
      <c r="G250" s="70"/>
      <c r="H250" s="70"/>
      <c r="I250" s="70"/>
      <c r="J250" s="70"/>
      <c r="K250" s="140"/>
      <c r="L250" s="67" t="str">
        <f>C250</f>
        <v>Apuração de Resultados </v>
      </c>
      <c r="M250" s="68"/>
      <c r="N250" s="68"/>
      <c r="O250" s="69"/>
      <c r="P250" s="117"/>
      <c r="Q250" s="67" t="str">
        <f>C262</f>
        <v>Critérios de Análise</v>
      </c>
      <c r="R250" s="68"/>
      <c r="S250" s="68"/>
      <c r="T250" s="68"/>
      <c r="U250" s="68"/>
      <c r="V250" s="68"/>
      <c r="W250" s="69"/>
    </row>
    <row r="251">
      <c r="C251" s="64"/>
      <c r="D251" s="64"/>
      <c r="E251" s="74" t="s">
        <v>418</v>
      </c>
      <c r="F251" s="74"/>
      <c r="G251" s="75" t="s">
        <v>419</v>
      </c>
      <c r="H251" s="75"/>
      <c r="I251" s="76" t="s">
        <v>21</v>
      </c>
      <c r="J251" s="76"/>
      <c r="L251" s="159" t="s">
        <v>422</v>
      </c>
      <c r="M251" s="106" t="n">
        <f>C245</f>
        <v>1089</v>
      </c>
      <c r="N251" s="106"/>
      <c r="O251" s="106"/>
      <c r="P251" s="117"/>
      <c r="Q251" s="107" t="str">
        <f>L251</f>
        <v>Questão</v>
      </c>
      <c r="R251" s="107"/>
      <c r="S251" s="107"/>
      <c r="T251" s="108" t="n">
        <f>M251</f>
        <v>1089</v>
      </c>
      <c r="U251" s="108"/>
      <c r="V251" s="108"/>
      <c r="W251" s="108"/>
    </row>
    <row r="252">
      <c r="C252" s="112" t="s">
        <v>425</v>
      </c>
      <c r="D252" s="112"/>
      <c r="E252" s="156" t="s">
        <v>303</v>
      </c>
      <c r="F252" s="155" t="s">
        <v>426</v>
      </c>
      <c r="G252" s="156" t="s">
        <v>303</v>
      </c>
      <c r="H252" s="155" t="s">
        <v>426</v>
      </c>
      <c r="I252" s="156" t="s">
        <v>303</v>
      </c>
      <c r="J252" s="155" t="s">
        <v>426</v>
      </c>
      <c r="K252" s="117"/>
    </row>
    <row r="253">
      <c r="C253" s="109" t="n">
        <v>2</v>
      </c>
      <c r="D253" s="109"/>
      <c r="E253" t="n">
        <f>COUNTIFS(dados[RESPOSTA],C253,dados[ID_PERGUNTA],$C$245,dados[COD_HABILITAÇÃO_CURSO],$C$4)</f>
        <v>0</v>
      </c>
      <c r="F253" s="141" t="e">
        <f t="shared" ref="F253:F258" si="56">ROUND(E253/$E$259*100,3)</f>
        <v>#DIV/0!</v>
      </c>
      <c r="G253" t="n">
        <f>COUNTIFS(dados[RESPOSTA],C253,dados[ID_PERGUNTA],$C$245,dados[COD_SETOR_CURSO],$C$5)</f>
        <v>0</v>
      </c>
      <c r="H253" s="141" t="n">
        <f t="shared" ref="H253:H258" si="57">ROUND(G253/$G$259*100,3)</f>
        <v>0</v>
      </c>
      <c r="I253" t="n">
        <f>COUNTIFS(dados[RESPOSTA],C253, dados[ID_PERGUNTA],$C$245,dados[Instituição],$A$2)</f>
        <v>2</v>
      </c>
      <c r="J253" s="141" t="n">
        <f t="shared" ref="J253:J258" si="58">ROUND(I253/$I$259*100,3)</f>
        <v>0.41099999999999998</v>
      </c>
      <c r="P253" s="118"/>
      <c r="V253" s="20"/>
      <c r="W253" s="20"/>
    </row>
    <row r="254">
      <c r="C254" s="77" t="n">
        <v>4</v>
      </c>
      <c r="D254" s="77"/>
      <c r="E254" t="n">
        <f>COUNTIFS(dados[RESPOSTA],C254,dados[ID_PERGUNTA],$C$245,dados[COD_HABILITAÇÃO_CURSO],$C$4)</f>
        <v>0</v>
      </c>
      <c r="F254" s="141" t="e">
        <f t="shared" si="56"/>
        <v>#DIV/0!</v>
      </c>
      <c r="G254" t="n">
        <f>COUNTIFS(dados[RESPOSTA],C254,dados[ID_PERGUNTA],$C$245,dados[COD_SETOR_CURSO],$C$5)</f>
        <v>1</v>
      </c>
      <c r="H254" s="141" t="n">
        <f t="shared" si="57"/>
        <v>1.4490000000000001</v>
      </c>
      <c r="I254" t="n">
        <f>COUNTIFS(dados[RESPOSTA],C254, dados[ID_PERGUNTA],$C$245,dados[Instituição],$A$2)</f>
        <v>5</v>
      </c>
      <c r="J254" s="141" t="n">
        <f t="shared" si="58"/>
        <v>1.0269999999999999</v>
      </c>
    </row>
    <row r="255">
      <c r="C255" s="77" t="n">
        <v>6</v>
      </c>
      <c r="D255" s="77"/>
      <c r="E255" t="n">
        <f>COUNTIFS(dados[RESPOSTA],C255,dados[ID_PERGUNTA],$C$245,dados[COD_HABILITAÇÃO_CURSO],$C$4)</f>
        <v>0</v>
      </c>
      <c r="F255" s="141" t="e">
        <f t="shared" si="56"/>
        <v>#DIV/0!</v>
      </c>
      <c r="G255" t="n">
        <f>COUNTIFS(dados[RESPOSTA],C255,dados[ID_PERGUNTA],$C$245,dados[COD_SETOR_CURSO],$C$5)</f>
        <v>2</v>
      </c>
      <c r="H255" s="141" t="n">
        <f t="shared" si="57"/>
        <v>2.899</v>
      </c>
      <c r="I255" t="n">
        <f>COUNTIFS(dados[RESPOSTA],C255, dados[ID_PERGUNTA],$C$245,dados[Instituição],$A$2)</f>
        <v>17</v>
      </c>
      <c r="J255" s="141" t="n">
        <f t="shared" si="58"/>
        <v>3.4910000000000001</v>
      </c>
    </row>
    <row r="256">
      <c r="C256" s="77" t="n">
        <v>8</v>
      </c>
      <c r="D256" s="77"/>
      <c r="E256" t="n">
        <f>COUNTIFS(dados[RESPOSTA],C256,dados[ID_PERGUNTA],$C$245,dados[COD_HABILITAÇÃO_CURSO],$C$4)</f>
        <v>0</v>
      </c>
      <c r="F256" s="141" t="e">
        <f t="shared" si="56"/>
        <v>#DIV/0!</v>
      </c>
      <c r="G256" t="n">
        <f>COUNTIFS(dados[RESPOSTA],C256,dados[ID_PERGUNTA],$C$245,dados[COD_SETOR_CURSO],$C$5)</f>
        <v>8</v>
      </c>
      <c r="H256" s="141" t="n">
        <f t="shared" si="57"/>
        <v>11.593999999999999</v>
      </c>
      <c r="I256" t="n">
        <f>COUNTIFS(dados[RESPOSTA],C256, dados[ID_PERGUNTA],$C$245,dados[Instituição],$A$2)</f>
        <v>40</v>
      </c>
      <c r="J256" s="141" t="n">
        <f t="shared" si="58"/>
        <v>8.2140000000000004</v>
      </c>
    </row>
    <row r="257">
      <c r="C257" s="77" t="n">
        <v>10</v>
      </c>
      <c r="D257" s="77"/>
      <c r="E257" t="n">
        <f>COUNTIFS(dados[RESPOSTA],C257,dados[ID_PERGUNTA],$C$245,dados[COD_HABILITAÇÃO_CURSO],$C$4)</f>
        <v>0</v>
      </c>
      <c r="F257" s="141" t="e">
        <f t="shared" si="56"/>
        <v>#DIV/0!</v>
      </c>
      <c r="G257" t="n">
        <f>COUNTIFS(dados[RESPOSTA],C257,dados[ID_PERGUNTA],$C$245,dados[COD_SETOR_CURSO],$C$5)</f>
        <v>5</v>
      </c>
      <c r="H257" s="141" t="n">
        <f t="shared" si="57"/>
        <v>7.2460000000000004</v>
      </c>
      <c r="I257" t="n">
        <f>COUNTIFS(dados[RESPOSTA],C257, dados[ID_PERGUNTA],$C$245,dados[Instituição],$A$2)</f>
        <v>40</v>
      </c>
      <c r="J257" s="141" t="n">
        <f t="shared" si="58"/>
        <v>8.2140000000000004</v>
      </c>
      <c r="P257" s="124"/>
      <c r="Q257" s="124"/>
      <c r="R257" s="124"/>
      <c r="S257" s="124"/>
      <c r="T257" s="124"/>
      <c r="U257" s="124"/>
      <c r="V257" s="124"/>
      <c r="W257" s="124"/>
    </row>
    <row r="258">
      <c r="C258" s="110" t="s">
        <v>55</v>
      </c>
      <c r="D258" s="110"/>
      <c r="E258" t="n">
        <f>COUNTIFS(dados[RESPOSTA],C258,dados[ID_PERGUNTA],$C$245,dados[COD_HABILITAÇÃO_CURSO],$C$4)</f>
        <v>0</v>
      </c>
      <c r="F258" s="141" t="e">
        <f t="shared" si="56"/>
        <v>#DIV/0!</v>
      </c>
      <c r="G258" t="n">
        <f>COUNTIFS(dados[RESPOSTA],C258,dados[ID_PERGUNTA],$C$245,dados[COD_SETOR_CURSO],$C$5)</f>
        <v>53</v>
      </c>
      <c r="H258" s="141" t="n">
        <f t="shared" si="57"/>
        <v>76.811999999999998</v>
      </c>
      <c r="I258" t="n">
        <f>COUNTIFS(dados[RESPOSTA],C258, dados[ID_PERGUNTA],$C$245,dados[Instituição],$A$2)</f>
        <v>383</v>
      </c>
      <c r="J258" s="141" t="n">
        <f t="shared" si="58"/>
        <v>78.644999999999996</v>
      </c>
    </row>
    <row r="259">
      <c r="C259" s="111" t="s">
        <v>313</v>
      </c>
      <c r="D259" s="111"/>
      <c r="E259" s="132" t="n">
        <f t="shared" ref="E259:J259" si="59">SUM(E253:E258)</f>
        <v>0</v>
      </c>
      <c r="F259" s="142" t="e">
        <f t="shared" si="59"/>
        <v>#DIV/0!</v>
      </c>
      <c r="G259" s="62" t="n">
        <f t="shared" si="59"/>
        <v>69</v>
      </c>
      <c r="H259" s="58" t="n">
        <f t="shared" si="59"/>
        <v>100</v>
      </c>
      <c r="I259" s="62" t="n">
        <f t="shared" si="59"/>
        <v>487</v>
      </c>
      <c r="J259" s="58" t="n">
        <f t="shared" si="59"/>
        <v>100.002</v>
      </c>
    </row>
    <row r="262">
      <c r="C262" s="70" t="s">
        <v>427</v>
      </c>
      <c r="D262" s="70"/>
      <c r="E262" s="70"/>
      <c r="F262" s="70"/>
      <c r="G262" s="70"/>
      <c r="H262" s="70"/>
      <c r="I262" s="70"/>
      <c r="J262" s="70"/>
    </row>
    <row r="263">
      <c r="C263" s="56"/>
      <c r="D263" s="56"/>
      <c r="E263" s="71" t="s">
        <v>418</v>
      </c>
      <c r="F263" s="71"/>
      <c r="G263" s="72" t="s">
        <v>419</v>
      </c>
      <c r="H263" s="72"/>
      <c r="I263" s="73" t="s">
        <v>21</v>
      </c>
      <c r="J263" s="73"/>
      <c r="N263" s="124"/>
      <c r="O263" s="129"/>
    </row>
    <row r="264">
      <c r="C264" s="136" t="s">
        <v>428</v>
      </c>
      <c r="D264" s="136" t="s">
        <v>429</v>
      </c>
      <c r="E264" s="156" t="s">
        <v>303</v>
      </c>
      <c r="F264" s="155" t="s">
        <v>426</v>
      </c>
      <c r="G264" s="156" t="s">
        <v>303</v>
      </c>
      <c r="H264" s="155" t="s">
        <v>426</v>
      </c>
      <c r="I264" s="156" t="s">
        <v>303</v>
      </c>
      <c r="J264" s="155" t="s">
        <v>426</v>
      </c>
      <c r="N264" s="124"/>
    </row>
    <row r="265">
      <c r="C265" s="119" t="s">
        <v>401</v>
      </c>
      <c r="D265" s="41" t="s">
        <v>409</v>
      </c>
      <c r="E265" s="12" t="n">
        <f>E253+E254</f>
        <v>0</v>
      </c>
      <c r="F265" s="141" t="e">
        <f>SUM(F253+F254)</f>
        <v>#DIV/0!</v>
      </c>
      <c r="G265" s="12" t="n">
        <f>G253+G254</f>
        <v>1</v>
      </c>
      <c r="H265" s="141" t="n">
        <f>SUM(H253+H254)</f>
        <v>1.4490000000000001</v>
      </c>
      <c r="I265" s="12" t="n">
        <f>I253+I254</f>
        <v>7</v>
      </c>
      <c r="J265" s="141" t="n">
        <f>SUM(J253+J254)</f>
        <v>1.4379999999999999</v>
      </c>
      <c r="N265" s="124"/>
    </row>
    <row r="266">
      <c r="C266" s="120" t="s">
        <v>402</v>
      </c>
      <c r="D266" s="41" t="s">
        <v>55</v>
      </c>
      <c r="E266" s="12" t="n">
        <f t="shared" ref="E266:J266" si="60">E258</f>
        <v>0</v>
      </c>
      <c r="F266" s="141" t="e">
        <f t="shared" si="60"/>
        <v>#DIV/0!</v>
      </c>
      <c r="G266" s="12" t="n">
        <f t="shared" si="60"/>
        <v>53</v>
      </c>
      <c r="H266" s="141" t="n">
        <f t="shared" si="60"/>
        <v>76.811999999999998</v>
      </c>
      <c r="I266" s="12" t="n">
        <f t="shared" si="60"/>
        <v>383</v>
      </c>
      <c r="J266" s="141" t="n">
        <f t="shared" si="60"/>
        <v>78.644999999999996</v>
      </c>
      <c r="N266" s="124"/>
    </row>
    <row r="267">
      <c r="C267" s="121" t="s">
        <v>403</v>
      </c>
      <c r="D267" s="41" t="n">
        <v>6</v>
      </c>
      <c r="E267" s="12" t="n">
        <f t="shared" ref="E267:J267" si="61">E255</f>
        <v>0</v>
      </c>
      <c r="F267" s="141" t="e">
        <f t="shared" si="61"/>
        <v>#DIV/0!</v>
      </c>
      <c r="G267" s="12" t="n">
        <f t="shared" si="61"/>
        <v>2</v>
      </c>
      <c r="H267" s="141" t="n">
        <f t="shared" si="61"/>
        <v>2.899</v>
      </c>
      <c r="I267" s="12" t="n">
        <f t="shared" si="61"/>
        <v>17</v>
      </c>
      <c r="J267" s="141" t="n">
        <f t="shared" si="61"/>
        <v>3.4910000000000001</v>
      </c>
      <c r="N267" s="124"/>
    </row>
    <row r="268">
      <c r="C268" s="122" t="s">
        <v>404</v>
      </c>
      <c r="D268" s="41" t="s">
        <v>410</v>
      </c>
      <c r="E268" s="147" t="n">
        <f t="shared" ref="E268:J268" si="62">E256+E257</f>
        <v>0</v>
      </c>
      <c r="F268" s="141" t="e">
        <f t="shared" si="62"/>
        <v>#DIV/0!</v>
      </c>
      <c r="G268" s="147" t="n">
        <f t="shared" si="62"/>
        <v>13</v>
      </c>
      <c r="H268" s="141" t="n">
        <f t="shared" si="62"/>
        <v>18.84</v>
      </c>
      <c r="I268" s="147" t="n">
        <f t="shared" si="62"/>
        <v>80</v>
      </c>
      <c r="J268" s="141" t="n">
        <f t="shared" si="62"/>
        <v>16.428000000000001</v>
      </c>
      <c r="N268" s="124"/>
    </row>
    <row r="269">
      <c r="C269" s="132"/>
      <c r="D269" s="132" t="s">
        <v>313</v>
      </c>
      <c r="E269" s="132" t="n">
        <f t="shared" ref="E269:J269" si="63">SUM(E265:E268)</f>
        <v>0</v>
      </c>
      <c r="F269" s="142" t="e">
        <f t="shared" si="63"/>
        <v>#DIV/0!</v>
      </c>
      <c r="G269" s="132" t="n">
        <f t="shared" si="63"/>
        <v>69</v>
      </c>
      <c r="H269" s="142" t="n">
        <f t="shared" si="63"/>
        <v>100</v>
      </c>
      <c r="I269" s="132" t="n">
        <f t="shared" si="63"/>
        <v>487</v>
      </c>
      <c r="J269" s="142" t="n">
        <f t="shared" si="63"/>
        <v>100.002</v>
      </c>
      <c r="L269" s="77"/>
      <c r="M269" s="77"/>
      <c r="N269" s="124"/>
    </row>
    <row r="270">
      <c r="L270" s="77"/>
      <c r="M270" s="77"/>
      <c r="N270" s="124"/>
    </row>
    <row r="271">
      <c r="B271" s="178"/>
      <c r="N271" s="124"/>
    </row>
    <row r="272">
      <c r="B272" s="165"/>
      <c r="C272" s="166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</row>
    <row r="274">
      <c r="B274" s="66" t="s">
        <v>421</v>
      </c>
      <c r="C274" s="80" t="n">
        <f>INDEX(Questoes!A:A,MATCH(C278,Questoes!J:J,0))</f>
        <v>39</v>
      </c>
      <c r="D274" s="83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</row>
    <row r="275">
      <c r="B275" s="66"/>
      <c r="C275" s="80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</row>
    <row r="276">
      <c r="B276" s="66"/>
      <c r="C276" s="80"/>
      <c r="D276" s="84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</row>
    <row r="277">
      <c r="D277" s="82" t="str">
        <f>IF(INDEX(Questoes!I:I,MATCH(C278,Questoes!J:J,FALSE))=0,"",INDEX(Questoes!I:I,MATCH(C278,Questoes!J:J,FALSE)))</f>
      </c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</row>
    <row r="278">
      <c r="B278" s="79" t="s">
        <v>422</v>
      </c>
      <c r="C278" s="80" t="n">
        <v>1095</v>
      </c>
      <c r="D278" s="81" t="str">
        <f>VLOOKUP(C278, Questoes!J:K,2, 0)</f>
        <v>Unidade da cultura da PROEC</v>
      </c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</row>
    <row r="279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</row>
    <row r="280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</row>
    <row r="281">
      <c r="B281" s="138"/>
      <c r="C281" s="139"/>
      <c r="D281" s="137" t="str">
        <f>IF(INDEX(Questoes!L:L,MATCH(C278,Questoes!J:J,0))=0,"",INDEX(Questoes!L:L,MATCH(C278,Questoes!J:J,0)))</f>
      </c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</row>
    <row r="282">
      <c r="B282" s="138"/>
      <c r="C282" s="139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</row>
    <row r="283">
      <c r="B283" s="144" t="s">
        <v>432</v>
      </c>
      <c r="C283" s="70" t="s">
        <v>424</v>
      </c>
      <c r="D283" s="70"/>
      <c r="E283" s="70"/>
      <c r="F283" s="70"/>
      <c r="G283" s="70"/>
      <c r="H283" s="70"/>
      <c r="I283" s="70"/>
      <c r="J283" s="70"/>
      <c r="K283" s="140"/>
      <c r="L283" s="67" t="str">
        <f>C283</f>
        <v>Apuração de Resultados </v>
      </c>
      <c r="M283" s="68"/>
      <c r="N283" s="68"/>
      <c r="O283" s="69"/>
      <c r="P283" s="117"/>
      <c r="Q283" s="67" t="str">
        <f>C295</f>
        <v>Critérios de Análise</v>
      </c>
      <c r="R283" s="68"/>
      <c r="S283" s="68"/>
      <c r="T283" s="68"/>
      <c r="U283" s="68"/>
      <c r="V283" s="68"/>
      <c r="W283" s="69"/>
    </row>
    <row r="284">
      <c r="C284" s="64"/>
      <c r="D284" s="64"/>
      <c r="E284" s="74" t="s">
        <v>418</v>
      </c>
      <c r="F284" s="74"/>
      <c r="G284" s="75" t="s">
        <v>419</v>
      </c>
      <c r="H284" s="75"/>
      <c r="I284" s="76" t="s">
        <v>21</v>
      </c>
      <c r="J284" s="76"/>
      <c r="L284" s="159" t="s">
        <v>422</v>
      </c>
      <c r="M284" s="106" t="n">
        <f>C278</f>
        <v>1095</v>
      </c>
      <c r="N284" s="106"/>
      <c r="O284" s="106"/>
      <c r="P284" s="117"/>
      <c r="Q284" s="107" t="str">
        <f>L284</f>
        <v>Questão</v>
      </c>
      <c r="R284" s="107"/>
      <c r="S284" s="107"/>
      <c r="T284" s="108" t="n">
        <f>M284</f>
        <v>1095</v>
      </c>
      <c r="U284" s="108"/>
      <c r="V284" s="108"/>
      <c r="W284" s="108"/>
    </row>
    <row r="285">
      <c r="C285" s="112" t="s">
        <v>425</v>
      </c>
      <c r="D285" s="112"/>
      <c r="E285" s="156" t="s">
        <v>303</v>
      </c>
      <c r="F285" s="155" t="s">
        <v>426</v>
      </c>
      <c r="G285" s="156" t="s">
        <v>303</v>
      </c>
      <c r="H285" s="155" t="s">
        <v>426</v>
      </c>
      <c r="I285" s="156" t="s">
        <v>303</v>
      </c>
      <c r="J285" s="155" t="s">
        <v>426</v>
      </c>
      <c r="K285" s="117"/>
    </row>
    <row r="286">
      <c r="C286" s="109" t="n">
        <v>2</v>
      </c>
      <c r="D286" s="109"/>
      <c r="E286" t="n">
        <f>COUNTIFS(dados[RESPOSTA],C286,dados[ID_PERGUNTA],$C$278,dados[COD_HABILITAÇÃO_CURSO],$C$4)</f>
        <v>0</v>
      </c>
      <c r="F286" s="141" t="n">
        <f t="shared" ref="F286:F291" si="64">ROUND(E286/$E$292*100,3)</f>
        <v>0</v>
      </c>
      <c r="G286" t="n">
        <f>COUNTIFS(dados[RESPOSTA],C286,dados[ID_PERGUNTA],$C$278,dados[COD_SETOR_CURSO],$C$5)</f>
        <v>0</v>
      </c>
      <c r="H286" s="141" t="n">
        <f t="shared" ref="H286:H291" si="65">ROUND(G286/$G$292*100,3)</f>
        <v>0</v>
      </c>
      <c r="I286" t="n">
        <f>COUNTIFS(dados[RESPOSTA],C286, dados[ID_PERGUNTA],$C$278,dados[Instituição],$A$2)</f>
        <v>2</v>
      </c>
      <c r="J286" s="141" t="n">
        <f t="shared" ref="J286:J291" si="66">ROUND(I286/$I$292*100,3)</f>
        <v>0.41399999999999998</v>
      </c>
      <c r="P286" s="118"/>
      <c r="V286" s="20"/>
      <c r="W286" s="20"/>
    </row>
    <row r="287">
      <c r="C287" s="77" t="n">
        <v>4</v>
      </c>
      <c r="D287" s="77"/>
      <c r="E287" t="n">
        <f>COUNTIFS(dados[RESPOSTA],C287,dados[ID_PERGUNTA],$C$278,dados[COD_HABILITAÇÃO_CURSO],$C$4)</f>
        <v>0</v>
      </c>
      <c r="F287" s="141" t="n">
        <f t="shared" si="64"/>
        <v>0</v>
      </c>
      <c r="G287" t="n">
        <f>COUNTIFS(dados[RESPOSTA],C287,dados[ID_PERGUNTA],$C$278,dados[COD_SETOR_CURSO],$C$5)</f>
        <v>1</v>
      </c>
      <c r="H287" s="141" t="n">
        <f t="shared" si="65"/>
        <v>1.4710000000000001</v>
      </c>
      <c r="I287" t="n">
        <f>COUNTIFS(dados[RESPOSTA],C287, dados[ID_PERGUNTA],$C$278,dados[Instituição],$A$2)</f>
        <v>5</v>
      </c>
      <c r="J287" s="141" t="n">
        <f t="shared" si="66"/>
        <v>1.0349999999999999</v>
      </c>
    </row>
    <row r="288">
      <c r="C288" s="77" t="n">
        <v>6</v>
      </c>
      <c r="D288" s="77"/>
      <c r="E288" t="n">
        <f>COUNTIFS(dados[RESPOSTA],C288,dados[ID_PERGUNTA],$C$278,dados[COD_HABILITAÇÃO_CURSO],$C$4)</f>
        <v>0</v>
      </c>
      <c r="F288" s="141" t="n">
        <f t="shared" si="64"/>
        <v>0</v>
      </c>
      <c r="G288" t="n">
        <f>COUNTIFS(dados[RESPOSTA],C288,dados[ID_PERGUNTA],$C$278,dados[COD_SETOR_CURSO],$C$5)</f>
        <v>1</v>
      </c>
      <c r="H288" s="141" t="n">
        <f t="shared" si="65"/>
        <v>1.4710000000000001</v>
      </c>
      <c r="I288" t="n">
        <f>COUNTIFS(dados[RESPOSTA],C288, dados[ID_PERGUNTA],$C$278,dados[Instituição],$A$2)</f>
        <v>8</v>
      </c>
      <c r="J288" s="141" t="n">
        <f t="shared" si="66"/>
        <v>1.6559999999999999</v>
      </c>
    </row>
    <row r="289">
      <c r="C289" s="77" t="n">
        <v>8</v>
      </c>
      <c r="D289" s="77"/>
      <c r="E289" t="n">
        <f>COUNTIFS(dados[RESPOSTA],C289,dados[ID_PERGUNTA],$C$278,dados[COD_HABILITAÇÃO_CURSO],$C$4)</f>
        <v>0</v>
      </c>
      <c r="F289" s="141" t="n">
        <f t="shared" si="64"/>
        <v>0</v>
      </c>
      <c r="G289" t="n">
        <f>COUNTIFS(dados[RESPOSTA],C289,dados[ID_PERGUNTA],$C$278,dados[COD_SETOR_CURSO],$C$5)</f>
        <v>4</v>
      </c>
      <c r="H289" s="141" t="n">
        <f t="shared" si="65"/>
        <v>5.8819999999999997</v>
      </c>
      <c r="I289" t="n">
        <f>COUNTIFS(dados[RESPOSTA],C289, dados[ID_PERGUNTA],$C$278,dados[Instituição],$A$2)</f>
        <v>18</v>
      </c>
      <c r="J289" s="141" t="n">
        <f t="shared" si="66"/>
        <v>3.7269999999999999</v>
      </c>
    </row>
    <row r="290">
      <c r="C290" s="77" t="n">
        <v>10</v>
      </c>
      <c r="D290" s="77"/>
      <c r="E290" t="n">
        <f>COUNTIFS(dados[RESPOSTA],C290,dados[ID_PERGUNTA],$C$278,dados[COD_HABILITAÇÃO_CURSO],$C$4)</f>
        <v>1</v>
      </c>
      <c r="F290" s="141" t="n">
        <f t="shared" si="64"/>
        <v>50</v>
      </c>
      <c r="G290" t="n">
        <f>COUNTIFS(dados[RESPOSTA],C290,dados[ID_PERGUNTA],$C$278,dados[COD_SETOR_CURSO],$C$5)</f>
        <v>5</v>
      </c>
      <c r="H290" s="141" t="n">
        <f t="shared" si="65"/>
        <v>7.3529999999999998</v>
      </c>
      <c r="I290" t="n">
        <f>COUNTIFS(dados[RESPOSTA],C290, dados[ID_PERGUNTA],$C$278,dados[Instituição],$A$2)</f>
        <v>30</v>
      </c>
      <c r="J290" s="141" t="n">
        <f t="shared" si="66"/>
        <v>6.2110000000000003</v>
      </c>
      <c r="P290" s="124"/>
      <c r="Q290" s="124"/>
      <c r="R290" s="124"/>
      <c r="S290" s="124"/>
      <c r="T290" s="124"/>
      <c r="U290" s="124"/>
      <c r="V290" s="124"/>
      <c r="W290" s="124"/>
    </row>
    <row r="291">
      <c r="C291" s="110" t="s">
        <v>55</v>
      </c>
      <c r="D291" s="110"/>
      <c r="E291" t="n">
        <f>COUNTIFS(dados[RESPOSTA],C291,dados[ID_PERGUNTA],$C$278,dados[COD_HABILITAÇÃO_CURSO],$C$4)</f>
        <v>1</v>
      </c>
      <c r="F291" s="141" t="n">
        <f t="shared" si="64"/>
        <v>50</v>
      </c>
      <c r="G291" t="n">
        <f>COUNTIFS(dados[RESPOSTA],C291,dados[ID_PERGUNTA],$C$278,dados[COD_SETOR_CURSO],$C$5)</f>
        <v>57</v>
      </c>
      <c r="H291" s="141" t="n">
        <f t="shared" si="65"/>
        <v>83.823999999999998</v>
      </c>
      <c r="I291" t="n">
        <f>COUNTIFS(dados[RESPOSTA],C291, dados[ID_PERGUNTA],$C$278,dados[Instituição],$A$2)</f>
        <v>420</v>
      </c>
      <c r="J291" s="141" t="n">
        <f t="shared" si="66"/>
        <v>86.956999999999994</v>
      </c>
    </row>
    <row r="292">
      <c r="C292" s="111" t="s">
        <v>313</v>
      </c>
      <c r="D292" s="111"/>
      <c r="E292" s="132" t="n">
        <f t="shared" ref="E292:J292" si="67">SUM(E286:E291)</f>
        <v>2</v>
      </c>
      <c r="F292" s="142" t="n">
        <f t="shared" si="67"/>
        <v>100</v>
      </c>
      <c r="G292" s="62" t="n">
        <f t="shared" si="67"/>
        <v>68</v>
      </c>
      <c r="H292" s="58" t="n">
        <f t="shared" si="67"/>
        <v>100.001</v>
      </c>
      <c r="I292" s="62" t="n">
        <f t="shared" si="67"/>
        <v>483</v>
      </c>
      <c r="J292" s="58" t="n">
        <f t="shared" si="67"/>
        <v>100</v>
      </c>
    </row>
    <row r="295">
      <c r="C295" s="70" t="s">
        <v>427</v>
      </c>
      <c r="D295" s="70"/>
      <c r="E295" s="70"/>
      <c r="F295" s="70"/>
      <c r="G295" s="70"/>
      <c r="H295" s="70"/>
      <c r="I295" s="70"/>
      <c r="J295" s="70"/>
    </row>
    <row r="296">
      <c r="C296" s="56"/>
      <c r="D296" s="56"/>
      <c r="E296" s="71" t="s">
        <v>418</v>
      </c>
      <c r="F296" s="71"/>
      <c r="G296" s="72" t="s">
        <v>419</v>
      </c>
      <c r="H296" s="72"/>
      <c r="I296" s="73" t="s">
        <v>21</v>
      </c>
      <c r="J296" s="73"/>
      <c r="N296" s="124"/>
      <c r="O296" s="129"/>
    </row>
    <row r="297">
      <c r="C297" s="136" t="s">
        <v>428</v>
      </c>
      <c r="D297" s="136" t="s">
        <v>429</v>
      </c>
      <c r="E297" s="156" t="s">
        <v>303</v>
      </c>
      <c r="F297" s="155" t="s">
        <v>426</v>
      </c>
      <c r="G297" s="156" t="s">
        <v>303</v>
      </c>
      <c r="H297" s="155" t="s">
        <v>426</v>
      </c>
      <c r="I297" s="156" t="s">
        <v>303</v>
      </c>
      <c r="J297" s="155" t="s">
        <v>426</v>
      </c>
      <c r="N297" s="124"/>
    </row>
    <row r="298">
      <c r="C298" s="119" t="s">
        <v>401</v>
      </c>
      <c r="D298" s="41" t="s">
        <v>409</v>
      </c>
      <c r="E298" s="12" t="n">
        <f>E286+E287</f>
        <v>0</v>
      </c>
      <c r="F298" s="141" t="n">
        <f>SUM(F286+F287)</f>
        <v>0</v>
      </c>
      <c r="G298" s="12" t="n">
        <f>G286+G287</f>
        <v>1</v>
      </c>
      <c r="H298" s="141" t="n">
        <f>SUM(H286+H287)</f>
        <v>1.4710000000000001</v>
      </c>
      <c r="I298" s="12" t="n">
        <f>I286+I287</f>
        <v>7</v>
      </c>
      <c r="J298" s="141" t="n">
        <f>SUM(J286+J287)</f>
        <v>1.4489999999999998</v>
      </c>
      <c r="N298" s="124"/>
    </row>
    <row r="299">
      <c r="C299" s="120" t="s">
        <v>402</v>
      </c>
      <c r="D299" s="41" t="s">
        <v>55</v>
      </c>
      <c r="E299" s="12" t="n">
        <f t="shared" ref="E299:J299" si="68">E291</f>
        <v>1</v>
      </c>
      <c r="F299" s="141" t="n">
        <f t="shared" si="68"/>
        <v>50</v>
      </c>
      <c r="G299" s="12" t="n">
        <f t="shared" si="68"/>
        <v>57</v>
      </c>
      <c r="H299" s="141" t="n">
        <f t="shared" si="68"/>
        <v>83.823999999999998</v>
      </c>
      <c r="I299" s="12" t="n">
        <f t="shared" si="68"/>
        <v>420</v>
      </c>
      <c r="J299" s="141" t="n">
        <f t="shared" si="68"/>
        <v>86.956999999999994</v>
      </c>
      <c r="N299" s="124"/>
    </row>
    <row r="300">
      <c r="C300" s="121" t="s">
        <v>403</v>
      </c>
      <c r="D300" s="41" t="n">
        <v>6</v>
      </c>
      <c r="E300" s="12" t="n">
        <f t="shared" ref="E300:J300" si="69">E288</f>
        <v>0</v>
      </c>
      <c r="F300" s="141" t="n">
        <f t="shared" si="69"/>
        <v>0</v>
      </c>
      <c r="G300" s="12" t="n">
        <f t="shared" si="69"/>
        <v>1</v>
      </c>
      <c r="H300" s="141" t="n">
        <f t="shared" si="69"/>
        <v>1.4710000000000001</v>
      </c>
      <c r="I300" s="12" t="n">
        <f t="shared" si="69"/>
        <v>8</v>
      </c>
      <c r="J300" s="141" t="n">
        <f t="shared" si="69"/>
        <v>1.6559999999999999</v>
      </c>
      <c r="N300" s="124"/>
    </row>
    <row r="301">
      <c r="C301" s="122" t="s">
        <v>404</v>
      </c>
      <c r="D301" s="41" t="s">
        <v>410</v>
      </c>
      <c r="E301" s="147" t="n">
        <f t="shared" ref="E301:J301" si="70">E289+E290</f>
        <v>1</v>
      </c>
      <c r="F301" s="141" t="n">
        <f t="shared" si="70"/>
        <v>50</v>
      </c>
      <c r="G301" s="147" t="n">
        <f t="shared" si="70"/>
        <v>9</v>
      </c>
      <c r="H301" s="141" t="n">
        <f t="shared" si="70"/>
        <v>13.234999999999999</v>
      </c>
      <c r="I301" s="147" t="n">
        <f t="shared" si="70"/>
        <v>48</v>
      </c>
      <c r="J301" s="141" t="n">
        <f t="shared" si="70"/>
        <v>9.9380000000000006</v>
      </c>
      <c r="N301" s="124"/>
    </row>
    <row r="302">
      <c r="C302" s="132"/>
      <c r="D302" s="132" t="s">
        <v>313</v>
      </c>
      <c r="E302" s="132" t="n">
        <f t="shared" ref="E302:J302" si="71">SUM(E298:E301)</f>
        <v>2</v>
      </c>
      <c r="F302" s="142" t="n">
        <f t="shared" si="71"/>
        <v>100</v>
      </c>
      <c r="G302" s="132" t="n">
        <f t="shared" si="71"/>
        <v>68</v>
      </c>
      <c r="H302" s="142" t="n">
        <f t="shared" si="71"/>
        <v>100.001</v>
      </c>
      <c r="I302" s="132" t="n">
        <f t="shared" si="71"/>
        <v>483</v>
      </c>
      <c r="J302" s="142" t="n">
        <f t="shared" si="71"/>
        <v>100</v>
      </c>
      <c r="L302" s="77"/>
      <c r="M302" s="77"/>
      <c r="N302" s="124"/>
    </row>
    <row r="303">
      <c r="L303" s="77"/>
      <c r="M303" s="77"/>
      <c r="N303" s="124"/>
    </row>
    <row r="304">
      <c r="B304" s="178"/>
      <c r="N304" s="124"/>
    </row>
    <row r="305">
      <c r="B305" s="165"/>
      <c r="C305" s="166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</row>
    <row r="307">
      <c r="B307" s="66" t="s">
        <v>421</v>
      </c>
      <c r="C307" s="80" t="n">
        <f>INDEX(Questoes!A:A,MATCH(C311,Questoes!J:J,0))</f>
        <v>40</v>
      </c>
      <c r="D307" s="83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</row>
    <row r="308">
      <c r="B308" s="66"/>
      <c r="C308" s="80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</row>
    <row r="309">
      <c r="B309" s="66"/>
      <c r="C309" s="80"/>
      <c r="D309" s="84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</row>
    <row r="310">
      <c r="D310" s="82" t="str">
        <f>IF(INDEX(Questoes!I:I,MATCH(C311,Questoes!J:J,FALSE))=0,"",INDEX(Questoes!I:I,MATCH(C311,Questoes!J:J,FALSE)))</f>
      </c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</row>
    <row r="311">
      <c r="B311" s="79" t="s">
        <v>422</v>
      </c>
      <c r="C311" s="80" t="n">
        <v>1090</v>
      </c>
      <c r="D311" s="81" t="str">
        <f>VLOOKUP(C311, Questoes!J:K,2, 0)</f>
        <v>Unidade de apoio pedagógico, psicológico e social da PRAE</v>
      </c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</row>
    <row r="31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</row>
    <row r="313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</row>
    <row r="314">
      <c r="B314" s="138"/>
      <c r="C314" s="139"/>
      <c r="D314" s="137" t="str">
        <f>IF(INDEX(Questoes!L:L,MATCH(C311,Questoes!J:J,0))=0,"",INDEX(Questoes!L:L,MATCH(C311,Questoes!J:J,0)))</f>
      </c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</row>
    <row r="315">
      <c r="B315" s="138"/>
      <c r="C315" s="139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</row>
    <row r="316">
      <c r="B316" s="144" t="s">
        <v>432</v>
      </c>
      <c r="C316" s="70" t="s">
        <v>424</v>
      </c>
      <c r="D316" s="70"/>
      <c r="E316" s="70"/>
      <c r="F316" s="70"/>
      <c r="G316" s="70"/>
      <c r="H316" s="70"/>
      <c r="I316" s="70"/>
      <c r="J316" s="70"/>
      <c r="K316" s="140"/>
      <c r="L316" s="67" t="str">
        <f>C316</f>
        <v>Apuração de Resultados </v>
      </c>
      <c r="M316" s="68"/>
      <c r="N316" s="68"/>
      <c r="O316" s="69"/>
      <c r="P316" s="117"/>
      <c r="Q316" s="67" t="str">
        <f>C328</f>
        <v>Critérios de Análise</v>
      </c>
      <c r="R316" s="68"/>
      <c r="S316" s="68"/>
      <c r="T316" s="68"/>
      <c r="U316" s="68"/>
      <c r="V316" s="68"/>
      <c r="W316" s="69"/>
    </row>
    <row r="317">
      <c r="C317" s="64"/>
      <c r="D317" s="64"/>
      <c r="E317" s="74" t="s">
        <v>418</v>
      </c>
      <c r="F317" s="74"/>
      <c r="G317" s="75" t="s">
        <v>419</v>
      </c>
      <c r="H317" s="75"/>
      <c r="I317" s="76" t="s">
        <v>21</v>
      </c>
      <c r="J317" s="76"/>
      <c r="L317" s="159" t="s">
        <v>422</v>
      </c>
      <c r="M317" s="106" t="n">
        <f>C311</f>
        <v>1090</v>
      </c>
      <c r="N317" s="106"/>
      <c r="O317" s="106"/>
      <c r="P317" s="117"/>
      <c r="Q317" s="107" t="str">
        <f>L317</f>
        <v>Questão</v>
      </c>
      <c r="R317" s="107"/>
      <c r="S317" s="107"/>
      <c r="T317" s="108" t="n">
        <f>M317</f>
        <v>1090</v>
      </c>
      <c r="U317" s="108"/>
      <c r="V317" s="108"/>
      <c r="W317" s="108"/>
    </row>
    <row r="318">
      <c r="C318" s="112" t="s">
        <v>425</v>
      </c>
      <c r="D318" s="112"/>
      <c r="E318" s="156" t="s">
        <v>303</v>
      </c>
      <c r="F318" s="155" t="s">
        <v>426</v>
      </c>
      <c r="G318" s="156" t="s">
        <v>303</v>
      </c>
      <c r="H318" s="155" t="s">
        <v>426</v>
      </c>
      <c r="I318" s="156" t="s">
        <v>303</v>
      </c>
      <c r="J318" s="155" t="s">
        <v>426</v>
      </c>
      <c r="K318" s="117"/>
    </row>
    <row r="319">
      <c r="C319" s="109" t="n">
        <v>2</v>
      </c>
      <c r="D319" s="109"/>
      <c r="E319" t="n">
        <f>COUNTIFS(dados[RESPOSTA],C319,dados[ID_PERGUNTA],$C$311,dados[COD_HABILITAÇÃO_CURSO],$C$4)</f>
        <v>0</v>
      </c>
      <c r="F319" s="141" t="e">
        <f t="shared" ref="F319:F324" si="72">ROUND(E319/$E$325*100,3)</f>
        <v>#DIV/0!</v>
      </c>
      <c r="G319" t="n">
        <f>COUNTIFS(dados[RESPOSTA],C319,dados[ID_PERGUNTA],$C$311,dados[COD_SETOR_CURSO],$C$5)</f>
        <v>1</v>
      </c>
      <c r="H319" s="141" t="n">
        <f t="shared" ref="H319:H324" si="73">ROUND(G319/$G$325*100,3)</f>
        <v>1.4930000000000001</v>
      </c>
      <c r="I319" t="n">
        <f>COUNTIFS(dados[RESPOSTA],C319, dados[ID_PERGUNTA],$C$311,dados[Instituição],$A$2)</f>
        <v>14</v>
      </c>
      <c r="J319" s="141" t="n">
        <f t="shared" ref="J319:J324" si="74">ROUND(I319/$I$325*100,3)</f>
        <v>2.8929999999999998</v>
      </c>
      <c r="P319" s="118"/>
      <c r="V319" s="20"/>
      <c r="W319" s="20"/>
    </row>
    <row r="320">
      <c r="C320" s="77" t="n">
        <v>4</v>
      </c>
      <c r="D320" s="77"/>
      <c r="E320" t="n">
        <f>COUNTIFS(dados[RESPOSTA],C320,dados[ID_PERGUNTA],$C$311,dados[COD_HABILITAÇÃO_CURSO],$C$4)</f>
        <v>0</v>
      </c>
      <c r="F320" s="141" t="e">
        <f t="shared" si="72"/>
        <v>#DIV/0!</v>
      </c>
      <c r="G320" t="n">
        <f>COUNTIFS(dados[RESPOSTA],C320,dados[ID_PERGUNTA],$C$311,dados[COD_SETOR_CURSO],$C$5)</f>
        <v>3</v>
      </c>
      <c r="H320" s="141" t="n">
        <f t="shared" si="73"/>
        <v>4.4779999999999998</v>
      </c>
      <c r="I320" t="n">
        <f>COUNTIFS(dados[RESPOSTA],C320, dados[ID_PERGUNTA],$C$311,dados[Instituição],$A$2)</f>
        <v>11</v>
      </c>
      <c r="J320" s="141" t="n">
        <f t="shared" si="74"/>
        <v>2.2730000000000001</v>
      </c>
    </row>
    <row r="321">
      <c r="C321" s="77" t="n">
        <v>6</v>
      </c>
      <c r="D321" s="77"/>
      <c r="E321" t="n">
        <f>COUNTIFS(dados[RESPOSTA],C321,dados[ID_PERGUNTA],$C$311,dados[COD_HABILITAÇÃO_CURSO],$C$4)</f>
        <v>0</v>
      </c>
      <c r="F321" s="141" t="e">
        <f t="shared" si="72"/>
        <v>#DIV/0!</v>
      </c>
      <c r="G321" t="n">
        <f>COUNTIFS(dados[RESPOSTA],C321,dados[ID_PERGUNTA],$C$311,dados[COD_SETOR_CURSO],$C$5)</f>
        <v>7</v>
      </c>
      <c r="H321" s="141" t="n">
        <f t="shared" si="73"/>
        <v>10.448</v>
      </c>
      <c r="I321" t="n">
        <f>COUNTIFS(dados[RESPOSTA],C321, dados[ID_PERGUNTA],$C$311,dados[Instituição],$A$2)</f>
        <v>18</v>
      </c>
      <c r="J321" s="141" t="n">
        <f t="shared" si="74"/>
        <v>3.7189999999999999</v>
      </c>
    </row>
    <row r="322">
      <c r="C322" s="77" t="n">
        <v>8</v>
      </c>
      <c r="D322" s="77"/>
      <c r="E322" t="n">
        <f>COUNTIFS(dados[RESPOSTA],C322,dados[ID_PERGUNTA],$C$311,dados[COD_HABILITAÇÃO_CURSO],$C$4)</f>
        <v>0</v>
      </c>
      <c r="F322" s="141" t="e">
        <f t="shared" si="72"/>
        <v>#DIV/0!</v>
      </c>
      <c r="G322" t="n">
        <f>COUNTIFS(dados[RESPOSTA],C322,dados[ID_PERGUNTA],$C$311,dados[COD_SETOR_CURSO],$C$5)</f>
        <v>0</v>
      </c>
      <c r="H322" s="141" t="n">
        <f t="shared" si="73"/>
        <v>0</v>
      </c>
      <c r="I322" t="n">
        <f>COUNTIFS(dados[RESPOSTA],C322, dados[ID_PERGUNTA],$C$311,dados[Instituição],$A$2)</f>
        <v>24</v>
      </c>
      <c r="J322" s="141" t="n">
        <f t="shared" si="74"/>
        <v>4.9589999999999996</v>
      </c>
    </row>
    <row r="323">
      <c r="C323" s="77" t="n">
        <v>10</v>
      </c>
      <c r="D323" s="77"/>
      <c r="E323" t="n">
        <f>COUNTIFS(dados[RESPOSTA],C323,dados[ID_PERGUNTA],$C$311,dados[COD_HABILITAÇÃO_CURSO],$C$4)</f>
        <v>0</v>
      </c>
      <c r="F323" s="141" t="e">
        <f t="shared" si="72"/>
        <v>#DIV/0!</v>
      </c>
      <c r="G323" t="n">
        <f>COUNTIFS(dados[RESPOSTA],C323,dados[ID_PERGUNTA],$C$311,dados[COD_SETOR_CURSO],$C$5)</f>
        <v>7</v>
      </c>
      <c r="H323" s="141" t="n">
        <f t="shared" si="73"/>
        <v>10.448</v>
      </c>
      <c r="I323" t="n">
        <f>COUNTIFS(dados[RESPOSTA],C323, dados[ID_PERGUNTA],$C$311,dados[Instituição],$A$2)</f>
        <v>57</v>
      </c>
      <c r="J323" s="141" t="n">
        <f t="shared" si="74"/>
        <v>11.776999999999999</v>
      </c>
      <c r="P323" s="124"/>
      <c r="Q323" s="124"/>
      <c r="R323" s="124"/>
      <c r="S323" s="124"/>
      <c r="T323" s="124"/>
      <c r="U323" s="124"/>
      <c r="V323" s="124"/>
      <c r="W323" s="124"/>
    </row>
    <row r="324">
      <c r="C324" s="110" t="s">
        <v>55</v>
      </c>
      <c r="D324" s="110"/>
      <c r="E324" t="n">
        <f>COUNTIFS(dados[RESPOSTA],C324,dados[ID_PERGUNTA],$C$311,dados[COD_HABILITAÇÃO_CURSO],$C$4)</f>
        <v>0</v>
      </c>
      <c r="F324" s="141" t="e">
        <f t="shared" si="72"/>
        <v>#DIV/0!</v>
      </c>
      <c r="G324" t="n">
        <f>COUNTIFS(dados[RESPOSTA],C324,dados[ID_PERGUNTA],$C$311,dados[COD_SETOR_CURSO],$C$5)</f>
        <v>49</v>
      </c>
      <c r="H324" s="141" t="n">
        <f t="shared" si="73"/>
        <v>73.134</v>
      </c>
      <c r="I324" t="n">
        <f>COUNTIFS(dados[RESPOSTA],C324, dados[ID_PERGUNTA],$C$311,dados[Instituição],$A$2)</f>
        <v>360</v>
      </c>
      <c r="J324" s="141" t="n">
        <f t="shared" si="74"/>
        <v>74.38</v>
      </c>
    </row>
    <row r="325">
      <c r="C325" s="111" t="s">
        <v>313</v>
      </c>
      <c r="D325" s="111"/>
      <c r="E325" s="132" t="n">
        <f t="shared" ref="E325:J325" si="75">SUM(E319:E324)</f>
        <v>0</v>
      </c>
      <c r="F325" s="142" t="e">
        <f t="shared" si="75"/>
        <v>#DIV/0!</v>
      </c>
      <c r="G325" s="62" t="n">
        <f t="shared" si="75"/>
        <v>67</v>
      </c>
      <c r="H325" s="58" t="n">
        <f t="shared" si="75"/>
        <v>100.001</v>
      </c>
      <c r="I325" s="62" t="n">
        <f t="shared" si="75"/>
        <v>484</v>
      </c>
      <c r="J325" s="58" t="n">
        <f t="shared" si="75"/>
        <v>100.00099999999999</v>
      </c>
    </row>
    <row r="328">
      <c r="C328" s="70" t="s">
        <v>427</v>
      </c>
      <c r="D328" s="70"/>
      <c r="E328" s="70"/>
      <c r="F328" s="70"/>
      <c r="G328" s="70"/>
      <c r="H328" s="70"/>
      <c r="I328" s="70"/>
      <c r="J328" s="70"/>
    </row>
    <row r="329">
      <c r="C329" s="56"/>
      <c r="D329" s="56"/>
      <c r="E329" s="71" t="s">
        <v>418</v>
      </c>
      <c r="F329" s="71"/>
      <c r="G329" s="72" t="s">
        <v>419</v>
      </c>
      <c r="H329" s="72"/>
      <c r="I329" s="73" t="s">
        <v>21</v>
      </c>
      <c r="J329" s="73"/>
      <c r="N329" s="124"/>
      <c r="O329" s="129"/>
    </row>
    <row r="330">
      <c r="C330" s="136" t="s">
        <v>428</v>
      </c>
      <c r="D330" s="136" t="s">
        <v>429</v>
      </c>
      <c r="E330" s="156" t="s">
        <v>303</v>
      </c>
      <c r="F330" s="155" t="s">
        <v>426</v>
      </c>
      <c r="G330" s="156" t="s">
        <v>303</v>
      </c>
      <c r="H330" s="155" t="s">
        <v>426</v>
      </c>
      <c r="I330" s="156" t="s">
        <v>303</v>
      </c>
      <c r="J330" s="155" t="s">
        <v>426</v>
      </c>
      <c r="N330" s="124"/>
    </row>
    <row r="331">
      <c r="C331" s="119" t="s">
        <v>401</v>
      </c>
      <c r="D331" s="41" t="s">
        <v>409</v>
      </c>
      <c r="E331" s="12" t="n">
        <f>E319+E320</f>
        <v>0</v>
      </c>
      <c r="F331" s="141" t="e">
        <f>SUM(F319+F320)</f>
        <v>#DIV/0!</v>
      </c>
      <c r="G331" s="12" t="n">
        <f>G319+G320</f>
        <v>4</v>
      </c>
      <c r="H331" s="141" t="n">
        <f>SUM(H319+H320)</f>
        <v>5.9710000000000001</v>
      </c>
      <c r="I331" s="12" t="n">
        <f>I319+I320</f>
        <v>25</v>
      </c>
      <c r="J331" s="141" t="n">
        <f>SUM(J319+J320)</f>
        <v>5.1660000000000004</v>
      </c>
      <c r="N331" s="124"/>
    </row>
    <row r="332">
      <c r="C332" s="120" t="s">
        <v>402</v>
      </c>
      <c r="D332" s="41" t="s">
        <v>55</v>
      </c>
      <c r="E332" s="12" t="n">
        <f t="shared" ref="E332:J332" si="76">E324</f>
        <v>0</v>
      </c>
      <c r="F332" s="141" t="e">
        <f t="shared" si="76"/>
        <v>#DIV/0!</v>
      </c>
      <c r="G332" s="12" t="n">
        <f t="shared" si="76"/>
        <v>49</v>
      </c>
      <c r="H332" s="141" t="n">
        <f t="shared" si="76"/>
        <v>73.134</v>
      </c>
      <c r="I332" s="12" t="n">
        <f t="shared" si="76"/>
        <v>360</v>
      </c>
      <c r="J332" s="141" t="n">
        <f t="shared" si="76"/>
        <v>74.38</v>
      </c>
      <c r="N332" s="124"/>
    </row>
    <row r="333">
      <c r="C333" s="121" t="s">
        <v>403</v>
      </c>
      <c r="D333" s="41" t="n">
        <v>6</v>
      </c>
      <c r="E333" s="12" t="n">
        <f t="shared" ref="E333:J333" si="77">E321</f>
        <v>0</v>
      </c>
      <c r="F333" s="141" t="e">
        <f t="shared" si="77"/>
        <v>#DIV/0!</v>
      </c>
      <c r="G333" s="12" t="n">
        <f t="shared" si="77"/>
        <v>7</v>
      </c>
      <c r="H333" s="141" t="n">
        <f t="shared" si="77"/>
        <v>10.448</v>
      </c>
      <c r="I333" s="12" t="n">
        <f t="shared" si="77"/>
        <v>18</v>
      </c>
      <c r="J333" s="141" t="n">
        <f t="shared" si="77"/>
        <v>3.7189999999999999</v>
      </c>
      <c r="N333" s="124"/>
    </row>
    <row r="334">
      <c r="C334" s="122" t="s">
        <v>404</v>
      </c>
      <c r="D334" s="41" t="s">
        <v>410</v>
      </c>
      <c r="E334" s="147" t="n">
        <f t="shared" ref="E334:J334" si="78">E322+E323</f>
        <v>0</v>
      </c>
      <c r="F334" s="141" t="e">
        <f t="shared" si="78"/>
        <v>#DIV/0!</v>
      </c>
      <c r="G334" s="147" t="n">
        <f t="shared" si="78"/>
        <v>7</v>
      </c>
      <c r="H334" s="141" t="n">
        <f t="shared" si="78"/>
        <v>10.448</v>
      </c>
      <c r="I334" s="147" t="n">
        <f t="shared" si="78"/>
        <v>81</v>
      </c>
      <c r="J334" s="141" t="n">
        <f t="shared" si="78"/>
        <v>16.735999999999997</v>
      </c>
      <c r="N334" s="124"/>
    </row>
    <row r="335">
      <c r="C335" s="132"/>
      <c r="D335" s="132" t="s">
        <v>313</v>
      </c>
      <c r="E335" s="132" t="n">
        <f t="shared" ref="E335:J335" si="79">SUM(E331:E334)</f>
        <v>0</v>
      </c>
      <c r="F335" s="142" t="e">
        <f t="shared" si="79"/>
        <v>#DIV/0!</v>
      </c>
      <c r="G335" s="132" t="n">
        <f t="shared" si="79"/>
        <v>67</v>
      </c>
      <c r="H335" s="142" t="n">
        <f t="shared" si="79"/>
        <v>100.001</v>
      </c>
      <c r="I335" s="132" t="n">
        <f t="shared" si="79"/>
        <v>484</v>
      </c>
      <c r="J335" s="142" t="n">
        <f t="shared" si="79"/>
        <v>100.00099999999998</v>
      </c>
      <c r="L335" s="77"/>
      <c r="M335" s="77"/>
      <c r="N335" s="124"/>
    </row>
    <row r="336">
      <c r="L336" s="77"/>
      <c r="M336" s="77"/>
      <c r="N336" s="124"/>
    </row>
    <row r="337">
      <c r="B337" s="178"/>
      <c r="N337" s="124"/>
    </row>
    <row r="338">
      <c r="B338" s="165"/>
      <c r="C338" s="166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</row>
    <row r="340">
      <c r="B340" s="66" t="s">
        <v>421</v>
      </c>
      <c r="C340" s="80" t="n">
        <f>INDEX(Questoes!A:A,MATCH(C344,Questoes!J:J,0))</f>
        <v>41</v>
      </c>
      <c r="D340" s="83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</row>
    <row r="341">
      <c r="B341" s="66"/>
      <c r="C341" s="80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</row>
    <row r="342">
      <c r="B342" s="66"/>
      <c r="C342" s="80"/>
      <c r="D342" s="84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</row>
    <row r="343">
      <c r="D343" s="82" t="str">
        <f>IF(INDEX(Questoes!I:I,MATCH(C344,Questoes!J:J,FALSE))=0,"",INDEX(Questoes!I:I,MATCH(C344,Questoes!J:J,FALSE)))</f>
      </c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</row>
    <row r="344">
      <c r="B344" s="79" t="s">
        <v>422</v>
      </c>
      <c r="C344" s="80" t="n">
        <v>1091</v>
      </c>
      <c r="D344" s="81" t="str">
        <f>VLOOKUP(C344, Questoes!J:K,2, 0)</f>
        <v>Unidade de apoio à saúde (Casas) da PROGEPE</v>
      </c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</row>
    <row r="345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</row>
    <row r="346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</row>
    <row r="347">
      <c r="B347" s="138"/>
      <c r="C347" s="139"/>
      <c r="D347" s="137" t="str">
        <f>IF(INDEX(Questoes!L:L,MATCH(C344,Questoes!J:J,0))=0,"",INDEX(Questoes!L:L,MATCH(C344,Questoes!J:J,0)))</f>
      </c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</row>
    <row r="348">
      <c r="B348" s="138"/>
      <c r="C348" s="139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</row>
    <row r="349">
      <c r="B349" s="144" t="s">
        <v>432</v>
      </c>
      <c r="C349" s="70" t="s">
        <v>424</v>
      </c>
      <c r="D349" s="70"/>
      <c r="E349" s="70"/>
      <c r="F349" s="70"/>
      <c r="G349" s="70"/>
      <c r="H349" s="70"/>
      <c r="I349" s="70"/>
      <c r="J349" s="70"/>
      <c r="K349" s="140"/>
      <c r="L349" s="67" t="str">
        <f>C349</f>
        <v>Apuração de Resultados </v>
      </c>
      <c r="M349" s="68"/>
      <c r="N349" s="68"/>
      <c r="O349" s="69"/>
      <c r="P349" s="117"/>
      <c r="Q349" s="67" t="str">
        <f>C361</f>
        <v>Critérios de Análise</v>
      </c>
      <c r="R349" s="68"/>
      <c r="S349" s="68"/>
      <c r="T349" s="68"/>
      <c r="U349" s="68"/>
      <c r="V349" s="68"/>
      <c r="W349" s="69"/>
    </row>
    <row r="350">
      <c r="C350" s="64"/>
      <c r="D350" s="64"/>
      <c r="E350" s="74" t="s">
        <v>418</v>
      </c>
      <c r="F350" s="74"/>
      <c r="G350" s="75" t="s">
        <v>419</v>
      </c>
      <c r="H350" s="75"/>
      <c r="I350" s="76" t="s">
        <v>21</v>
      </c>
      <c r="J350" s="76"/>
      <c r="L350" s="159" t="s">
        <v>422</v>
      </c>
      <c r="M350" s="106" t="n">
        <f>C344</f>
        <v>1091</v>
      </c>
      <c r="N350" s="106"/>
      <c r="O350" s="106"/>
      <c r="P350" s="117"/>
      <c r="Q350" s="107" t="str">
        <f>L350</f>
        <v>Questão</v>
      </c>
      <c r="R350" s="107"/>
      <c r="S350" s="107"/>
      <c r="T350" s="108" t="n">
        <f>M350</f>
        <v>1091</v>
      </c>
      <c r="U350" s="108"/>
      <c r="V350" s="108"/>
      <c r="W350" s="108"/>
    </row>
    <row r="351">
      <c r="C351" s="112" t="s">
        <v>425</v>
      </c>
      <c r="D351" s="112"/>
      <c r="E351" s="156" t="s">
        <v>303</v>
      </c>
      <c r="F351" s="155" t="s">
        <v>426</v>
      </c>
      <c r="G351" s="156" t="s">
        <v>303</v>
      </c>
      <c r="H351" s="155" t="s">
        <v>426</v>
      </c>
      <c r="I351" s="156" t="s">
        <v>303</v>
      </c>
      <c r="J351" s="155" t="s">
        <v>426</v>
      </c>
      <c r="K351" s="117"/>
    </row>
    <row r="352">
      <c r="C352" s="109" t="n">
        <v>2</v>
      </c>
      <c r="D352" s="109"/>
      <c r="E352" t="n">
        <f>COUNTIFS(dados[RESPOSTA],C352,dados[ID_PERGUNTA],$C$344,dados[COD_HABILITAÇÃO_CURSO],$C$4)</f>
        <v>0</v>
      </c>
      <c r="F352" s="141" t="n">
        <f t="shared" ref="F352:F357" si="80">ROUND(E352/$E$358*100,3)</f>
        <v>0</v>
      </c>
      <c r="G352" t="n">
        <f>COUNTIFS(dados[RESPOSTA],C352,dados[ID_PERGUNTA],$C$344,dados[COD_SETOR_CURSO],$C$5)</f>
        <v>0</v>
      </c>
      <c r="H352" s="141" t="n">
        <f t="shared" ref="H352:H357" si="81">ROUND(G352/$G$358*100,3)</f>
        <v>0</v>
      </c>
      <c r="I352" t="n">
        <f>COUNTIFS(dados[RESPOSTA],C352, dados[ID_PERGUNTA],$C$344,dados[Instituição],$A$2)</f>
        <v>3</v>
      </c>
      <c r="J352" s="141" t="n">
        <f t="shared" ref="J352:J357" si="82">ROUND(I352/$I$358*100,3)</f>
        <v>0.61599999999999999</v>
      </c>
      <c r="P352" s="118"/>
      <c r="V352" s="20"/>
      <c r="W352" s="20"/>
    </row>
    <row r="353">
      <c r="C353" s="77" t="n">
        <v>4</v>
      </c>
      <c r="D353" s="77"/>
      <c r="E353" t="n">
        <f>COUNTIFS(dados[RESPOSTA],C353,dados[ID_PERGUNTA],$C$344,dados[COD_HABILITAÇÃO_CURSO],$C$4)</f>
        <v>0</v>
      </c>
      <c r="F353" s="141" t="n">
        <f t="shared" si="80"/>
        <v>0</v>
      </c>
      <c r="G353" t="n">
        <f>COUNTIFS(dados[RESPOSTA],C353,dados[ID_PERGUNTA],$C$344,dados[COD_SETOR_CURSO],$C$5)</f>
        <v>2</v>
      </c>
      <c r="H353" s="141" t="n">
        <f t="shared" si="81"/>
        <v>2.9409999999999998</v>
      </c>
      <c r="I353" t="n">
        <f>COUNTIFS(dados[RESPOSTA],C353, dados[ID_PERGUNTA],$C$344,dados[Instituição],$A$2)</f>
        <v>5</v>
      </c>
      <c r="J353" s="141" t="n">
        <f t="shared" si="82"/>
        <v>1.0269999999999999</v>
      </c>
    </row>
    <row r="354">
      <c r="C354" s="77" t="n">
        <v>6</v>
      </c>
      <c r="D354" s="77"/>
      <c r="E354" t="n">
        <f>COUNTIFS(dados[RESPOSTA],C354,dados[ID_PERGUNTA],$C$344,dados[COD_HABILITAÇÃO_CURSO],$C$4)</f>
        <v>0</v>
      </c>
      <c r="F354" s="141" t="n">
        <f t="shared" si="80"/>
        <v>0</v>
      </c>
      <c r="G354" t="n">
        <f>COUNTIFS(dados[RESPOSTA],C354,dados[ID_PERGUNTA],$C$344,dados[COD_SETOR_CURSO],$C$5)</f>
        <v>3</v>
      </c>
      <c r="H354" s="141" t="n">
        <f t="shared" si="81"/>
        <v>4.4119999999999999</v>
      </c>
      <c r="I354" t="n">
        <f>COUNTIFS(dados[RESPOSTA],C354, dados[ID_PERGUNTA],$C$344,dados[Instituição],$A$2)</f>
        <v>11</v>
      </c>
      <c r="J354" s="141" t="n">
        <f t="shared" si="82"/>
        <v>2.2589999999999999</v>
      </c>
    </row>
    <row r="355">
      <c r="C355" s="77" t="n">
        <v>8</v>
      </c>
      <c r="D355" s="77"/>
      <c r="E355" t="n">
        <f>COUNTIFS(dados[RESPOSTA],C355,dados[ID_PERGUNTA],$C$344,dados[COD_HABILITAÇÃO_CURSO],$C$4)</f>
        <v>0</v>
      </c>
      <c r="F355" s="141" t="n">
        <f t="shared" si="80"/>
        <v>0</v>
      </c>
      <c r="G355" t="n">
        <f>COUNTIFS(dados[RESPOSTA],C355,dados[ID_PERGUNTA],$C$344,dados[COD_SETOR_CURSO],$C$5)</f>
        <v>1</v>
      </c>
      <c r="H355" s="141" t="n">
        <f t="shared" si="81"/>
        <v>1.4710000000000001</v>
      </c>
      <c r="I355" t="n">
        <f>COUNTIFS(dados[RESPOSTA],C355, dados[ID_PERGUNTA],$C$344,dados[Instituição],$A$2)</f>
        <v>27</v>
      </c>
      <c r="J355" s="141" t="n">
        <f t="shared" si="82"/>
        <v>5.5439999999999996</v>
      </c>
    </row>
    <row r="356">
      <c r="C356" s="77" t="n">
        <v>10</v>
      </c>
      <c r="D356" s="77"/>
      <c r="E356" t="n">
        <f>COUNTIFS(dados[RESPOSTA],C356,dados[ID_PERGUNTA],$C$344,dados[COD_HABILITAÇÃO_CURSO],$C$4)</f>
        <v>1</v>
      </c>
      <c r="F356" s="141" t="n">
        <f t="shared" si="80"/>
        <v>100</v>
      </c>
      <c r="G356" t="n">
        <f>COUNTIFS(dados[RESPOSTA],C356,dados[ID_PERGUNTA],$C$344,dados[COD_SETOR_CURSO],$C$5)</f>
        <v>9</v>
      </c>
      <c r="H356" s="141" t="n">
        <f t="shared" si="81"/>
        <v>13.234999999999999</v>
      </c>
      <c r="I356" t="n">
        <f>COUNTIFS(dados[RESPOSTA],C356, dados[ID_PERGUNTA],$C$344,dados[Instituição],$A$2)</f>
        <v>56</v>
      </c>
      <c r="J356" s="141" t="n">
        <f t="shared" si="82"/>
        <v>11.499000000000001</v>
      </c>
      <c r="P356" s="124"/>
      <c r="Q356" s="124"/>
      <c r="R356" s="124"/>
      <c r="S356" s="124"/>
      <c r="T356" s="124"/>
      <c r="U356" s="124"/>
      <c r="V356" s="124"/>
      <c r="W356" s="124"/>
    </row>
    <row r="357">
      <c r="C357" s="110" t="s">
        <v>55</v>
      </c>
      <c r="D357" s="110"/>
      <c r="E357" t="n">
        <f>COUNTIFS(dados[RESPOSTA],C357,dados[ID_PERGUNTA],$C$344,dados[COD_HABILITAÇÃO_CURSO],$C$4)</f>
        <v>0</v>
      </c>
      <c r="F357" s="141" t="n">
        <f t="shared" si="80"/>
        <v>0</v>
      </c>
      <c r="G357" t="n">
        <f>COUNTIFS(dados[RESPOSTA],C357,dados[ID_PERGUNTA],$C$344,dados[COD_SETOR_CURSO],$C$5)</f>
        <v>53</v>
      </c>
      <c r="H357" s="141" t="n">
        <f t="shared" si="81"/>
        <v>77.941000000000003</v>
      </c>
      <c r="I357" t="n">
        <f>COUNTIFS(dados[RESPOSTA],C357, dados[ID_PERGUNTA],$C$344,dados[Instituição],$A$2)</f>
        <v>385</v>
      </c>
      <c r="J357" s="141" t="n">
        <f t="shared" si="82"/>
        <v>79.055000000000007</v>
      </c>
    </row>
    <row r="358">
      <c r="C358" s="111" t="s">
        <v>313</v>
      </c>
      <c r="D358" s="111"/>
      <c r="E358" s="132" t="n">
        <f t="shared" ref="E358:J358" si="83">SUM(E352:E357)</f>
        <v>1</v>
      </c>
      <c r="F358" s="142" t="n">
        <f t="shared" si="83"/>
        <v>100</v>
      </c>
      <c r="G358" s="62" t="n">
        <f t="shared" si="83"/>
        <v>68</v>
      </c>
      <c r="H358" s="58" t="n">
        <f t="shared" si="83"/>
        <v>100</v>
      </c>
      <c r="I358" s="62" t="n">
        <f t="shared" si="83"/>
        <v>487</v>
      </c>
      <c r="J358" s="58" t="n">
        <f t="shared" si="83"/>
        <v>100</v>
      </c>
    </row>
    <row r="361">
      <c r="C361" s="70" t="s">
        <v>427</v>
      </c>
      <c r="D361" s="70"/>
      <c r="E361" s="70"/>
      <c r="F361" s="70"/>
      <c r="G361" s="70"/>
      <c r="H361" s="70"/>
      <c r="I361" s="70"/>
      <c r="J361" s="70"/>
    </row>
    <row r="362">
      <c r="C362" s="56"/>
      <c r="D362" s="56"/>
      <c r="E362" s="71" t="s">
        <v>418</v>
      </c>
      <c r="F362" s="71"/>
      <c r="G362" s="72" t="s">
        <v>419</v>
      </c>
      <c r="H362" s="72"/>
      <c r="I362" s="73" t="s">
        <v>21</v>
      </c>
      <c r="J362" s="73"/>
      <c r="N362" s="124"/>
      <c r="O362" s="129"/>
    </row>
    <row r="363">
      <c r="C363" s="136" t="s">
        <v>428</v>
      </c>
      <c r="D363" s="136" t="s">
        <v>429</v>
      </c>
      <c r="E363" s="156" t="s">
        <v>303</v>
      </c>
      <c r="F363" s="155" t="s">
        <v>426</v>
      </c>
      <c r="G363" s="156" t="s">
        <v>303</v>
      </c>
      <c r="H363" s="155" t="s">
        <v>426</v>
      </c>
      <c r="I363" s="156" t="s">
        <v>303</v>
      </c>
      <c r="J363" s="155" t="s">
        <v>426</v>
      </c>
      <c r="N363" s="124"/>
    </row>
    <row r="364">
      <c r="C364" s="119" t="s">
        <v>401</v>
      </c>
      <c r="D364" s="41" t="s">
        <v>409</v>
      </c>
      <c r="E364" s="12" t="n">
        <f>E352+E353</f>
        <v>0</v>
      </c>
      <c r="F364" s="141" t="n">
        <f>SUM(F352+F353)</f>
        <v>0</v>
      </c>
      <c r="G364" s="12" t="n">
        <f>G352+G353</f>
        <v>2</v>
      </c>
      <c r="H364" s="141" t="n">
        <f>SUM(H352+H353)</f>
        <v>2.9409999999999998</v>
      </c>
      <c r="I364" s="12" t="n">
        <f>I352+I353</f>
        <v>8</v>
      </c>
      <c r="J364" s="141" t="n">
        <f>SUM(J352+J353)</f>
        <v>1.6429999999999998</v>
      </c>
      <c r="N364" s="124"/>
    </row>
    <row r="365">
      <c r="C365" s="120" t="s">
        <v>402</v>
      </c>
      <c r="D365" s="41" t="s">
        <v>55</v>
      </c>
      <c r="E365" s="12" t="n">
        <f t="shared" ref="E365:J365" si="84">E357</f>
        <v>0</v>
      </c>
      <c r="F365" s="141" t="n">
        <f t="shared" si="84"/>
        <v>0</v>
      </c>
      <c r="G365" s="12" t="n">
        <f t="shared" si="84"/>
        <v>53</v>
      </c>
      <c r="H365" s="141" t="n">
        <f t="shared" si="84"/>
        <v>77.941000000000003</v>
      </c>
      <c r="I365" s="12" t="n">
        <f t="shared" si="84"/>
        <v>385</v>
      </c>
      <c r="J365" s="141" t="n">
        <f t="shared" si="84"/>
        <v>79.055000000000007</v>
      </c>
      <c r="N365" s="124"/>
    </row>
    <row r="366">
      <c r="C366" s="121" t="s">
        <v>403</v>
      </c>
      <c r="D366" s="41" t="n">
        <v>6</v>
      </c>
      <c r="E366" s="12" t="n">
        <f t="shared" ref="E366:J366" si="85">E354</f>
        <v>0</v>
      </c>
      <c r="F366" s="141" t="n">
        <f t="shared" si="85"/>
        <v>0</v>
      </c>
      <c r="G366" s="12" t="n">
        <f t="shared" si="85"/>
        <v>3</v>
      </c>
      <c r="H366" s="141" t="n">
        <f t="shared" si="85"/>
        <v>4.4119999999999999</v>
      </c>
      <c r="I366" s="12" t="n">
        <f t="shared" si="85"/>
        <v>11</v>
      </c>
      <c r="J366" s="141" t="n">
        <f t="shared" si="85"/>
        <v>2.2589999999999999</v>
      </c>
      <c r="N366" s="124"/>
    </row>
    <row r="367">
      <c r="C367" s="122" t="s">
        <v>404</v>
      </c>
      <c r="D367" s="41" t="s">
        <v>410</v>
      </c>
      <c r="E367" s="147" t="n">
        <f t="shared" ref="E367:J367" si="86">E355+E356</f>
        <v>1</v>
      </c>
      <c r="F367" s="141" t="n">
        <f t="shared" si="86"/>
        <v>100</v>
      </c>
      <c r="G367" s="147" t="n">
        <f t="shared" si="86"/>
        <v>10</v>
      </c>
      <c r="H367" s="141" t="n">
        <f t="shared" si="86"/>
        <v>14.706</v>
      </c>
      <c r="I367" s="147" t="n">
        <f t="shared" si="86"/>
        <v>83</v>
      </c>
      <c r="J367" s="141" t="n">
        <f t="shared" si="86"/>
        <v>17.042999999999999</v>
      </c>
      <c r="N367" s="124"/>
    </row>
    <row r="368">
      <c r="C368" s="132"/>
      <c r="D368" s="132" t="s">
        <v>313</v>
      </c>
      <c r="E368" s="132" t="n">
        <f t="shared" ref="E368:J368" si="87">SUM(E364:E367)</f>
        <v>1</v>
      </c>
      <c r="F368" s="142" t="n">
        <f t="shared" si="87"/>
        <v>100</v>
      </c>
      <c r="G368" s="132" t="n">
        <f t="shared" si="87"/>
        <v>68</v>
      </c>
      <c r="H368" s="142" t="n">
        <f t="shared" si="87"/>
        <v>100.00000000000001</v>
      </c>
      <c r="I368" s="132" t="n">
        <f t="shared" si="87"/>
        <v>487</v>
      </c>
      <c r="J368" s="142" t="n">
        <f t="shared" si="87"/>
        <v>100</v>
      </c>
      <c r="L368" s="77"/>
      <c r="M368" s="77"/>
      <c r="N368" s="124"/>
    </row>
    <row r="369">
      <c r="L369" s="77"/>
      <c r="M369" s="77"/>
      <c r="N369" s="124"/>
    </row>
    <row r="370">
      <c r="B370" s="178"/>
      <c r="N370" s="124"/>
    </row>
    <row r="371">
      <c r="B371" s="165"/>
      <c r="C371" s="166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</row>
    <row r="373">
      <c r="B373" s="66" t="s">
        <v>421</v>
      </c>
      <c r="C373" s="80" t="n">
        <f>INDEX(Questoes!A:A,MATCH(C377,Questoes!J:J,0))</f>
        <v>42</v>
      </c>
      <c r="D373" s="83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</row>
    <row r="374">
      <c r="B374" s="66"/>
      <c r="C374" s="80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</row>
    <row r="375">
      <c r="B375" s="66"/>
      <c r="C375" s="80"/>
      <c r="D375" s="84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</row>
    <row r="376">
      <c r="D376" s="82" t="str">
        <f>IF(INDEX(Questoes!I:I,MATCH(C377,Questoes!J:J,FALSE))=0,"",INDEX(Questoes!I:I,MATCH(C377,Questoes!J:J,FALSE)))</f>
      </c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</row>
    <row r="377">
      <c r="B377" s="79" t="s">
        <v>422</v>
      </c>
      <c r="C377" s="80" t="n">
        <v>1092</v>
      </c>
      <c r="D377" s="81" t="str">
        <f>VLOOKUP(C377, Questoes!J:K,2, 0)</f>
        <v>SIPAD (Superintendência de Inclusão, Políticas Afirmativas e Diversidade)</v>
      </c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</row>
    <row r="378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</row>
    <row r="379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</row>
    <row r="380">
      <c r="B380" s="138"/>
      <c r="C380" s="139"/>
      <c r="D380" s="137" t="str">
        <f>IF(INDEX(Questoes!L:L,MATCH(C377,Questoes!J:J,0))=0,"",INDEX(Questoes!L:L,MATCH(C377,Questoes!J:J,0)))</f>
      </c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</row>
    <row r="381">
      <c r="B381" s="138"/>
      <c r="C381" s="139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</row>
    <row r="382">
      <c r="B382" s="144" t="s">
        <v>432</v>
      </c>
      <c r="C382" s="70" t="s">
        <v>424</v>
      </c>
      <c r="D382" s="70"/>
      <c r="E382" s="70"/>
      <c r="F382" s="70"/>
      <c r="G382" s="70"/>
      <c r="H382" s="70"/>
      <c r="I382" s="70"/>
      <c r="J382" s="70"/>
      <c r="K382" s="140"/>
      <c r="L382" s="67" t="str">
        <f>C382</f>
        <v>Apuração de Resultados </v>
      </c>
      <c r="M382" s="68"/>
      <c r="N382" s="68"/>
      <c r="O382" s="69"/>
      <c r="P382" s="117"/>
      <c r="Q382" s="67" t="str">
        <f>C394</f>
        <v>Critérios de Análise</v>
      </c>
      <c r="R382" s="68"/>
      <c r="S382" s="68"/>
      <c r="T382" s="68"/>
      <c r="U382" s="68"/>
      <c r="V382" s="68"/>
      <c r="W382" s="69"/>
    </row>
    <row r="383">
      <c r="C383" s="64"/>
      <c r="D383" s="64"/>
      <c r="E383" s="74" t="s">
        <v>418</v>
      </c>
      <c r="F383" s="74"/>
      <c r="G383" s="75" t="s">
        <v>419</v>
      </c>
      <c r="H383" s="75"/>
      <c r="I383" s="76" t="s">
        <v>21</v>
      </c>
      <c r="J383" s="76"/>
      <c r="L383" s="159" t="s">
        <v>422</v>
      </c>
      <c r="M383" s="106" t="n">
        <f>C377</f>
        <v>1092</v>
      </c>
      <c r="N383" s="106"/>
      <c r="O383" s="106"/>
      <c r="P383" s="117"/>
      <c r="Q383" s="107" t="str">
        <f>L383</f>
        <v>Questão</v>
      </c>
      <c r="R383" s="107"/>
      <c r="S383" s="107"/>
      <c r="T383" s="108" t="n">
        <f>M383</f>
        <v>1092</v>
      </c>
      <c r="U383" s="108"/>
      <c r="V383" s="108"/>
      <c r="W383" s="108"/>
    </row>
    <row r="384">
      <c r="C384" s="112" t="s">
        <v>425</v>
      </c>
      <c r="D384" s="112"/>
      <c r="E384" s="156" t="s">
        <v>303</v>
      </c>
      <c r="F384" s="155" t="s">
        <v>426</v>
      </c>
      <c r="G384" s="156" t="s">
        <v>303</v>
      </c>
      <c r="H384" s="155" t="s">
        <v>426</v>
      </c>
      <c r="I384" s="156" t="s">
        <v>303</v>
      </c>
      <c r="J384" s="155" t="s">
        <v>426</v>
      </c>
      <c r="K384" s="117"/>
    </row>
    <row r="385">
      <c r="C385" s="109" t="n">
        <v>2</v>
      </c>
      <c r="D385" s="109"/>
      <c r="E385" t="n">
        <f>COUNTIFS(dados[RESPOSTA],C385,dados[ID_PERGUNTA],$C$377,dados[COD_HABILITAÇÃO_CURSO],$C$4)</f>
        <v>0</v>
      </c>
      <c r="F385" s="141" t="e">
        <f t="shared" ref="F385:F390" si="88">ROUND(E385/$E$391*100,3)</f>
        <v>#DIV/0!</v>
      </c>
      <c r="G385" t="n">
        <f>COUNTIFS(dados[RESPOSTA],C385,dados[ID_PERGUNTA],$C$377,dados[COD_SETOR_CURSO],$C$5)</f>
        <v>3</v>
      </c>
      <c r="H385" s="141" t="n">
        <f t="shared" ref="H385:H390" si="89">ROUND(G385/$G$391*100,3)</f>
        <v>4.3479999999999999</v>
      </c>
      <c r="I385" t="n">
        <f>COUNTIFS(dados[RESPOSTA],C385, dados[ID_PERGUNTA],$C$377,dados[Instituição],$A$2)</f>
        <v>6</v>
      </c>
      <c r="J385" s="141" t="n">
        <f t="shared" ref="J385:J390" si="90">ROUND(I385/$I$391*100,3)</f>
        <v>1.2270000000000001</v>
      </c>
      <c r="P385" s="118"/>
      <c r="V385" s="20"/>
      <c r="W385" s="20"/>
    </row>
    <row r="386">
      <c r="C386" s="77" t="n">
        <v>4</v>
      </c>
      <c r="D386" s="77"/>
      <c r="E386" t="n">
        <f>COUNTIFS(dados[RESPOSTA],C386,dados[ID_PERGUNTA],$C$377,dados[COD_HABILITAÇÃO_CURSO],$C$4)</f>
        <v>0</v>
      </c>
      <c r="F386" s="141" t="e">
        <f t="shared" si="88"/>
        <v>#DIV/0!</v>
      </c>
      <c r="G386" t="n">
        <f>COUNTIFS(dados[RESPOSTA],C386,dados[ID_PERGUNTA],$C$377,dados[COD_SETOR_CURSO],$C$5)</f>
        <v>1</v>
      </c>
      <c r="H386" s="141" t="n">
        <f t="shared" si="89"/>
        <v>1.4490000000000001</v>
      </c>
      <c r="I386" t="n">
        <f>COUNTIFS(dados[RESPOSTA],C386, dados[ID_PERGUNTA],$C$377,dados[Instituição],$A$2)</f>
        <v>4</v>
      </c>
      <c r="J386" s="141" t="n">
        <f t="shared" si="90"/>
        <v>0.81799999999999995</v>
      </c>
    </row>
    <row r="387">
      <c r="C387" s="77" t="n">
        <v>6</v>
      </c>
      <c r="D387" s="77"/>
      <c r="E387" t="n">
        <f>COUNTIFS(dados[RESPOSTA],C387,dados[ID_PERGUNTA],$C$377,dados[COD_HABILITAÇÃO_CURSO],$C$4)</f>
        <v>0</v>
      </c>
      <c r="F387" s="141" t="e">
        <f t="shared" si="88"/>
        <v>#DIV/0!</v>
      </c>
      <c r="G387" t="n">
        <f>COUNTIFS(dados[RESPOSTA],C387,dados[ID_PERGUNTA],$C$377,dados[COD_SETOR_CURSO],$C$5)</f>
        <v>4</v>
      </c>
      <c r="H387" s="141" t="n">
        <f t="shared" si="89"/>
        <v>5.7969999999999997</v>
      </c>
      <c r="I387" t="n">
        <f>COUNTIFS(dados[RESPOSTA],C387, dados[ID_PERGUNTA],$C$377,dados[Instituição],$A$2)</f>
        <v>11</v>
      </c>
      <c r="J387" s="141" t="n">
        <f t="shared" si="90"/>
        <v>2.2490000000000001</v>
      </c>
    </row>
    <row r="388">
      <c r="C388" s="77" t="n">
        <v>8</v>
      </c>
      <c r="D388" s="77"/>
      <c r="E388" t="n">
        <f>COUNTIFS(dados[RESPOSTA],C388,dados[ID_PERGUNTA],$C$377,dados[COD_HABILITAÇÃO_CURSO],$C$4)</f>
        <v>0</v>
      </c>
      <c r="F388" s="141" t="e">
        <f t="shared" si="88"/>
        <v>#DIV/0!</v>
      </c>
      <c r="G388" t="n">
        <f>COUNTIFS(dados[RESPOSTA],C388,dados[ID_PERGUNTA],$C$377,dados[COD_SETOR_CURSO],$C$5)</f>
        <v>1</v>
      </c>
      <c r="H388" s="141" t="n">
        <f t="shared" si="89"/>
        <v>1.4490000000000001</v>
      </c>
      <c r="I388" t="n">
        <f>COUNTIFS(dados[RESPOSTA],C388, dados[ID_PERGUNTA],$C$377,dados[Instituição],$A$2)</f>
        <v>23</v>
      </c>
      <c r="J388" s="141" t="n">
        <f t="shared" si="90"/>
        <v>4.7030000000000003</v>
      </c>
    </row>
    <row r="389">
      <c r="C389" s="77" t="n">
        <v>10</v>
      </c>
      <c r="D389" s="77"/>
      <c r="E389" t="n">
        <f>COUNTIFS(dados[RESPOSTA],C389,dados[ID_PERGUNTA],$C$377,dados[COD_HABILITAÇÃO_CURSO],$C$4)</f>
        <v>0</v>
      </c>
      <c r="F389" s="141" t="e">
        <f t="shared" si="88"/>
        <v>#DIV/0!</v>
      </c>
      <c r="G389" t="n">
        <f>COUNTIFS(dados[RESPOSTA],C389,dados[ID_PERGUNTA],$C$377,dados[COD_SETOR_CURSO],$C$5)</f>
        <v>5</v>
      </c>
      <c r="H389" s="141" t="n">
        <f t="shared" si="89"/>
        <v>7.2460000000000004</v>
      </c>
      <c r="I389" t="n">
        <f>COUNTIFS(dados[RESPOSTA],C389, dados[ID_PERGUNTA],$C$377,dados[Instituição],$A$2)</f>
        <v>34</v>
      </c>
      <c r="J389" s="141" t="n">
        <f t="shared" si="90"/>
        <v>6.9530000000000003</v>
      </c>
      <c r="P389" s="124"/>
      <c r="Q389" s="124"/>
      <c r="R389" s="124"/>
      <c r="S389" s="124"/>
      <c r="T389" s="124"/>
      <c r="U389" s="124"/>
      <c r="V389" s="124"/>
      <c r="W389" s="124"/>
    </row>
    <row r="390">
      <c r="C390" s="110" t="s">
        <v>55</v>
      </c>
      <c r="D390" s="110"/>
      <c r="E390" t="n">
        <f>COUNTIFS(dados[RESPOSTA],C390,dados[ID_PERGUNTA],$C$377,dados[COD_HABILITAÇÃO_CURSO],$C$4)</f>
        <v>0</v>
      </c>
      <c r="F390" s="141" t="e">
        <f t="shared" si="88"/>
        <v>#DIV/0!</v>
      </c>
      <c r="G390" t="n">
        <f>COUNTIFS(dados[RESPOSTA],C390,dados[ID_PERGUNTA],$C$377,dados[COD_SETOR_CURSO],$C$5)</f>
        <v>55</v>
      </c>
      <c r="H390" s="141" t="n">
        <f t="shared" si="89"/>
        <v>79.709999999999994</v>
      </c>
      <c r="I390" t="n">
        <f>COUNTIFS(dados[RESPOSTA],C390, dados[ID_PERGUNTA],$C$377,dados[Instituição],$A$2)</f>
        <v>411</v>
      </c>
      <c r="J390" s="141" t="n">
        <f t="shared" si="90"/>
        <v>84.049000000000007</v>
      </c>
    </row>
    <row r="391">
      <c r="C391" s="111" t="s">
        <v>313</v>
      </c>
      <c r="D391" s="111"/>
      <c r="E391" s="132" t="n">
        <f t="shared" ref="E391:J391" si="91">SUM(E385:E390)</f>
        <v>0</v>
      </c>
      <c r="F391" s="142" t="e">
        <f t="shared" si="91"/>
        <v>#DIV/0!</v>
      </c>
      <c r="G391" s="62" t="n">
        <f t="shared" si="91"/>
        <v>69</v>
      </c>
      <c r="H391" s="58" t="n">
        <f t="shared" si="91"/>
        <v>99.998999999999995</v>
      </c>
      <c r="I391" s="62" t="n">
        <f t="shared" si="91"/>
        <v>489</v>
      </c>
      <c r="J391" s="58" t="n">
        <f t="shared" si="91"/>
        <v>99.999000000000009</v>
      </c>
    </row>
    <row r="394">
      <c r="C394" s="70" t="s">
        <v>427</v>
      </c>
      <c r="D394" s="70"/>
      <c r="E394" s="70"/>
      <c r="F394" s="70"/>
      <c r="G394" s="70"/>
      <c r="H394" s="70"/>
      <c r="I394" s="70"/>
      <c r="J394" s="70"/>
    </row>
    <row r="395">
      <c r="C395" s="56"/>
      <c r="D395" s="56"/>
      <c r="E395" s="71" t="s">
        <v>418</v>
      </c>
      <c r="F395" s="71"/>
      <c r="G395" s="72" t="s">
        <v>419</v>
      </c>
      <c r="H395" s="72"/>
      <c r="I395" s="73" t="s">
        <v>21</v>
      </c>
      <c r="J395" s="73"/>
      <c r="N395" s="124"/>
      <c r="O395" s="129"/>
    </row>
    <row r="396">
      <c r="C396" s="136" t="s">
        <v>428</v>
      </c>
      <c r="D396" s="136" t="s">
        <v>429</v>
      </c>
      <c r="E396" s="156" t="s">
        <v>303</v>
      </c>
      <c r="F396" s="155" t="s">
        <v>426</v>
      </c>
      <c r="G396" s="156" t="s">
        <v>303</v>
      </c>
      <c r="H396" s="155" t="s">
        <v>426</v>
      </c>
      <c r="I396" s="156" t="s">
        <v>303</v>
      </c>
      <c r="J396" s="155" t="s">
        <v>426</v>
      </c>
      <c r="N396" s="124"/>
    </row>
    <row r="397">
      <c r="C397" s="119" t="s">
        <v>401</v>
      </c>
      <c r="D397" s="41" t="s">
        <v>409</v>
      </c>
      <c r="E397" s="12" t="n">
        <f>E385+E386</f>
        <v>0</v>
      </c>
      <c r="F397" s="141" t="e">
        <f>SUM(F385+F386)</f>
        <v>#DIV/0!</v>
      </c>
      <c r="G397" s="12" t="n">
        <f>G385+G386</f>
        <v>4</v>
      </c>
      <c r="H397" s="141" t="n">
        <f>SUM(H385+H386)</f>
        <v>5.7969999999999997</v>
      </c>
      <c r="I397" s="12" t="n">
        <f>I385+I386</f>
        <v>10</v>
      </c>
      <c r="J397" s="141" t="n">
        <f>SUM(J385+J386)</f>
        <v>2.0449999999999999</v>
      </c>
      <c r="N397" s="124"/>
    </row>
    <row r="398">
      <c r="C398" s="120" t="s">
        <v>402</v>
      </c>
      <c r="D398" s="41" t="s">
        <v>55</v>
      </c>
      <c r="E398" s="12" t="n">
        <f t="shared" ref="E398:J398" si="92">E390</f>
        <v>0</v>
      </c>
      <c r="F398" s="141" t="e">
        <f t="shared" si="92"/>
        <v>#DIV/0!</v>
      </c>
      <c r="G398" s="12" t="n">
        <f t="shared" si="92"/>
        <v>55</v>
      </c>
      <c r="H398" s="141" t="n">
        <f t="shared" si="92"/>
        <v>79.709999999999994</v>
      </c>
      <c r="I398" s="12" t="n">
        <f t="shared" si="92"/>
        <v>411</v>
      </c>
      <c r="J398" s="141" t="n">
        <f t="shared" si="92"/>
        <v>84.049000000000007</v>
      </c>
      <c r="N398" s="124"/>
    </row>
    <row r="399">
      <c r="C399" s="121" t="s">
        <v>403</v>
      </c>
      <c r="D399" s="41" t="n">
        <v>6</v>
      </c>
      <c r="E399" s="12" t="n">
        <f t="shared" ref="E399:J399" si="93">E387</f>
        <v>0</v>
      </c>
      <c r="F399" s="141" t="e">
        <f t="shared" si="93"/>
        <v>#DIV/0!</v>
      </c>
      <c r="G399" s="12" t="n">
        <f t="shared" si="93"/>
        <v>4</v>
      </c>
      <c r="H399" s="141" t="n">
        <f t="shared" si="93"/>
        <v>5.7969999999999997</v>
      </c>
      <c r="I399" s="12" t="n">
        <f t="shared" si="93"/>
        <v>11</v>
      </c>
      <c r="J399" s="141" t="n">
        <f t="shared" si="93"/>
        <v>2.2490000000000001</v>
      </c>
      <c r="N399" s="124"/>
    </row>
    <row r="400">
      <c r="C400" s="122" t="s">
        <v>404</v>
      </c>
      <c r="D400" s="41" t="s">
        <v>410</v>
      </c>
      <c r="E400" s="147" t="n">
        <f t="shared" ref="E400:J400" si="94">E388+E389</f>
        <v>0</v>
      </c>
      <c r="F400" s="141" t="e">
        <f t="shared" si="94"/>
        <v>#DIV/0!</v>
      </c>
      <c r="G400" s="147" t="n">
        <f t="shared" si="94"/>
        <v>6</v>
      </c>
      <c r="H400" s="141" t="n">
        <f t="shared" si="94"/>
        <v>8.6950000000000003</v>
      </c>
      <c r="I400" s="147" t="n">
        <f t="shared" si="94"/>
        <v>57</v>
      </c>
      <c r="J400" s="141" t="n">
        <f t="shared" si="94"/>
        <v>11.656000000000001</v>
      </c>
      <c r="N400" s="124"/>
    </row>
    <row r="401">
      <c r="C401" s="132"/>
      <c r="D401" s="132" t="s">
        <v>313</v>
      </c>
      <c r="E401" s="132" t="n">
        <f t="shared" ref="E401:J401" si="95">SUM(E397:E400)</f>
        <v>0</v>
      </c>
      <c r="F401" s="142" t="e">
        <f t="shared" si="95"/>
        <v>#DIV/0!</v>
      </c>
      <c r="G401" s="132" t="n">
        <f t="shared" si="95"/>
        <v>69</v>
      </c>
      <c r="H401" s="142" t="n">
        <f t="shared" si="95"/>
        <v>99.998999999999995</v>
      </c>
      <c r="I401" s="132" t="n">
        <f t="shared" si="95"/>
        <v>489</v>
      </c>
      <c r="J401" s="142" t="n">
        <f t="shared" si="95"/>
        <v>99.999000000000009</v>
      </c>
      <c r="L401" s="77"/>
      <c r="M401" s="77"/>
      <c r="N401" s="124"/>
    </row>
    <row r="402">
      <c r="L402" s="77"/>
      <c r="M402" s="77"/>
      <c r="N402" s="124"/>
    </row>
    <row r="403">
      <c r="B403" s="178"/>
      <c r="N403" s="124"/>
    </row>
    <row r="404">
      <c r="B404" s="165"/>
      <c r="C404" s="166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</row>
    <row r="406">
      <c r="B406" s="66" t="s">
        <v>421</v>
      </c>
      <c r="C406" s="80" t="n">
        <f>INDEX(Questoes!A:A,MATCH(C410,Questoes!J:J,0))</f>
        <v>43</v>
      </c>
      <c r="D406" s="83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</row>
    <row r="407">
      <c r="B407" s="66"/>
      <c r="C407" s="80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</row>
    <row r="408">
      <c r="B408" s="66"/>
      <c r="C408" s="80"/>
      <c r="D408" s="84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>
      <c r="D409" s="82" t="str">
        <f>IF(INDEX(Questoes!I:I,MATCH(C410,Questoes!J:J,FALSE))=0,"",INDEX(Questoes!I:I,MATCH(C410,Questoes!J:J,FALSE)))</f>
      </c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</row>
    <row r="410">
      <c r="B410" s="79" t="s">
        <v>422</v>
      </c>
      <c r="C410" s="80" t="n">
        <v>1093</v>
      </c>
      <c r="D410" s="81" t="str">
        <f>VLOOKUP(C410, Questoes!J:K,2, 0)</f>
        <v>Ouvidoria da UFPR</v>
      </c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</row>
    <row r="411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</row>
    <row r="41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</row>
    <row r="413">
      <c r="B413" s="138"/>
      <c r="C413" s="139"/>
      <c r="D413" s="137" t="str">
        <f>IF(INDEX(Questoes!L:L,MATCH(C410,Questoes!J:J,0))=0,"",INDEX(Questoes!L:L,MATCH(C410,Questoes!J:J,0)))</f>
      </c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</row>
    <row r="414">
      <c r="B414" s="138"/>
      <c r="C414" s="139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</row>
    <row r="415">
      <c r="B415" s="144" t="s">
        <v>432</v>
      </c>
      <c r="C415" s="70" t="s">
        <v>424</v>
      </c>
      <c r="D415" s="70"/>
      <c r="E415" s="70"/>
      <c r="F415" s="70"/>
      <c r="G415" s="70"/>
      <c r="H415" s="70"/>
      <c r="I415" s="70"/>
      <c r="J415" s="70"/>
      <c r="K415" s="140"/>
      <c r="L415" s="67" t="str">
        <f>C415</f>
        <v>Apuração de Resultados </v>
      </c>
      <c r="M415" s="68"/>
      <c r="N415" s="68"/>
      <c r="O415" s="69"/>
      <c r="P415" s="117"/>
      <c r="Q415" s="67" t="str">
        <f>C427</f>
        <v>Critérios de Análise</v>
      </c>
      <c r="R415" s="68"/>
      <c r="S415" s="68"/>
      <c r="T415" s="68"/>
      <c r="U415" s="68"/>
      <c r="V415" s="68"/>
      <c r="W415" s="69"/>
    </row>
    <row r="416">
      <c r="C416" s="64"/>
      <c r="D416" s="64"/>
      <c r="E416" s="74" t="s">
        <v>418</v>
      </c>
      <c r="F416" s="74"/>
      <c r="G416" s="75" t="s">
        <v>419</v>
      </c>
      <c r="H416" s="75"/>
      <c r="I416" s="76" t="s">
        <v>21</v>
      </c>
      <c r="J416" s="76"/>
      <c r="L416" s="159" t="s">
        <v>422</v>
      </c>
      <c r="M416" s="106" t="n">
        <f>C410</f>
        <v>1093</v>
      </c>
      <c r="N416" s="106"/>
      <c r="O416" s="106"/>
      <c r="P416" s="117"/>
      <c r="Q416" s="107" t="str">
        <f>L416</f>
        <v>Questão</v>
      </c>
      <c r="R416" s="107"/>
      <c r="S416" s="107"/>
      <c r="T416" s="108" t="n">
        <f>M416</f>
        <v>1093</v>
      </c>
      <c r="U416" s="108"/>
      <c r="V416" s="108"/>
      <c r="W416" s="108"/>
    </row>
    <row r="417">
      <c r="C417" s="112" t="s">
        <v>425</v>
      </c>
      <c r="D417" s="112"/>
      <c r="E417" s="156" t="s">
        <v>303</v>
      </c>
      <c r="F417" s="155" t="s">
        <v>426</v>
      </c>
      <c r="G417" s="156" t="s">
        <v>303</v>
      </c>
      <c r="H417" s="155" t="s">
        <v>426</v>
      </c>
      <c r="I417" s="156" t="s">
        <v>303</v>
      </c>
      <c r="J417" s="155" t="s">
        <v>426</v>
      </c>
      <c r="K417" s="117"/>
    </row>
    <row r="418">
      <c r="C418" s="109" t="n">
        <v>2</v>
      </c>
      <c r="D418" s="109"/>
      <c r="E418" t="n">
        <f>COUNTIFS(dados[RESPOSTA],C418,dados[ID_PERGUNTA],$C$410,dados[COD_HABILITAÇÃO_CURSO],$C$4)</f>
        <v>0</v>
      </c>
      <c r="F418" s="141" t="e">
        <f t="shared" ref="F418:F423" si="96">ROUND(E418/$E$424*100,3)</f>
        <v>#DIV/0!</v>
      </c>
      <c r="G418" t="n">
        <f>COUNTIFS(dados[RESPOSTA],C418,dados[ID_PERGUNTA],$C$410,dados[COD_SETOR_CURSO],$C$5)</f>
        <v>5</v>
      </c>
      <c r="H418" s="141" t="n">
        <f t="shared" ref="H418:H423" si="97">ROUND(G418/$G$424*100,3)</f>
        <v>7.2460000000000004</v>
      </c>
      <c r="I418" t="n">
        <f>COUNTIFS(dados[RESPOSTA],C418, dados[ID_PERGUNTA],$C$410,dados[Instituição],$A$2)</f>
        <v>14</v>
      </c>
      <c r="J418" s="141" t="n">
        <f t="shared" ref="J418:J423" si="98">ROUND(I418/$I$424*100,3)</f>
        <v>2.8690000000000002</v>
      </c>
      <c r="P418" s="118"/>
      <c r="V418" s="20"/>
      <c r="W418" s="20"/>
    </row>
    <row r="419">
      <c r="C419" s="77" t="n">
        <v>4</v>
      </c>
      <c r="D419" s="77"/>
      <c r="E419" t="n">
        <f>COUNTIFS(dados[RESPOSTA],C419,dados[ID_PERGUNTA],$C$410,dados[COD_HABILITAÇÃO_CURSO],$C$4)</f>
        <v>0</v>
      </c>
      <c r="F419" s="141" t="e">
        <f t="shared" si="96"/>
        <v>#DIV/0!</v>
      </c>
      <c r="G419" t="n">
        <f>COUNTIFS(dados[RESPOSTA],C419,dados[ID_PERGUNTA],$C$410,dados[COD_SETOR_CURSO],$C$5)</f>
        <v>3</v>
      </c>
      <c r="H419" s="141" t="n">
        <f t="shared" si="97"/>
        <v>4.3479999999999999</v>
      </c>
      <c r="I419" t="n">
        <f>COUNTIFS(dados[RESPOSTA],C419, dados[ID_PERGUNTA],$C$410,dados[Instituição],$A$2)</f>
        <v>11</v>
      </c>
      <c r="J419" s="141" t="n">
        <f t="shared" si="98"/>
        <v>2.254</v>
      </c>
    </row>
    <row r="420">
      <c r="C420" s="77" t="n">
        <v>6</v>
      </c>
      <c r="D420" s="77"/>
      <c r="E420" t="n">
        <f>COUNTIFS(dados[RESPOSTA],C420,dados[ID_PERGUNTA],$C$410,dados[COD_HABILITAÇÃO_CURSO],$C$4)</f>
        <v>0</v>
      </c>
      <c r="F420" s="141" t="e">
        <f t="shared" si="96"/>
        <v>#DIV/0!</v>
      </c>
      <c r="G420" t="n">
        <f>COUNTIFS(dados[RESPOSTA],C420,dados[ID_PERGUNTA],$C$410,dados[COD_SETOR_CURSO],$C$5)</f>
        <v>2</v>
      </c>
      <c r="H420" s="141" t="n">
        <f t="shared" si="97"/>
        <v>2.899</v>
      </c>
      <c r="I420" t="n">
        <f>COUNTIFS(dados[RESPOSTA],C420, dados[ID_PERGUNTA],$C$410,dados[Instituição],$A$2)</f>
        <v>14</v>
      </c>
      <c r="J420" s="141" t="n">
        <f t="shared" si="98"/>
        <v>2.8690000000000002</v>
      </c>
    </row>
    <row r="421">
      <c r="C421" s="77" t="n">
        <v>8</v>
      </c>
      <c r="D421" s="77"/>
      <c r="E421" t="n">
        <f>COUNTIFS(dados[RESPOSTA],C421,dados[ID_PERGUNTA],$C$410,dados[COD_HABILITAÇÃO_CURSO],$C$4)</f>
        <v>0</v>
      </c>
      <c r="F421" s="141" t="e">
        <f t="shared" si="96"/>
        <v>#DIV/0!</v>
      </c>
      <c r="G421" t="n">
        <f>COUNTIFS(dados[RESPOSTA],C421,dados[ID_PERGUNTA],$C$410,dados[COD_SETOR_CURSO],$C$5)</f>
        <v>0</v>
      </c>
      <c r="H421" s="141" t="n">
        <f t="shared" si="97"/>
        <v>0</v>
      </c>
      <c r="I421" t="n">
        <f>COUNTIFS(dados[RESPOSTA],C421, dados[ID_PERGUNTA],$C$410,dados[Instituição],$A$2)</f>
        <v>17</v>
      </c>
      <c r="J421" s="141" t="n">
        <f t="shared" si="98"/>
        <v>3.484</v>
      </c>
    </row>
    <row r="422">
      <c r="C422" s="77" t="n">
        <v>10</v>
      </c>
      <c r="D422" s="77"/>
      <c r="E422" t="n">
        <f>COUNTIFS(dados[RESPOSTA],C422,dados[ID_PERGUNTA],$C$410,dados[COD_HABILITAÇÃO_CURSO],$C$4)</f>
        <v>0</v>
      </c>
      <c r="F422" s="141" t="e">
        <f t="shared" si="96"/>
        <v>#DIV/0!</v>
      </c>
      <c r="G422" t="n">
        <f>COUNTIFS(dados[RESPOSTA],C422,dados[ID_PERGUNTA],$C$410,dados[COD_SETOR_CURSO],$C$5)</f>
        <v>1</v>
      </c>
      <c r="H422" s="141" t="n">
        <f t="shared" si="97"/>
        <v>1.4490000000000001</v>
      </c>
      <c r="I422" t="n">
        <f>COUNTIFS(dados[RESPOSTA],C422, dados[ID_PERGUNTA],$C$410,dados[Instituição],$A$2)</f>
        <v>20</v>
      </c>
      <c r="J422" s="141" t="n">
        <f t="shared" si="98"/>
        <v>4.0979999999999999</v>
      </c>
      <c r="P422" s="124"/>
      <c r="Q422" s="124"/>
      <c r="R422" s="124"/>
      <c r="S422" s="124"/>
      <c r="T422" s="124"/>
      <c r="U422" s="124"/>
      <c r="V422" s="124"/>
      <c r="W422" s="124"/>
    </row>
    <row r="423">
      <c r="C423" s="110" t="s">
        <v>55</v>
      </c>
      <c r="D423" s="110"/>
      <c r="E423" t="n">
        <f>COUNTIFS(dados[RESPOSTA],C423,dados[ID_PERGUNTA],$C$410,dados[COD_HABILITAÇÃO_CURSO],$C$4)</f>
        <v>0</v>
      </c>
      <c r="F423" s="141" t="e">
        <f t="shared" si="96"/>
        <v>#DIV/0!</v>
      </c>
      <c r="G423" t="n">
        <f>COUNTIFS(dados[RESPOSTA],C423,dados[ID_PERGUNTA],$C$410,dados[COD_SETOR_CURSO],$C$5)</f>
        <v>58</v>
      </c>
      <c r="H423" s="141" t="n">
        <f t="shared" si="97"/>
        <v>84.058000000000007</v>
      </c>
      <c r="I423" t="n">
        <f>COUNTIFS(dados[RESPOSTA],C423, dados[ID_PERGUNTA],$C$410,dados[Instituição],$A$2)</f>
        <v>412</v>
      </c>
      <c r="J423" s="141" t="n">
        <f t="shared" si="98"/>
        <v>84.426000000000002</v>
      </c>
    </row>
    <row r="424">
      <c r="C424" s="111" t="s">
        <v>313</v>
      </c>
      <c r="D424" s="111"/>
      <c r="E424" s="132" t="n">
        <f t="shared" ref="E424:J424" si="99">SUM(E418:E423)</f>
        <v>0</v>
      </c>
      <c r="F424" s="142" t="e">
        <f t="shared" si="99"/>
        <v>#DIV/0!</v>
      </c>
      <c r="G424" s="62" t="n">
        <f t="shared" si="99"/>
        <v>69</v>
      </c>
      <c r="H424" s="58" t="n">
        <f t="shared" si="99"/>
        <v>100.00000000000001</v>
      </c>
      <c r="I424" s="62" t="n">
        <f t="shared" si="99"/>
        <v>488</v>
      </c>
      <c r="J424" s="58" t="n">
        <f t="shared" si="99"/>
        <v>100</v>
      </c>
    </row>
    <row r="427">
      <c r="C427" s="70" t="s">
        <v>427</v>
      </c>
      <c r="D427" s="70"/>
      <c r="E427" s="70"/>
      <c r="F427" s="70"/>
      <c r="G427" s="70"/>
      <c r="H427" s="70"/>
      <c r="I427" s="70"/>
      <c r="J427" s="70"/>
    </row>
    <row r="428">
      <c r="C428" s="56"/>
      <c r="D428" s="56"/>
      <c r="E428" s="71" t="s">
        <v>418</v>
      </c>
      <c r="F428" s="71"/>
      <c r="G428" s="72" t="s">
        <v>419</v>
      </c>
      <c r="H428" s="72"/>
      <c r="I428" s="73" t="s">
        <v>21</v>
      </c>
      <c r="J428" s="73"/>
      <c r="N428" s="124"/>
      <c r="O428" s="129"/>
    </row>
    <row r="429">
      <c r="C429" s="136" t="s">
        <v>428</v>
      </c>
      <c r="D429" s="136" t="s">
        <v>429</v>
      </c>
      <c r="E429" s="156" t="s">
        <v>303</v>
      </c>
      <c r="F429" s="155" t="s">
        <v>426</v>
      </c>
      <c r="G429" s="156" t="s">
        <v>303</v>
      </c>
      <c r="H429" s="155" t="s">
        <v>426</v>
      </c>
      <c r="I429" s="156" t="s">
        <v>303</v>
      </c>
      <c r="J429" s="155" t="s">
        <v>426</v>
      </c>
      <c r="N429" s="124"/>
    </row>
    <row r="430">
      <c r="C430" s="119" t="s">
        <v>401</v>
      </c>
      <c r="D430" s="41" t="s">
        <v>409</v>
      </c>
      <c r="E430" s="12" t="n">
        <f>E418+E419</f>
        <v>0</v>
      </c>
      <c r="F430" s="141" t="e">
        <f>SUM(F418+F419)</f>
        <v>#DIV/0!</v>
      </c>
      <c r="G430" s="12" t="n">
        <f>G418+G419</f>
        <v>8</v>
      </c>
      <c r="H430" s="141" t="n">
        <f>SUM(H418+H419)</f>
        <v>11.594000000000001</v>
      </c>
      <c r="I430" s="12" t="n">
        <f>I418+I419</f>
        <v>25</v>
      </c>
      <c r="J430" s="141" t="n">
        <f>SUM(J418+J419)</f>
        <v>5.1230000000000002</v>
      </c>
      <c r="N430" s="124"/>
    </row>
    <row r="431">
      <c r="C431" s="120" t="s">
        <v>402</v>
      </c>
      <c r="D431" s="41" t="s">
        <v>55</v>
      </c>
      <c r="E431" s="12" t="n">
        <f t="shared" ref="E431:J431" si="100">E423</f>
        <v>0</v>
      </c>
      <c r="F431" s="141" t="e">
        <f t="shared" si="100"/>
        <v>#DIV/0!</v>
      </c>
      <c r="G431" s="12" t="n">
        <f t="shared" si="100"/>
        <v>58</v>
      </c>
      <c r="H431" s="141" t="n">
        <f t="shared" si="100"/>
        <v>84.058000000000007</v>
      </c>
      <c r="I431" s="12" t="n">
        <f t="shared" si="100"/>
        <v>412</v>
      </c>
      <c r="J431" s="141" t="n">
        <f t="shared" si="100"/>
        <v>84.426000000000002</v>
      </c>
      <c r="N431" s="124"/>
    </row>
    <row r="432">
      <c r="C432" s="121" t="s">
        <v>403</v>
      </c>
      <c r="D432" s="41" t="n">
        <v>6</v>
      </c>
      <c r="E432" s="12" t="n">
        <f t="shared" ref="E432:J432" si="101">E420</f>
        <v>0</v>
      </c>
      <c r="F432" s="141" t="e">
        <f t="shared" si="101"/>
        <v>#DIV/0!</v>
      </c>
      <c r="G432" s="12" t="n">
        <f t="shared" si="101"/>
        <v>2</v>
      </c>
      <c r="H432" s="141" t="n">
        <f t="shared" si="101"/>
        <v>2.899</v>
      </c>
      <c r="I432" s="12" t="n">
        <f t="shared" si="101"/>
        <v>14</v>
      </c>
      <c r="J432" s="141" t="n">
        <f t="shared" si="101"/>
        <v>2.8690000000000002</v>
      </c>
      <c r="N432" s="124"/>
    </row>
    <row r="433">
      <c r="C433" s="122" t="s">
        <v>404</v>
      </c>
      <c r="D433" s="41" t="s">
        <v>410</v>
      </c>
      <c r="E433" s="147" t="n">
        <f t="shared" ref="E433:J433" si="102">E421+E422</f>
        <v>0</v>
      </c>
      <c r="F433" s="141" t="e">
        <f t="shared" si="102"/>
        <v>#DIV/0!</v>
      </c>
      <c r="G433" s="147" t="n">
        <f t="shared" si="102"/>
        <v>1</v>
      </c>
      <c r="H433" s="141" t="n">
        <f t="shared" si="102"/>
        <v>1.4490000000000001</v>
      </c>
      <c r="I433" s="147" t="n">
        <f t="shared" si="102"/>
        <v>37</v>
      </c>
      <c r="J433" s="141" t="n">
        <f t="shared" si="102"/>
        <v>7.5819999999999999</v>
      </c>
      <c r="N433" s="124"/>
    </row>
    <row r="434">
      <c r="C434" s="132"/>
      <c r="D434" s="132" t="s">
        <v>313</v>
      </c>
      <c r="E434" s="132" t="n">
        <f t="shared" ref="E434:J434" si="103">SUM(E430:E433)</f>
        <v>0</v>
      </c>
      <c r="F434" s="142" t="e">
        <f t="shared" si="103"/>
        <v>#DIV/0!</v>
      </c>
      <c r="G434" s="132" t="n">
        <f t="shared" si="103"/>
        <v>69</v>
      </c>
      <c r="H434" s="142" t="n">
        <f t="shared" si="103"/>
        <v>100.00000000000001</v>
      </c>
      <c r="I434" s="132" t="n">
        <f t="shared" si="103"/>
        <v>488</v>
      </c>
      <c r="J434" s="142" t="n">
        <f t="shared" si="103"/>
        <v>100</v>
      </c>
      <c r="L434" s="77"/>
      <c r="M434" s="77"/>
      <c r="N434" s="124"/>
    </row>
    <row r="435">
      <c r="L435" s="77"/>
      <c r="M435" s="77"/>
      <c r="N435" s="124"/>
    </row>
    <row r="436">
      <c r="B436" s="178"/>
      <c r="N436" s="124"/>
    </row>
    <row r="437">
      <c r="B437" s="165"/>
      <c r="C437" s="166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</row>
    <row r="439">
      <c r="B439" s="66" t="s">
        <v>421</v>
      </c>
      <c r="C439" s="80" t="n">
        <f>INDEX(Questoes!A:A,MATCH(C443,Questoes!J:J,0))</f>
        <v>44</v>
      </c>
      <c r="D439" s="83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</row>
    <row r="440">
      <c r="B440" s="66"/>
      <c r="C440" s="80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</row>
    <row r="441">
      <c r="B441" s="66"/>
      <c r="C441" s="80"/>
      <c r="D441" s="84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>
      <c r="D442" s="82" t="str">
        <f>IF(INDEX(Questoes!I:I,MATCH(C443,Questoes!J:J,FALSE))=0,"",INDEX(Questoes!I:I,MATCH(C443,Questoes!J:J,FALSE)))</f>
      </c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</row>
    <row r="443">
      <c r="B443" s="79" t="s">
        <v>422</v>
      </c>
      <c r="C443" s="80" t="n">
        <v>1094</v>
      </c>
      <c r="D443" s="8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</row>
    <row r="444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</row>
    <row r="445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</row>
    <row r="446">
      <c r="B446" s="138"/>
      <c r="C446" s="139"/>
      <c r="D446" s="137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</row>
    <row r="447">
      <c r="B447" s="138"/>
      <c r="C447" s="139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</row>
    <row r="448">
      <c r="B448" s="144" t="s">
        <v>432</v>
      </c>
      <c r="C448" s="70" t="s">
        <v>424</v>
      </c>
      <c r="D448" s="70"/>
      <c r="E448" s="70"/>
      <c r="F448" s="70"/>
      <c r="G448" s="70"/>
      <c r="H448" s="70"/>
      <c r="I448" s="70"/>
      <c r="J448" s="70"/>
      <c r="K448" s="140"/>
      <c r="L448" s="67" t="str">
        <f>C448</f>
        <v>Apuração de Resultados </v>
      </c>
      <c r="M448" s="68"/>
      <c r="N448" s="68"/>
      <c r="O448" s="69"/>
      <c r="P448" s="117"/>
      <c r="Q448" s="67" t="str">
        <f>C460</f>
        <v>Critérios de Análise</v>
      </c>
      <c r="R448" s="68"/>
      <c r="S448" s="68"/>
      <c r="T448" s="68"/>
      <c r="U448" s="68"/>
      <c r="V448" s="68"/>
      <c r="W448" s="69"/>
    </row>
    <row r="449">
      <c r="C449" s="64"/>
      <c r="D449" s="64"/>
      <c r="E449" s="74" t="s">
        <v>418</v>
      </c>
      <c r="F449" s="74"/>
      <c r="G449" s="75" t="s">
        <v>419</v>
      </c>
      <c r="H449" s="75"/>
      <c r="I449" s="76" t="s">
        <v>21</v>
      </c>
      <c r="J449" s="76"/>
      <c r="L449" s="159" t="s">
        <v>422</v>
      </c>
      <c r="M449" s="106" t="n">
        <f>C443</f>
        <v>1094</v>
      </c>
      <c r="N449" s="106"/>
      <c r="O449" s="106"/>
      <c r="P449" s="117"/>
      <c r="Q449" s="107" t="str">
        <f>L449</f>
        <v>Questão</v>
      </c>
      <c r="R449" s="107"/>
      <c r="S449" s="107"/>
      <c r="T449" s="108" t="n">
        <f>M449</f>
        <v>1094</v>
      </c>
      <c r="U449" s="108"/>
      <c r="V449" s="108"/>
      <c r="W449" s="108"/>
    </row>
    <row r="450">
      <c r="C450" s="112" t="s">
        <v>425</v>
      </c>
      <c r="D450" s="112"/>
      <c r="E450" s="156" t="s">
        <v>303</v>
      </c>
      <c r="F450" s="155" t="s">
        <v>426</v>
      </c>
      <c r="G450" s="156" t="s">
        <v>303</v>
      </c>
      <c r="H450" s="155" t="s">
        <v>426</v>
      </c>
      <c r="I450" s="156" t="s">
        <v>303</v>
      </c>
      <c r="J450" s="155" t="s">
        <v>426</v>
      </c>
      <c r="K450" s="117"/>
    </row>
    <row r="451">
      <c r="C451" s="109" t="n">
        <v>2</v>
      </c>
      <c r="D451" s="109"/>
      <c r="E451" t="n">
        <f>COUNTIFS(dados[RESPOSTA],C451,dados[ID_PERGUNTA],$C$443,dados[COD_HABILITAÇÃO_CURSO],$C$4)</f>
        <v>0</v>
      </c>
      <c r="F451" s="141" t="n">
        <f t="shared" ref="F451:F456" si="104">ROUND(E451/$E$457*100,3)</f>
        <v>0</v>
      </c>
      <c r="G451" t="n">
        <f>COUNTIFS(dados[RESPOSTA],C451,dados[ID_PERGUNTA],$C$443,dados[COD_SETOR_CURSO],$C$5)</f>
        <v>2</v>
      </c>
      <c r="H451" s="141" t="n">
        <f t="shared" ref="H451:H456" si="105">ROUND(G451/$G$457*100,3)</f>
        <v>2.899</v>
      </c>
      <c r="I451" t="n">
        <f>COUNTIFS(dados[RESPOSTA],C451, dados[ID_PERGUNTA],$C$443,dados[Instituição],$A$2)</f>
        <v>8</v>
      </c>
      <c r="J451" s="141" t="n">
        <f t="shared" ref="J451:J456" si="106">ROUND(I451/$I$457*100,3)</f>
        <v>1.643</v>
      </c>
      <c r="P451" s="118"/>
      <c r="V451" s="20"/>
      <c r="W451" s="20"/>
    </row>
    <row r="452">
      <c r="C452" s="77" t="n">
        <v>4</v>
      </c>
      <c r="D452" s="77"/>
      <c r="E452" t="n">
        <f>COUNTIFS(dados[RESPOSTA],C452,dados[ID_PERGUNTA],$C$443,dados[COD_HABILITAÇÃO_CURSO],$C$4)</f>
        <v>0</v>
      </c>
      <c r="F452" s="141" t="n">
        <f t="shared" si="104"/>
        <v>0</v>
      </c>
      <c r="G452" t="n">
        <f>COUNTIFS(dados[RESPOSTA],C452,dados[ID_PERGUNTA],$C$443,dados[COD_SETOR_CURSO],$C$5)</f>
        <v>4</v>
      </c>
      <c r="H452" s="141" t="n">
        <f t="shared" si="105"/>
        <v>5.7969999999999997</v>
      </c>
      <c r="I452" t="n">
        <f>COUNTIFS(dados[RESPOSTA],C452, dados[ID_PERGUNTA],$C$443,dados[Instituição],$A$2)</f>
        <v>19</v>
      </c>
      <c r="J452" s="141" t="n">
        <f t="shared" si="106"/>
        <v>3.9009999999999998</v>
      </c>
    </row>
    <row r="453">
      <c r="C453" s="77" t="n">
        <v>6</v>
      </c>
      <c r="D453" s="77"/>
      <c r="E453" t="n">
        <f>COUNTIFS(dados[RESPOSTA],C453,dados[ID_PERGUNTA],$C$443,dados[COD_HABILITAÇÃO_CURSO],$C$4)</f>
        <v>0</v>
      </c>
      <c r="F453" s="141" t="n">
        <f t="shared" si="104"/>
        <v>0</v>
      </c>
      <c r="G453" t="n">
        <f>COUNTIFS(dados[RESPOSTA],C453,dados[ID_PERGUNTA],$C$443,dados[COD_SETOR_CURSO],$C$5)</f>
        <v>15</v>
      </c>
      <c r="H453" s="141" t="n">
        <f t="shared" si="105"/>
        <v>21.739000000000001</v>
      </c>
      <c r="I453" t="n">
        <f>COUNTIFS(dados[RESPOSTA],C453, dados[ID_PERGUNTA],$C$443,dados[Instituição],$A$2)</f>
        <v>106</v>
      </c>
      <c r="J453" s="141" t="n">
        <f t="shared" si="106"/>
        <v>21.765999999999998</v>
      </c>
    </row>
    <row r="454">
      <c r="C454" s="77" t="n">
        <v>8</v>
      </c>
      <c r="D454" s="77"/>
      <c r="E454" t="n">
        <f>COUNTIFS(dados[RESPOSTA],C454,dados[ID_PERGUNTA],$C$443,dados[COD_HABILITAÇÃO_CURSO],$C$4)</f>
        <v>1</v>
      </c>
      <c r="F454" s="141" t="n">
        <f t="shared" si="104"/>
        <v>100</v>
      </c>
      <c r="G454" t="n">
        <f>COUNTIFS(dados[RESPOSTA],C454,dados[ID_PERGUNTA],$C$443,dados[COD_SETOR_CURSO],$C$5)</f>
        <v>31</v>
      </c>
      <c r="H454" s="141" t="n">
        <f t="shared" si="105"/>
        <v>44.927999999999997</v>
      </c>
      <c r="I454" t="n">
        <f>COUNTIFS(dados[RESPOSTA],C454, dados[ID_PERGUNTA],$C$443,dados[Instituição],$A$2)</f>
        <v>241</v>
      </c>
      <c r="J454" s="141" t="n">
        <f t="shared" si="106"/>
        <v>49.487000000000002</v>
      </c>
    </row>
    <row r="455">
      <c r="C455" s="77" t="n">
        <v>10</v>
      </c>
      <c r="D455" s="77"/>
      <c r="E455" t="n">
        <f>COUNTIFS(dados[RESPOSTA],C455,dados[ID_PERGUNTA],$C$443,dados[COD_HABILITAÇÃO_CURSO],$C$4)</f>
        <v>0</v>
      </c>
      <c r="F455" s="141" t="n">
        <f t="shared" si="104"/>
        <v>0</v>
      </c>
      <c r="G455" t="n">
        <f>COUNTIFS(dados[RESPOSTA],C455,dados[ID_PERGUNTA],$C$443,dados[COD_SETOR_CURSO],$C$5)</f>
        <v>9</v>
      </c>
      <c r="H455" s="141" t="n">
        <f t="shared" si="105"/>
        <v>13.042999999999999</v>
      </c>
      <c r="I455" t="n">
        <f>COUNTIFS(dados[RESPOSTA],C455, dados[ID_PERGUNTA],$C$443,dados[Instituição],$A$2)</f>
        <v>79</v>
      </c>
      <c r="J455" s="141" t="n">
        <f t="shared" si="106"/>
        <v>16.222000000000001</v>
      </c>
      <c r="P455" s="124"/>
      <c r="Q455" s="124"/>
      <c r="R455" s="124"/>
      <c r="S455" s="124"/>
      <c r="T455" s="124"/>
      <c r="U455" s="124"/>
      <c r="V455" s="124"/>
      <c r="W455" s="124"/>
    </row>
    <row r="456">
      <c r="C456" s="110" t="s">
        <v>55</v>
      </c>
      <c r="D456" s="110"/>
      <c r="E456" t="n">
        <f>COUNTIFS(dados[RESPOSTA],C456,dados[ID_PERGUNTA],$C$443,dados[COD_HABILITAÇÃO_CURSO],$C$4)</f>
        <v>0</v>
      </c>
      <c r="F456" s="141" t="n">
        <f t="shared" si="104"/>
        <v>0</v>
      </c>
      <c r="G456" t="n">
        <f>COUNTIFS(dados[RESPOSTA],C456,dados[ID_PERGUNTA],$C$443,dados[COD_SETOR_CURSO],$C$5)</f>
        <v>8</v>
      </c>
      <c r="H456" s="141" t="n">
        <f t="shared" si="105"/>
        <v>11.593999999999999</v>
      </c>
      <c r="I456" t="n">
        <f>COUNTIFS(dados[RESPOSTA],C456, dados[ID_PERGUNTA],$C$443,dados[Instituição],$A$2)</f>
        <v>34</v>
      </c>
      <c r="J456" s="141" t="n">
        <f t="shared" si="106"/>
        <v>6.9820000000000002</v>
      </c>
    </row>
    <row r="457">
      <c r="C457" s="111" t="s">
        <v>313</v>
      </c>
      <c r="D457" s="111"/>
      <c r="E457" s="132" t="n">
        <f t="shared" ref="E457:J457" si="107">SUM(E451:E456)</f>
        <v>1</v>
      </c>
      <c r="F457" s="142" t="n">
        <f t="shared" si="107"/>
        <v>100</v>
      </c>
      <c r="G457" s="62" t="n">
        <f t="shared" si="107"/>
        <v>69</v>
      </c>
      <c r="H457" s="58" t="n">
        <f t="shared" si="107"/>
        <v>100</v>
      </c>
      <c r="I457" s="62" t="n">
        <f t="shared" si="107"/>
        <v>487</v>
      </c>
      <c r="J457" s="58" t="n">
        <f t="shared" si="107"/>
        <v>100.001</v>
      </c>
    </row>
    <row r="460">
      <c r="C460" s="70" t="s">
        <v>427</v>
      </c>
      <c r="D460" s="70"/>
      <c r="E460" s="70"/>
      <c r="F460" s="70"/>
      <c r="G460" s="70"/>
      <c r="H460" s="70"/>
      <c r="I460" s="70"/>
      <c r="J460" s="70"/>
    </row>
    <row r="461">
      <c r="C461" s="56"/>
      <c r="D461" s="56"/>
      <c r="E461" s="71" t="s">
        <v>418</v>
      </c>
      <c r="F461" s="71"/>
      <c r="G461" s="72" t="s">
        <v>419</v>
      </c>
      <c r="H461" s="72"/>
      <c r="I461" s="73" t="s">
        <v>21</v>
      </c>
      <c r="J461" s="73"/>
      <c r="N461" s="124"/>
      <c r="O461" s="129"/>
    </row>
    <row r="462">
      <c r="C462" s="136" t="s">
        <v>428</v>
      </c>
      <c r="D462" s="136" t="s">
        <v>429</v>
      </c>
      <c r="E462" s="156" t="s">
        <v>303</v>
      </c>
      <c r="F462" s="155" t="s">
        <v>426</v>
      </c>
      <c r="G462" s="156" t="s">
        <v>303</v>
      </c>
      <c r="H462" s="155" t="s">
        <v>426</v>
      </c>
      <c r="I462" s="156" t="s">
        <v>303</v>
      </c>
      <c r="J462" s="155" t="s">
        <v>426</v>
      </c>
      <c r="N462" s="124"/>
    </row>
    <row r="463">
      <c r="C463" s="119" t="s">
        <v>401</v>
      </c>
      <c r="D463" s="41" t="s">
        <v>409</v>
      </c>
      <c r="E463" s="12" t="n">
        <f>E451+E452</f>
        <v>0</v>
      </c>
      <c r="F463" s="141" t="n">
        <f>SUM(F451+F452)</f>
        <v>0</v>
      </c>
      <c r="G463" s="12" t="n">
        <f>G451+G452</f>
        <v>6</v>
      </c>
      <c r="H463" s="141" t="n">
        <f>SUM(H451+H452)</f>
        <v>8.6959999999999997</v>
      </c>
      <c r="I463" s="12" t="n">
        <f>I451+I452</f>
        <v>27</v>
      </c>
      <c r="J463" s="141" t="n">
        <f>SUM(J451+J452)</f>
        <v>5.5439999999999996</v>
      </c>
      <c r="N463" s="124"/>
    </row>
    <row r="464">
      <c r="C464" s="120" t="s">
        <v>402</v>
      </c>
      <c r="D464" s="41" t="s">
        <v>55</v>
      </c>
      <c r="E464" s="12" t="n">
        <f t="shared" ref="E464:J464" si="108">E456</f>
        <v>0</v>
      </c>
      <c r="F464" s="141" t="n">
        <f t="shared" si="108"/>
        <v>0</v>
      </c>
      <c r="G464" s="12" t="n">
        <f t="shared" si="108"/>
        <v>8</v>
      </c>
      <c r="H464" s="141" t="n">
        <f t="shared" si="108"/>
        <v>11.593999999999999</v>
      </c>
      <c r="I464" s="12" t="n">
        <f t="shared" si="108"/>
        <v>34</v>
      </c>
      <c r="J464" s="141" t="n">
        <f t="shared" si="108"/>
        <v>6.9820000000000002</v>
      </c>
      <c r="N464" s="124"/>
    </row>
    <row r="465">
      <c r="C465" s="121" t="s">
        <v>403</v>
      </c>
      <c r="D465" s="41" t="n">
        <v>6</v>
      </c>
      <c r="E465" s="12" t="n">
        <f t="shared" ref="E465:J465" si="109">E453</f>
        <v>0</v>
      </c>
      <c r="F465" s="141" t="n">
        <f t="shared" si="109"/>
        <v>0</v>
      </c>
      <c r="G465" s="12" t="n">
        <f t="shared" si="109"/>
        <v>15</v>
      </c>
      <c r="H465" s="141" t="n">
        <f t="shared" si="109"/>
        <v>21.739000000000001</v>
      </c>
      <c r="I465" s="12" t="n">
        <f t="shared" si="109"/>
        <v>106</v>
      </c>
      <c r="J465" s="141" t="n">
        <f t="shared" si="109"/>
        <v>21.765999999999998</v>
      </c>
      <c r="N465" s="124"/>
    </row>
    <row r="466">
      <c r="C466" s="122" t="s">
        <v>404</v>
      </c>
      <c r="D466" s="41" t="s">
        <v>410</v>
      </c>
      <c r="E466" s="147" t="n">
        <f t="shared" ref="E466:J466" si="110">E454+E455</f>
        <v>1</v>
      </c>
      <c r="F466" s="141" t="n">
        <f t="shared" si="110"/>
        <v>100</v>
      </c>
      <c r="G466" s="147" t="n">
        <f t="shared" si="110"/>
        <v>40</v>
      </c>
      <c r="H466" s="141" t="n">
        <f t="shared" si="110"/>
        <v>57.970999999999997</v>
      </c>
      <c r="I466" s="147" t="n">
        <f t="shared" si="110"/>
        <v>320</v>
      </c>
      <c r="J466" s="141" t="n">
        <f t="shared" si="110"/>
        <v>65.709000000000003</v>
      </c>
      <c r="N466" s="124"/>
    </row>
    <row r="467">
      <c r="C467" s="132"/>
      <c r="D467" s="132" t="s">
        <v>313</v>
      </c>
      <c r="E467" s="132" t="n">
        <f t="shared" ref="E467:J467" si="111">SUM(E463:E466)</f>
        <v>1</v>
      </c>
      <c r="F467" s="142" t="n">
        <f t="shared" si="111"/>
        <v>100</v>
      </c>
      <c r="G467" s="132" t="n">
        <f t="shared" si="111"/>
        <v>69</v>
      </c>
      <c r="H467" s="142" t="n">
        <f t="shared" si="111"/>
        <v>100</v>
      </c>
      <c r="I467" s="132" t="n">
        <f t="shared" si="111"/>
        <v>487</v>
      </c>
      <c r="J467" s="142" t="n">
        <f t="shared" si="111"/>
        <v>100.001</v>
      </c>
      <c r="L467" s="77"/>
      <c r="M467" s="77"/>
      <c r="N467" s="124"/>
    </row>
    <row r="468">
      <c r="L468" s="77"/>
      <c r="M468" s="77"/>
      <c r="N468" s="124"/>
    </row>
    <row r="469">
      <c r="B469" s="178"/>
      <c r="N469" s="124"/>
    </row>
    <row r="470">
      <c r="B470" s="165"/>
      <c r="C470" s="166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</row>
  </sheetData>
  <sheetProtection password="C2D7" sheet="1"/>
  <mergeCells count="41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topLeftCell="B1" zoomScale="70" zoomScaleNormal="70" workbookViewId="0">
      <pane ySplit="8" topLeftCell="A9" activePane="bottomLeft" state="frozen"/>
      <selection pane="bottomLeft" activeCell="K32" sqref="K3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436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INDEX(Questoes!E:E,MATCH('INST_PESQUISA '!C14,Questoes!J:J,0))</f>
        <v>INSTRUMENTO E FERRAMENTA DE PESQUISA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45</v>
      </c>
      <c r="D10" s="83" t="str">
        <f>INDEX(Questoes!F:F,MATCH(C14,Questoes!J:J,0))</f>
        <v>Avalie este formulário, bem como esta plataforma de pesquisa: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1096</v>
      </c>
      <c r="D14" s="81" t="str">
        <f>VLOOKUP(C14, Questoes!J:K,2, 0)</f>
        <v>Objetividade e clareza deste formulário avaliativo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433</v>
      </c>
      <c r="C19" s="70" t="s">
        <v>424</v>
      </c>
      <c r="D19" s="70"/>
      <c r="E19" s="70"/>
      <c r="F19" s="70"/>
      <c r="G19" s="70"/>
      <c r="H19" s="70"/>
      <c r="I19" s="70"/>
      <c r="J19" s="70"/>
      <c r="L19" s="67" t="str">
        <f>C19</f>
        <v>Apuração de Resultados </v>
      </c>
      <c r="M19" s="68"/>
      <c r="N19" s="68"/>
      <c r="O19" s="69"/>
      <c r="P19" s="117"/>
      <c r="Q19" s="67" t="str">
        <f>C31</f>
        <v>Critérios de Análise</v>
      </c>
      <c r="R19" s="68"/>
      <c r="S19" s="68"/>
      <c r="T19" s="68"/>
      <c r="U19" s="68"/>
      <c r="V19" s="68"/>
      <c r="W19" s="69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1096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1096</v>
      </c>
      <c r="U20" s="108"/>
      <c r="V20" s="108"/>
      <c r="W20" s="108"/>
    </row>
    <row r="21">
      <c r="C21" s="54" t="s">
        <v>425</v>
      </c>
      <c r="D21" s="54"/>
      <c r="E21" s="130" t="s">
        <v>303</v>
      </c>
      <c r="F21" s="131" t="s">
        <v>426</v>
      </c>
      <c r="G21" s="130" t="s">
        <v>303</v>
      </c>
      <c r="H21" s="131" t="s">
        <v>426</v>
      </c>
      <c r="I21" s="130" t="s">
        <v>303</v>
      </c>
      <c r="J21" s="131" t="s">
        <v>426</v>
      </c>
    </row>
    <row r="22">
      <c r="C22" s="109" t="s">
        <v>26</v>
      </c>
      <c r="D22" s="109"/>
      <c r="E22" s="129" t="n">
        <f>COUNTIFS(dados[RESPOSTA],C22,dados[ID_PERGUNTA],$C$14,dados[COD_HABILITAÇÃO_CURSO],$C$4)</f>
        <v>0</v>
      </c>
      <c r="F22" s="141" t="n">
        <f>ROUND(E22/$E$27*100,3)</f>
        <v>0</v>
      </c>
      <c r="G22" s="129" t="n">
        <f>COUNTIFS(dados[RESPOSTA],C22,dados[ID_PERGUNTA],$C$14,dados[COD_SETOR_CURSO],$C$5)</f>
        <v>30</v>
      </c>
      <c r="H22" s="141" t="n">
        <f>ROUND(G22/$G$27*100,3)</f>
        <v>44.776000000000003</v>
      </c>
      <c r="I22" s="129" t="n">
        <f>COUNTIFS(dados[RESPOSTA],C22,dados[ID_PERGUNTA],$C$14,dados[Instituição],$A$2)</f>
        <v>213</v>
      </c>
      <c r="J22" s="141" t="n">
        <f>ROUND(I22/$I$27*100,3)</f>
        <v>43.917999999999999</v>
      </c>
      <c r="X22" s="118"/>
      <c r="Y22" s="118"/>
    </row>
    <row r="23">
      <c r="C23" s="77" t="s">
        <v>16</v>
      </c>
      <c r="D23" s="77"/>
      <c r="E23" s="129" t="n">
        <f>COUNTIFS(dados[RESPOSTA],C23,dados[ID_PERGUNTA],$C$14,dados[COD_HABILITAÇÃO_CURSO],$C$4)</f>
        <v>1</v>
      </c>
      <c r="F23" s="141" t="n">
        <f>ROUND(E23/$E$27*100,3)</f>
        <v>100</v>
      </c>
      <c r="G23" s="129" t="n">
        <f>COUNTIFS(dados[RESPOSTA],C23,dados[ID_PERGUNTA],$C$14,dados[COD_SETOR_CURSO],$C$5)</f>
        <v>25</v>
      </c>
      <c r="H23" s="141" t="n">
        <f>ROUND(G23/$G$27*100,3)</f>
        <v>37.313000000000002</v>
      </c>
      <c r="I23" s="129" t="n">
        <f>COUNTIFS(dados[RESPOSTA],C23,dados[ID_PERGUNTA],$C$14,dados[Instituição],$A$2)</f>
        <v>210</v>
      </c>
      <c r="J23" s="141" t="n">
        <f>ROUND(I23/$I$27*100,3)</f>
        <v>43.298999999999999</v>
      </c>
    </row>
    <row r="24">
      <c r="C24" s="77" t="s">
        <v>29</v>
      </c>
      <c r="D24" s="77"/>
      <c r="E24" s="129" t="n">
        <f>COUNTIFS(dados[RESPOSTA],C24,dados[ID_PERGUNTA],$C$14,dados[COD_HABILITAÇÃO_CURSO],$C$4)</f>
        <v>0</v>
      </c>
      <c r="F24" s="141" t="n">
        <f>ROUND(E24/$E$27*100,3)</f>
        <v>0</v>
      </c>
      <c r="G24" s="129" t="n">
        <f>COUNTIFS(dados[RESPOSTA],C24,dados[ID_PERGUNTA],$C$14,dados[COD_SETOR_CURSO],$C$5)</f>
        <v>12</v>
      </c>
      <c r="H24" s="141" t="n">
        <f>ROUND(G24/$G$27*100,3)</f>
        <v>17.91</v>
      </c>
      <c r="I24" s="129" t="n">
        <f>COUNTIFS(dados[RESPOSTA],C24,dados[ID_PERGUNTA],$C$14,dados[Instituição],$A$2)</f>
        <v>56</v>
      </c>
      <c r="J24" s="141" t="n">
        <f>ROUND(I24/$I$27*100,3)</f>
        <v>11.545999999999999</v>
      </c>
    </row>
    <row r="25">
      <c r="C25" s="77" t="s">
        <v>79</v>
      </c>
      <c r="D25" s="77"/>
      <c r="E25" s="129" t="n">
        <f>COUNTIFS(dados[RESPOSTA],C25,dados[ID_PERGUNTA],$C$14,dados[COD_HABILITAÇÃO_CURSO],$C$4)</f>
        <v>0</v>
      </c>
      <c r="F25" s="141" t="n">
        <f>ROUND(E25/$E$27*100,3)</f>
        <v>0</v>
      </c>
      <c r="G25" s="129" t="n">
        <f>COUNTIFS(dados[RESPOSTA],C25,dados[ID_PERGUNTA],$C$14,dados[COD_SETOR_CURSO],$C$5)</f>
        <v>0</v>
      </c>
      <c r="H25" s="141" t="n">
        <f>ROUND(G25/$G$27*100,3)</f>
        <v>0</v>
      </c>
      <c r="I25" s="129" t="n">
        <f>COUNTIFS(dados[RESPOSTA],C25,dados[ID_PERGUNTA],$C$14,dados[Instituição],$A$2)</f>
        <v>5</v>
      </c>
      <c r="J25" s="141" t="n">
        <f>ROUND(I25/$I$27*100,3)</f>
        <v>1.0309999999999999</v>
      </c>
    </row>
    <row r="26">
      <c r="C26" s="78" t="s">
        <v>80</v>
      </c>
      <c r="D26" s="78"/>
      <c r="E26" s="129" t="n">
        <f>COUNTIFS(dados[RESPOSTA],C26,dados[ID_PERGUNTA],$C$14,dados[COD_HABILITAÇÃO_CURSO],$C$4)</f>
        <v>0</v>
      </c>
      <c r="F26" s="141" t="n">
        <f>ROUND(E26/$E$27*100,3)</f>
        <v>0</v>
      </c>
      <c r="G26" s="129" t="n">
        <f>COUNTIFS(dados[RESPOSTA],C26,dados[ID_PERGUNTA],$C$14,dados[COD_SETOR_CURSO],$C$5)</f>
        <v>0</v>
      </c>
      <c r="H26" s="141" t="n">
        <f>ROUND(G26/$G$27*100,3)</f>
        <v>0</v>
      </c>
      <c r="I26" s="129" t="n">
        <f>COUNTIFS(dados[RESPOSTA],C26,dados[ID_PERGUNTA],$C$14,dados[Instituição],$A$2)</f>
        <v>1</v>
      </c>
      <c r="J26" s="141" t="n">
        <f>ROUND(I26/$I$27*100,3)</f>
        <v>0.20599999999999999</v>
      </c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62" t="s">
        <v>313</v>
      </c>
      <c r="D27" s="62"/>
      <c r="E27" s="157" t="n">
        <f>SUM(E22:E26)</f>
        <v>1</v>
      </c>
      <c r="F27" s="158" t="n">
        <f>ROUND(SUM(F22:F26),2)</f>
        <v>100</v>
      </c>
      <c r="G27" s="62" t="n">
        <f>SUM(G22:G26)</f>
        <v>67</v>
      </c>
      <c r="H27" s="58" t="n">
        <f>SUM(H22:H26)</f>
        <v>99.998999999999995</v>
      </c>
      <c r="I27" s="62" t="n">
        <f>SUM(I22:I26)</f>
        <v>485</v>
      </c>
      <c r="J27" s="58" t="n">
        <f>SUM(J22:J26)</f>
        <v>100.00000000000001</v>
      </c>
    </row>
    <row r="31">
      <c r="C31" s="70" t="s">
        <v>427</v>
      </c>
      <c r="D31" s="70"/>
      <c r="E31" s="70"/>
      <c r="F31" s="70"/>
      <c r="G31" s="70"/>
      <c r="H31" s="70"/>
      <c r="I31" s="70"/>
      <c r="J31" s="70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</row>
    <row r="33">
      <c r="C33" s="133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</row>
    <row r="34">
      <c r="C34" s="126" t="s">
        <v>401</v>
      </c>
      <c r="D34" s="48" t="s">
        <v>406</v>
      </c>
      <c r="E34" s="150" t="n">
        <f>E26+E25</f>
        <v>0</v>
      </c>
      <c r="F34" s="153" t="n">
        <f>ROUND(E34/$E$37*100,3)</f>
        <v>0</v>
      </c>
      <c r="G34" s="150" t="n">
        <f>G26+G25</f>
        <v>0</v>
      </c>
      <c r="H34" s="153" t="n">
        <f>ROUND(G34/$G$37*100,3)</f>
        <v>0</v>
      </c>
      <c r="I34" s="150" t="n">
        <f>I26+I25</f>
        <v>6</v>
      </c>
      <c r="J34" s="153" t="n">
        <f>ROUND(I34/$I$37*100,3)</f>
        <v>1.2370000000000001</v>
      </c>
    </row>
    <row r="35">
      <c r="C35" s="121" t="s">
        <v>403</v>
      </c>
      <c r="D35" s="48" t="s">
        <v>29</v>
      </c>
      <c r="E35" s="150" t="n">
        <f>E24</f>
        <v>0</v>
      </c>
      <c r="F35" s="153" t="n">
        <f>ROUND(E35/$E$37*100,3)</f>
        <v>0</v>
      </c>
      <c r="G35" s="150" t="n">
        <f>G24</f>
        <v>12</v>
      </c>
      <c r="H35" s="153" t="n">
        <f>ROUND(G35/$G$37*100,3)</f>
        <v>17.91</v>
      </c>
      <c r="I35" s="150" t="n">
        <f>I24</f>
        <v>56</v>
      </c>
      <c r="J35" s="153" t="n">
        <f>ROUND(I35/$I$37*100,3)</f>
        <v>11.545999999999999</v>
      </c>
    </row>
    <row r="36">
      <c r="C36" s="122" t="s">
        <v>404</v>
      </c>
      <c r="D36" s="48" t="s">
        <v>407</v>
      </c>
      <c r="E36" s="150" t="n">
        <f>E23+E22</f>
        <v>1</v>
      </c>
      <c r="F36" s="153" t="n">
        <f>ROUND(E36/$E$37*100,3)</f>
        <v>100</v>
      </c>
      <c r="G36" s="150" t="n">
        <f>G23+G22</f>
        <v>55</v>
      </c>
      <c r="H36" s="153" t="n">
        <f>ROUND(G36/$G$37*100,3)</f>
        <v>82.09</v>
      </c>
      <c r="I36" s="150" t="n">
        <f>I23+I22</f>
        <v>423</v>
      </c>
      <c r="J36" s="153" t="n">
        <f>ROUND(I36/$I$37*100,3)</f>
        <v>87.215999999999994</v>
      </c>
    </row>
    <row r="37">
      <c r="C37" s="132"/>
      <c r="D37" s="132" t="s">
        <v>313</v>
      </c>
      <c r="E37" s="132" t="n">
        <f>SUM(E34:E36)</f>
        <v>1</v>
      </c>
      <c r="F37" s="158" t="n">
        <f>ROUND(SUM(F34:F36),2)</f>
        <v>100</v>
      </c>
      <c r="G37" s="132" t="n">
        <f>SUM(G34:G36)</f>
        <v>67</v>
      </c>
      <c r="H37" s="148" t="n">
        <f>ROUND(SUM(H34:H36),2)</f>
        <v>100</v>
      </c>
      <c r="I37" s="132" t="n">
        <f>SUM(I34:I36)</f>
        <v>485</v>
      </c>
      <c r="J37" s="148" t="n">
        <f>ROUND(SUM(J34:J36),2)</f>
        <v>100</v>
      </c>
    </row>
    <row r="38">
      <c r="B38" s="178"/>
      <c r="N38" s="124"/>
    </row>
    <row r="39" ht="15" customHeight="1">
      <c r="B39" s="165"/>
      <c r="C39" s="166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</row>
    <row r="40">
      <c r="B40" s="173"/>
      <c r="C40" s="190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</row>
    <row r="41">
      <c r="B41" s="66" t="s">
        <v>421</v>
      </c>
      <c r="C41" s="80" t="n">
        <f>INDEX(Questoes!A:A,MATCH(C45,Questoes!J:J,0))</f>
        <v>46</v>
      </c>
      <c r="D41" s="83" t="str">
        <f>INDEX(Questoes!F:F,MATCH(C45,Questoes!J:J,0))</f>
        <v>Avalie este formulário, bem como esta plataforma de pesquisa: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</row>
    <row r="42">
      <c r="B42" s="66"/>
      <c r="C42" s="80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</row>
    <row r="43" ht="15" customHeight="1">
      <c r="B43" s="66"/>
      <c r="C43" s="80"/>
      <c r="D43" s="84" t="str">
        <f>IF(INDEX(Questoes!G:G,MATCH(C45,Questoes!J:J,0))=0,"",INDEX(Questoes!G:G,MATCH(C45,Questoes!J:J,0)))</f>
      </c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>
      <c r="D44" s="82" t="str">
        <f>IF(INDEX(Questoes!I:I,MATCH(C45,Questoes!J:J,FALSE))=0,"",INDEX(Questoes!I:I,MATCH(C45,Questoes!J:J,FALSE)))</f>
      </c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</row>
    <row r="45">
      <c r="B45" s="79" t="s">
        <v>422</v>
      </c>
      <c r="C45" s="80" t="n">
        <v>1097</v>
      </c>
      <c r="D45" s="81" t="str">
        <f>VLOOKUP(C45, Questoes!J:K,2, 0)</f>
        <v>Funcionalidade desta ferramenta desenvolvida pela Agtic para aplicação de pesquisas</v>
      </c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</row>
    <row r="46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</row>
    <row r="47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138"/>
      <c r="C48" s="139"/>
      <c r="D48" s="137" t="str">
        <f>IF(INDEX(Questoes!L:L,MATCH(C45,Questoes!J:J,0))=0,"",INDEX(Questoes!L:L,MATCH(C45,Questoes!J:J,0)))</f>
      </c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</row>
    <row r="49">
      <c r="B49" s="138"/>
      <c r="C49" s="139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</row>
    <row r="50">
      <c r="B50" s="146" t="s">
        <v>433</v>
      </c>
      <c r="C50" s="70" t="s">
        <v>424</v>
      </c>
      <c r="D50" s="70"/>
      <c r="E50" s="70"/>
      <c r="F50" s="70"/>
      <c r="G50" s="70"/>
      <c r="H50" s="70"/>
      <c r="I50" s="70"/>
      <c r="J50" s="70"/>
      <c r="L50" s="67" t="str">
        <f>C50</f>
        <v>Apuração de Resultados </v>
      </c>
      <c r="M50" s="68"/>
      <c r="N50" s="68"/>
      <c r="O50" s="69"/>
      <c r="P50" s="117"/>
      <c r="Q50" s="67" t="str">
        <f>C62</f>
        <v>Critérios de Análise</v>
      </c>
      <c r="R50" s="68"/>
      <c r="S50" s="68"/>
      <c r="T50" s="68"/>
      <c r="U50" s="68"/>
      <c r="V50" s="68"/>
      <c r="W50" s="69"/>
    </row>
    <row r="51">
      <c r="C51" s="64"/>
      <c r="D51" s="64"/>
      <c r="E51" s="74" t="s">
        <v>418</v>
      </c>
      <c r="F51" s="74"/>
      <c r="G51" s="75" t="s">
        <v>419</v>
      </c>
      <c r="H51" s="75"/>
      <c r="I51" s="76" t="s">
        <v>21</v>
      </c>
      <c r="J51" s="76"/>
      <c r="L51" s="159" t="s">
        <v>422</v>
      </c>
      <c r="M51" s="106" t="n">
        <f>C45</f>
        <v>1097</v>
      </c>
      <c r="N51" s="106"/>
      <c r="O51" s="106"/>
      <c r="P51" s="117"/>
      <c r="Q51" s="107" t="str">
        <f>L51</f>
        <v>Questão</v>
      </c>
      <c r="R51" s="107"/>
      <c r="S51" s="107"/>
      <c r="T51" s="108" t="n">
        <f>M51</f>
        <v>1097</v>
      </c>
      <c r="U51" s="108"/>
      <c r="V51" s="108"/>
      <c r="W51" s="108"/>
    </row>
    <row r="52">
      <c r="C52" s="54" t="s">
        <v>425</v>
      </c>
      <c r="D52" s="54"/>
      <c r="E52" s="130" t="s">
        <v>303</v>
      </c>
      <c r="F52" s="131" t="s">
        <v>426</v>
      </c>
      <c r="G52" s="130" t="s">
        <v>303</v>
      </c>
      <c r="H52" s="131" t="s">
        <v>426</v>
      </c>
      <c r="I52" s="130" t="s">
        <v>303</v>
      </c>
      <c r="J52" s="131" t="s">
        <v>426</v>
      </c>
    </row>
    <row r="53">
      <c r="C53" s="109" t="s">
        <v>26</v>
      </c>
      <c r="D53" s="109"/>
      <c r="E53" s="129" t="n">
        <f>COUNTIFS(dados[RESPOSTA],C53,dados[ID_PERGUNTA],$C$45,dados[COD_HABILITAÇÃO_CURSO],$C$4)</f>
        <v>1</v>
      </c>
      <c r="F53" s="141" t="n">
        <f>ROUND(E53/$E$58*100,3)</f>
        <v>50</v>
      </c>
      <c r="G53" s="129" t="n">
        <f>COUNTIFS(dados[RESPOSTA],C53,dados[ID_PERGUNTA],$C$45,dados[COD_SETOR_CURSO],$C$5)</f>
        <v>33</v>
      </c>
      <c r="H53" s="141" t="n">
        <f>ROUND(G53/$G$58*100,3)</f>
        <v>48.529000000000003</v>
      </c>
      <c r="I53" s="129" t="n">
        <f>COUNTIFS(dados[RESPOSTA],C53,dados[ID_PERGUNTA],$C$45,dados[Instituição],$A$2)</f>
        <v>222</v>
      </c>
      <c r="J53" s="141" t="n">
        <f>ROUND(I53/$I$58*100,3)</f>
        <v>45.868000000000002</v>
      </c>
    </row>
    <row r="54">
      <c r="C54" s="77" t="s">
        <v>16</v>
      </c>
      <c r="D54" s="77"/>
      <c r="E54" s="129" t="n">
        <f>COUNTIFS(dados[RESPOSTA],C54,dados[ID_PERGUNTA],$C$45,dados[COD_HABILITAÇÃO_CURSO],$C$4)</f>
        <v>0</v>
      </c>
      <c r="F54" s="141" t="n">
        <f>ROUND(E54/$E$58*100,3)</f>
        <v>0</v>
      </c>
      <c r="G54" s="129" t="n">
        <f>COUNTIFS(dados[RESPOSTA],C54,dados[ID_PERGUNTA],$C$45,dados[COD_SETOR_CURSO],$C$5)</f>
        <v>19</v>
      </c>
      <c r="H54" s="141" t="n">
        <f>ROUND(G54/$G$58*100,3)</f>
        <v>27.940999999999999</v>
      </c>
      <c r="I54" s="129" t="n">
        <f>COUNTIFS(dados[RESPOSTA],C54,dados[ID_PERGUNTA],$C$45,dados[Instituição],$A$2)</f>
        <v>188</v>
      </c>
      <c r="J54" s="141" t="n">
        <f>ROUND(I54/$I$58*100,3)</f>
        <v>38.843000000000004</v>
      </c>
    </row>
    <row r="55">
      <c r="C55" s="77" t="s">
        <v>29</v>
      </c>
      <c r="D55" s="77"/>
      <c r="E55" s="129" t="n">
        <f>COUNTIFS(dados[RESPOSTA],C55,dados[ID_PERGUNTA],$C$45,dados[COD_HABILITAÇÃO_CURSO],$C$4)</f>
        <v>1</v>
      </c>
      <c r="F55" s="141" t="n">
        <f>ROUND(E55/$E$58*100,3)</f>
        <v>50</v>
      </c>
      <c r="G55" s="129" t="n">
        <f>COUNTIFS(dados[RESPOSTA],C55,dados[ID_PERGUNTA],$C$45,dados[COD_SETOR_CURSO],$C$5)</f>
        <v>16</v>
      </c>
      <c r="H55" s="141" t="n">
        <f>ROUND(G55/$G$58*100,3)</f>
        <v>23.529</v>
      </c>
      <c r="I55" s="129" t="n">
        <f>COUNTIFS(dados[RESPOSTA],C55,dados[ID_PERGUNTA],$C$45,dados[Instituição],$A$2)</f>
        <v>67</v>
      </c>
      <c r="J55" s="141" t="n">
        <f>ROUND(I55/$I$58*100,3)</f>
        <v>13.843</v>
      </c>
    </row>
    <row r="56">
      <c r="C56" s="77" t="s">
        <v>79</v>
      </c>
      <c r="D56" s="77"/>
      <c r="E56" s="129" t="n">
        <f>COUNTIFS(dados[RESPOSTA],C56,dados[ID_PERGUNTA],$C$45,dados[COD_HABILITAÇÃO_CURSO],$C$4)</f>
        <v>0</v>
      </c>
      <c r="F56" s="141" t="n">
        <f>ROUND(E56/$E$58*100,3)</f>
        <v>0</v>
      </c>
      <c r="G56" s="129" t="n">
        <f>COUNTIFS(dados[RESPOSTA],C56,dados[ID_PERGUNTA],$C$45,dados[COD_SETOR_CURSO],$C$5)</f>
        <v>0</v>
      </c>
      <c r="H56" s="141" t="n">
        <f>ROUND(G56/$G$58*100,3)</f>
        <v>0</v>
      </c>
      <c r="I56" s="129" t="n">
        <f>COUNTIFS(dados[RESPOSTA],C56,dados[ID_PERGUNTA],$C$45,dados[Instituição],$A$2)</f>
        <v>6</v>
      </c>
      <c r="J56" s="141" t="n">
        <f>ROUND(I56/$I$58*100,3)</f>
        <v>1.24</v>
      </c>
    </row>
    <row r="57">
      <c r="C57" s="78" t="s">
        <v>80</v>
      </c>
      <c r="D57" s="78"/>
      <c r="E57" s="129" t="n">
        <f>COUNTIFS(dados[RESPOSTA],C57,dados[ID_PERGUNTA],$C$45,dados[COD_HABILITAÇÃO_CURSO],$C$4)</f>
        <v>0</v>
      </c>
      <c r="F57" s="141" t="n">
        <f>ROUND(E57/$E$58*100,3)</f>
        <v>0</v>
      </c>
      <c r="G57" s="129" t="n">
        <f>COUNTIFS(dados[RESPOSTA],C57,dados[ID_PERGUNTA],$C$45,dados[COD_SETOR_CURSO],$C$5)</f>
        <v>0</v>
      </c>
      <c r="H57" s="141" t="n">
        <f>ROUND(G57/$G$58*100,3)</f>
        <v>0</v>
      </c>
      <c r="I57" s="129" t="n">
        <f>COUNTIFS(dados[RESPOSTA],C57,dados[ID_PERGUNTA],$C$45,dados[Instituição],$A$2)</f>
        <v>1</v>
      </c>
      <c r="J57" s="141" t="n">
        <f>ROUND(I57/$I$58*100,3)</f>
        <v>0.20699999999999999</v>
      </c>
    </row>
    <row r="58">
      <c r="C58" s="62" t="s">
        <v>313</v>
      </c>
      <c r="D58" s="62"/>
      <c r="E58" s="157" t="n">
        <f>SUM(E53:E57)</f>
        <v>2</v>
      </c>
      <c r="F58" s="158" t="n">
        <f>ROUND(SUM(F53:F57),2)</f>
        <v>100</v>
      </c>
      <c r="G58" s="62" t="n">
        <f>SUM(G53:G57)</f>
        <v>68</v>
      </c>
      <c r="H58" s="58" t="n">
        <f>SUM(H53:H57)</f>
        <v>99.998999999999995</v>
      </c>
      <c r="I58" s="62" t="n">
        <f>SUM(I53:I57)</f>
        <v>484</v>
      </c>
      <c r="J58" s="58" t="n">
        <f>SUM(J53:J57)</f>
        <v>100.001</v>
      </c>
    </row>
    <row r="62">
      <c r="C62" s="70" t="s">
        <v>427</v>
      </c>
      <c r="D62" s="70"/>
      <c r="E62" s="70"/>
      <c r="F62" s="70"/>
      <c r="G62" s="70"/>
      <c r="H62" s="70"/>
      <c r="I62" s="70"/>
      <c r="J62" s="70"/>
    </row>
    <row r="63">
      <c r="C63" s="56"/>
      <c r="D63" s="56"/>
      <c r="E63" s="115" t="s">
        <v>418</v>
      </c>
      <c r="F63" s="115"/>
      <c r="G63" s="207" t="s">
        <v>419</v>
      </c>
      <c r="H63" s="207"/>
      <c r="I63" s="208" t="s">
        <v>21</v>
      </c>
      <c r="J63" s="208"/>
    </row>
    <row r="64">
      <c r="C64" s="133" t="s">
        <v>428</v>
      </c>
      <c r="D64" s="133" t="s">
        <v>429</v>
      </c>
      <c r="E64" s="54" t="s">
        <v>303</v>
      </c>
      <c r="F64" s="57" t="s">
        <v>426</v>
      </c>
      <c r="G64" s="54" t="s">
        <v>303</v>
      </c>
      <c r="H64" s="57" t="s">
        <v>426</v>
      </c>
      <c r="I64" s="54" t="s">
        <v>303</v>
      </c>
      <c r="J64" s="57" t="s">
        <v>426</v>
      </c>
    </row>
    <row r="65">
      <c r="C65" s="126" t="s">
        <v>401</v>
      </c>
      <c r="D65" s="125" t="s">
        <v>406</v>
      </c>
      <c r="E65" s="150" t="n">
        <f>E57+E56</f>
        <v>0</v>
      </c>
      <c r="F65" s="153" t="n">
        <f>ROUND(E65/$E$68*100,3)</f>
        <v>0</v>
      </c>
      <c r="G65" s="150" t="n">
        <f>G57+G56</f>
        <v>0</v>
      </c>
      <c r="H65" s="153" t="n">
        <f>ROUND(G65/$G$68*100,3)</f>
        <v>0</v>
      </c>
      <c r="I65" s="150" t="n">
        <f>I57+I56</f>
        <v>7</v>
      </c>
      <c r="J65" s="153" t="n">
        <f>ROUND(I65/$I$68*100,3)</f>
        <v>1.446</v>
      </c>
    </row>
    <row r="66">
      <c r="C66" s="121" t="s">
        <v>403</v>
      </c>
      <c r="D66" s="48" t="s">
        <v>29</v>
      </c>
      <c r="E66" s="150" t="n">
        <f>E55</f>
        <v>1</v>
      </c>
      <c r="F66" s="153" t="n">
        <f>ROUND(E66/$E$68*100,3)</f>
        <v>50</v>
      </c>
      <c r="G66" s="150" t="n">
        <f>G55</f>
        <v>16</v>
      </c>
      <c r="H66" s="153" t="n">
        <f>ROUND(G66/$G$68*100,3)</f>
        <v>23.529</v>
      </c>
      <c r="I66" s="150" t="n">
        <f>I55</f>
        <v>67</v>
      </c>
      <c r="J66" s="153" t="n">
        <f>ROUND(I66/$I$68*100,3)</f>
        <v>13.843</v>
      </c>
    </row>
    <row r="67" ht="15" customHeight="1">
      <c r="C67" s="122" t="s">
        <v>404</v>
      </c>
      <c r="D67" s="48" t="s">
        <v>407</v>
      </c>
      <c r="E67" s="150" t="n">
        <f>E54+E53</f>
        <v>1</v>
      </c>
      <c r="F67" s="153" t="n">
        <f>ROUND(E67/$E$68*100,3)</f>
        <v>50</v>
      </c>
      <c r="G67" s="150" t="n">
        <f>G54+G53</f>
        <v>52</v>
      </c>
      <c r="H67" s="153" t="n">
        <f>ROUND(G67/$G$68*100,3)</f>
        <v>76.471000000000004</v>
      </c>
      <c r="I67" s="150" t="n">
        <f>I54+I53</f>
        <v>410</v>
      </c>
      <c r="J67" s="153" t="n">
        <f>ROUND(I67/$I$68*100,3)</f>
        <v>84.710999999999999</v>
      </c>
    </row>
    <row r="68">
      <c r="C68" s="132"/>
      <c r="D68" s="132" t="s">
        <v>313</v>
      </c>
      <c r="E68" s="62" t="n">
        <f>SUM(E65:E67)</f>
        <v>2</v>
      </c>
      <c r="F68" s="58" t="n">
        <f>ROUND(SUM(F65:F67),2)</f>
        <v>100</v>
      </c>
      <c r="G68" s="62" t="n">
        <f>SUM(G65:G67)</f>
        <v>68</v>
      </c>
      <c r="H68" s="58" t="n">
        <f>ROUND(SUM(H65:H67),2)</f>
        <v>100</v>
      </c>
      <c r="I68" s="62" t="n">
        <f>SUM(I65:I67)</f>
        <v>484</v>
      </c>
      <c r="J68" s="58" t="n">
        <f>ROUND(SUM(J65:J67),2)</f>
        <v>100</v>
      </c>
    </row>
    <row r="69">
      <c r="B69" s="178"/>
      <c r="N69" s="124"/>
    </row>
    <row r="70">
      <c r="B70" s="165"/>
      <c r="C70" s="166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</row>
  </sheetData>
  <sheetProtection password="C2D7" sheet="1"/>
  <mergeCells count="62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C58:D58"/>
    <mergeCell ref="C62:J62"/>
    <mergeCell ref="E63:F63"/>
    <mergeCell ref="G63:H63"/>
    <mergeCell ref="I63:J6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4" sqref="B4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  <col min="4" max="4" width="28.140625" hidden="0" customWidth="1"/>
  </cols>
  <sheetData>
    <row r="1">
      <c r="A1" t="s">
        <v>295</v>
      </c>
      <c r="B1" t="s">
        <v>13</v>
      </c>
      <c r="C1" t="s">
        <v>9</v>
      </c>
      <c r="D1" s="6" t="s">
        <v>8</v>
      </c>
    </row>
    <row r="2">
      <c r="A2" s="6" t="s">
        <v>203</v>
      </c>
      <c r="B2" s="6" t="s">
        <v>204</v>
      </c>
      <c r="C2" s="6" t="n">
        <v>111</v>
      </c>
      <c r="D2" s="5" t="s">
        <v>122</v>
      </c>
    </row>
    <row r="3">
      <c r="A3" s="6" t="s">
        <v>225</v>
      </c>
      <c r="B3" s="6" t="s">
        <v>226</v>
      </c>
      <c r="C3" s="6" t="n">
        <v>111</v>
      </c>
      <c r="D3" s="5" t="s">
        <v>122</v>
      </c>
    </row>
    <row r="4">
      <c r="A4" s="6" t="s">
        <v>231</v>
      </c>
      <c r="B4" s="6" t="s">
        <v>232</v>
      </c>
      <c r="C4" s="6" t="n">
        <v>111</v>
      </c>
      <c r="D4" s="5" t="s">
        <v>122</v>
      </c>
    </row>
    <row r="5">
      <c r="A5" s="6" t="s">
        <v>227</v>
      </c>
      <c r="B5" s="6" t="s">
        <v>228</v>
      </c>
      <c r="C5" s="6" t="n">
        <v>111</v>
      </c>
      <c r="D5" s="5" t="s">
        <v>122</v>
      </c>
    </row>
    <row r="6">
      <c r="A6" s="6" t="s">
        <v>221</v>
      </c>
      <c r="B6" s="6" t="s">
        <v>222</v>
      </c>
      <c r="C6" s="6" t="n">
        <v>111</v>
      </c>
      <c r="D6" s="5" t="s">
        <v>122</v>
      </c>
    </row>
    <row r="7">
      <c r="A7" s="6" t="s">
        <v>211</v>
      </c>
      <c r="B7" s="6" t="s">
        <v>212</v>
      </c>
      <c r="C7" s="6" t="n">
        <v>111</v>
      </c>
      <c r="D7" s="5" t="s">
        <v>122</v>
      </c>
    </row>
    <row r="8">
      <c r="A8" s="6" t="s">
        <v>229</v>
      </c>
      <c r="B8" s="6" t="s">
        <v>230</v>
      </c>
      <c r="C8" s="6" t="n">
        <v>111</v>
      </c>
      <c r="D8" s="5" t="s">
        <v>122</v>
      </c>
    </row>
    <row r="9">
      <c r="A9" s="6" t="s">
        <v>213</v>
      </c>
      <c r="B9" s="6" t="s">
        <v>214</v>
      </c>
      <c r="C9" s="6" t="n">
        <v>111</v>
      </c>
      <c r="D9" s="5" t="s">
        <v>122</v>
      </c>
    </row>
    <row r="10">
      <c r="A10" s="6" t="s">
        <v>217</v>
      </c>
      <c r="B10" s="6" t="s">
        <v>218</v>
      </c>
      <c r="C10" s="6" t="n">
        <v>111</v>
      </c>
      <c r="D10" s="5" t="s">
        <v>122</v>
      </c>
    </row>
    <row r="11">
      <c r="A11" s="6" t="s">
        <v>207</v>
      </c>
      <c r="B11" s="6" t="s">
        <v>208</v>
      </c>
      <c r="C11" s="6" t="n">
        <v>111</v>
      </c>
      <c r="D11" s="5" t="s">
        <v>122</v>
      </c>
    </row>
    <row r="12">
      <c r="A12" s="6" t="s">
        <v>205</v>
      </c>
      <c r="B12" s="6" t="s">
        <v>206</v>
      </c>
      <c r="C12" s="6" t="n">
        <v>111</v>
      </c>
      <c r="D12" s="5" t="s">
        <v>122</v>
      </c>
    </row>
    <row r="13">
      <c r="A13" s="6" t="s">
        <v>209</v>
      </c>
      <c r="B13" s="6" t="s">
        <v>210</v>
      </c>
      <c r="C13" s="6" t="n">
        <v>111</v>
      </c>
      <c r="D13" s="5" t="s">
        <v>122</v>
      </c>
    </row>
    <row r="14">
      <c r="A14" s="6" t="s">
        <v>201</v>
      </c>
      <c r="B14" s="6" t="s">
        <v>202</v>
      </c>
      <c r="C14" s="6" t="n">
        <v>111</v>
      </c>
      <c r="D14" s="5" t="s">
        <v>122</v>
      </c>
    </row>
    <row r="15">
      <c r="A15" s="6" t="s">
        <v>219</v>
      </c>
      <c r="B15" s="6" t="s">
        <v>220</v>
      </c>
      <c r="C15" s="6" t="n">
        <v>111</v>
      </c>
      <c r="D15" s="5" t="s">
        <v>122</v>
      </c>
    </row>
    <row r="16">
      <c r="A16" s="6" t="s">
        <v>223</v>
      </c>
      <c r="B16" s="6" t="s">
        <v>224</v>
      </c>
      <c r="C16" s="6" t="n">
        <v>111</v>
      </c>
      <c r="D16" s="5" t="s">
        <v>122</v>
      </c>
    </row>
    <row r="17">
      <c r="A17" s="6" t="s">
        <v>215</v>
      </c>
      <c r="B17" s="6" t="s">
        <v>216</v>
      </c>
      <c r="C17" s="6" t="n">
        <v>111</v>
      </c>
      <c r="D17" s="5" t="s">
        <v>122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2" activePane="bottomLeft" state="frozen"/>
      <selection activeCell="E1" sqref="E1"/>
      <selection pane="bottomLeft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8" t="s">
        <v>0</v>
      </c>
      <c r="B1" s="8" t="s">
        <v>296</v>
      </c>
      <c r="C1" s="8" t="s">
        <v>7</v>
      </c>
      <c r="D1" s="8" t="s">
        <v>6</v>
      </c>
      <c r="E1" s="8" t="s">
        <v>297</v>
      </c>
      <c r="F1" s="8" t="s">
        <v>298</v>
      </c>
      <c r="G1" s="9" t="s">
        <v>299</v>
      </c>
      <c r="H1" s="8" t="s">
        <v>9</v>
      </c>
      <c r="I1" s="8" t="s">
        <v>8</v>
      </c>
      <c r="J1" s="8" t="s">
        <v>300</v>
      </c>
      <c r="K1" s="8" t="s">
        <v>301</v>
      </c>
      <c r="L1" s="9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7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7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7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7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7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7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7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7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7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7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7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7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7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7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7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7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7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7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7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7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7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7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7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7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7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7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7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7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7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7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7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7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7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7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7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7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7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7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7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7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7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7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7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7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7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7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7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7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7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7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7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7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7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7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7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7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7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7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7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7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7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7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7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7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7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7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7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7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7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7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7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7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7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7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7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7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7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7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7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7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7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7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7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7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7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7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7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7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7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7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7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7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7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7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7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7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7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7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7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7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7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7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7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7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7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7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7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7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7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7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7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7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7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7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7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7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7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7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7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7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7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7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7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7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7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7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7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7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7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7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7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7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7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7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7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7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7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7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7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7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7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7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7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7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7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7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7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7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7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7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7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7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7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7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7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7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7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7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7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7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7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7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7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7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7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7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7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7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7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7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7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7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7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7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7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7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7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7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7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7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7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7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7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7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7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7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7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7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7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7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7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7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7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7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7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7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7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7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7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7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7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7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7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7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7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7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7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7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7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7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7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7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7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7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7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7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7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7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7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7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7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7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7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7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7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7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7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7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7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7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7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7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7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7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7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7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7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7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7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7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7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7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7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7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7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7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7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7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7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7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7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7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7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7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7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7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7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7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7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7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7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7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7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7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7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7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7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7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7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7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7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7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7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7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7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7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7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7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7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7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7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7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7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7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7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7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7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7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7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7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7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7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7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7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7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7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7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7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7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7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7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7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7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7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7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7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7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7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7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7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7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7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7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7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7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7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7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7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7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7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7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7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7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7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7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7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7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7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7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7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7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7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7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7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7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7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7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7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7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7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7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7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7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7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7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7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7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7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7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7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7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7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7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7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7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7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7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7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7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7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7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7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7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7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7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7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7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7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7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7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7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7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7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7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7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7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7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7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7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7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7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7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7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7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7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7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7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7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7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7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7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7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7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7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7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7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7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7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7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7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7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7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7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7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7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7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7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7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7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7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7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7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7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7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7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7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7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7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7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7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7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7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7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7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7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7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7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7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7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7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7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7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7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7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7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7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7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7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7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7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7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7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7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7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7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7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7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7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7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7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7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7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7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7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7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7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7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7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7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7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7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7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7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7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7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7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7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7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7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7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7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7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7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7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7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7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7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7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7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7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7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7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7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7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7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7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7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7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7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7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7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7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7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7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7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7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7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7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7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7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7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7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7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7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7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7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7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7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7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7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7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7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7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7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7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7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7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7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7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7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7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7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7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7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7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7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7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7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7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7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7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7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7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7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7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7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7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7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7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7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7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7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7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7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7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7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7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7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7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7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7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7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7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7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7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7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7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7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7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7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7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7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7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7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7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7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7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7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7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7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7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7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7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7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7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7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7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7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7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7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7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7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7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7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7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7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7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7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7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7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7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7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7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7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7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7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7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7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7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7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7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7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7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7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7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7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7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7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7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7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7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7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7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7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7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7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7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7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7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7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7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7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7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7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7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7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7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7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7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7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7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7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7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7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7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7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7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7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7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7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7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7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7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7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7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7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7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7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7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7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7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7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7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7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7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7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7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7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7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7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7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7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7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7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7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7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7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7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7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7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7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7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7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7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7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7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7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7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7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7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7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7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7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7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7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7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7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7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7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7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7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7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7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7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7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7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7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7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7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7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7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7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7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7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7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7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7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7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7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7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7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7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7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7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7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7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7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7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7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7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7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7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7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7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7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7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7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7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7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7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7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7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7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7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7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7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7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7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7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7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7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7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7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7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7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7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7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7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7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7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7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7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7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7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7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7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7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7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7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7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7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7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7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7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7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7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7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7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7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7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7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7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7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7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7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7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7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7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7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7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7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7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7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7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7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7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7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7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7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7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7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7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7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7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7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7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7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7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7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7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7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7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7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7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7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7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7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7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7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7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7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7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7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7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7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7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7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7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7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7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7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7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7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7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7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7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7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7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7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7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7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7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7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7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7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7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7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7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7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7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7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7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7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7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7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7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7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7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7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7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7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7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7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7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7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7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7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7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7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7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7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7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7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7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7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7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7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7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7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7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7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7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7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7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7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7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7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7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7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7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7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7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7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7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7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7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7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7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7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7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7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7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7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7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7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7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7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7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7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7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7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7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7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7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7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7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7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7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7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7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7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7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7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7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7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7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7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7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7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7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7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7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7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7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7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7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7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7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7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7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7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7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7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7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7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7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7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7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7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7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7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7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7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7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7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7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7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7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7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7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7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7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7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7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7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7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7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7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7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7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7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7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7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7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7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7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7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7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7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7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7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7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7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7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7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7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7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7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7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7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7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7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7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7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7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7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7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7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7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7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7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7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7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7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7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7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7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7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7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7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7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7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7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7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7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7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7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7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7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7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7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7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7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7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7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7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7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7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7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7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7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7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7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7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7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7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7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7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7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7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7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7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7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7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7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7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7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7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7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7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7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7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7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7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7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7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7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7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7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7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7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7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7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7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7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7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7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7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7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7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7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7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7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7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7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7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7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7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7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7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7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7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7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7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7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7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7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7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7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7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7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7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7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7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7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7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7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7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7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7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7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7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7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7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7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7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7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7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7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7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7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7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7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7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7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7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7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7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7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7" t="n">
        <f>Tabela4[[#This Row],[QTD_RESPOSTAS_SETOR]]/Tabela4[[#This Row],[QTD_RESPONDENTES_SETOR_CURSO]]</f>
        <v>43.55</v>
      </c>
    </row>
    <row r="559">
      <c r="B559" s="7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7"/>
      <c r="D562" t="s">
        <v>306</v>
      </c>
      <c r="E562" t="n">
        <v>39</v>
      </c>
    </row>
    <row r="563">
      <c r="C563" s="7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6" sqref="B6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10" t="s">
        <v>310</v>
      </c>
      <c r="B1" s="11" t="s">
        <v>311</v>
      </c>
      <c r="C1" s="10" t="s">
        <v>312</v>
      </c>
    </row>
    <row r="2">
      <c r="A2" t="n">
        <v>3</v>
      </c>
      <c r="B2" s="13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3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3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3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3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3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3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3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3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3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3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3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3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3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3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3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3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3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3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3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3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3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3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3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3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3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3" t="n">
        <v>11</v>
      </c>
      <c r="C28" t="n">
        <f>Tabela10[[#This Row],[Frequência de respostas]]*Tabela10[[#This Row],[Quantidade de alunos]]</f>
        <v>506</v>
      </c>
    </row>
    <row r="29">
      <c r="A29" s="12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5" t="s">
        <v>314</v>
      </c>
      <c r="B1" s="36" t="s">
        <v>315</v>
      </c>
      <c r="C1" s="36" t="s">
        <v>316</v>
      </c>
      <c r="D1" s="37" t="s">
        <v>317</v>
      </c>
      <c r="E1" s="38" t="s">
        <v>318</v>
      </c>
      <c r="F1" s="38" t="s">
        <v>319</v>
      </c>
      <c r="G1" s="38" t="s">
        <v>320</v>
      </c>
      <c r="H1" s="37" t="s">
        <v>321</v>
      </c>
      <c r="I1" s="38" t="s">
        <v>322</v>
      </c>
      <c r="J1" s="37" t="s">
        <v>323</v>
      </c>
      <c r="K1" s="38" t="s">
        <v>324</v>
      </c>
      <c r="L1" s="38" t="s">
        <v>325</v>
      </c>
      <c r="M1" s="39" t="s">
        <v>326</v>
      </c>
      <c r="N1" s="39" t="s">
        <v>327</v>
      </c>
      <c r="O1" s="39" t="s">
        <v>328</v>
      </c>
      <c r="P1" s="39" t="s">
        <v>329</v>
      </c>
      <c r="Q1" s="39" t="s">
        <v>330</v>
      </c>
      <c r="R1" s="39" t="s">
        <v>331</v>
      </c>
      <c r="S1" s="36" t="s">
        <v>332</v>
      </c>
      <c r="T1" s="36" t="s">
        <v>333</v>
      </c>
      <c r="U1" s="36" t="s">
        <v>334</v>
      </c>
    </row>
    <row r="2">
      <c r="A2" s="33" t="n">
        <v>1</v>
      </c>
      <c r="B2" s="14" t="n">
        <v>105</v>
      </c>
      <c r="C2" s="15" t="s">
        <v>335</v>
      </c>
      <c r="D2" s="16" t="n">
        <v>283</v>
      </c>
      <c r="E2" s="17" t="s">
        <v>14</v>
      </c>
      <c r="F2" s="18" t="s">
        <v>336</v>
      </c>
      <c r="G2" s="18"/>
      <c r="H2" s="16"/>
      <c r="I2" s="18"/>
      <c r="J2" s="16" t="n">
        <v>1052</v>
      </c>
      <c r="K2" s="18" t="s">
        <v>337</v>
      </c>
      <c r="L2" s="18"/>
      <c r="M2" s="19" t="s">
        <v>26</v>
      </c>
      <c r="N2" s="19" t="s">
        <v>16</v>
      </c>
      <c r="O2" s="19" t="s">
        <v>29</v>
      </c>
      <c r="P2" s="19" t="s">
        <v>79</v>
      </c>
      <c r="Q2" s="19" t="s">
        <v>80</v>
      </c>
      <c r="R2" s="19" t="s">
        <v>45</v>
      </c>
      <c r="S2" s="14" t="s">
        <v>20</v>
      </c>
      <c r="T2" s="14" t="n">
        <v>6</v>
      </c>
      <c r="U2" s="14" t="s">
        <v>338</v>
      </c>
    </row>
    <row r="3">
      <c r="A3" s="34" t="n">
        <v>2</v>
      </c>
      <c r="B3" s="21" t="n">
        <v>105</v>
      </c>
      <c r="C3" s="22" t="s">
        <v>335</v>
      </c>
      <c r="D3" s="23" t="n">
        <v>283</v>
      </c>
      <c r="E3" s="24" t="s">
        <v>14</v>
      </c>
      <c r="F3" s="25" t="s">
        <v>336</v>
      </c>
      <c r="G3" s="25"/>
      <c r="H3" s="23"/>
      <c r="I3" s="25"/>
      <c r="J3" s="23" t="n">
        <v>1053</v>
      </c>
      <c r="K3" s="25" t="s">
        <v>339</v>
      </c>
      <c r="L3" s="25"/>
      <c r="M3" s="26" t="s">
        <v>26</v>
      </c>
      <c r="N3" s="26" t="s">
        <v>16</v>
      </c>
      <c r="O3" s="26" t="s">
        <v>29</v>
      </c>
      <c r="P3" s="26" t="s">
        <v>79</v>
      </c>
      <c r="Q3" s="26" t="s">
        <v>80</v>
      </c>
      <c r="R3" s="26" t="s">
        <v>45</v>
      </c>
      <c r="S3" s="21" t="s">
        <v>20</v>
      </c>
      <c r="T3" s="21" t="n">
        <v>6</v>
      </c>
      <c r="U3" s="21" t="s">
        <v>338</v>
      </c>
    </row>
    <row r="4">
      <c r="A4" s="33" t="n">
        <v>3</v>
      </c>
      <c r="B4" s="14" t="n">
        <v>105</v>
      </c>
      <c r="C4" s="15" t="s">
        <v>335</v>
      </c>
      <c r="D4" s="16" t="n">
        <v>283</v>
      </c>
      <c r="E4" s="17" t="s">
        <v>14</v>
      </c>
      <c r="F4" s="18" t="s">
        <v>336</v>
      </c>
      <c r="G4" s="18"/>
      <c r="H4" s="16"/>
      <c r="I4" s="18"/>
      <c r="J4" s="16" t="n">
        <v>1054</v>
      </c>
      <c r="K4" s="18" t="s">
        <v>340</v>
      </c>
      <c r="L4" s="18"/>
      <c r="M4" s="19" t="s">
        <v>26</v>
      </c>
      <c r="N4" s="19" t="s">
        <v>16</v>
      </c>
      <c r="O4" s="19" t="s">
        <v>29</v>
      </c>
      <c r="P4" s="19" t="s">
        <v>79</v>
      </c>
      <c r="Q4" s="19" t="s">
        <v>80</v>
      </c>
      <c r="R4" s="19" t="s">
        <v>45</v>
      </c>
      <c r="S4" s="14" t="s">
        <v>20</v>
      </c>
      <c r="T4" s="14" t="n">
        <v>6</v>
      </c>
      <c r="U4" s="14" t="s">
        <v>338</v>
      </c>
    </row>
    <row r="5">
      <c r="A5" s="34" t="n">
        <v>4</v>
      </c>
      <c r="B5" s="21" t="n">
        <v>105</v>
      </c>
      <c r="C5" s="22" t="s">
        <v>335</v>
      </c>
      <c r="D5" s="23" t="n">
        <v>284</v>
      </c>
      <c r="E5" s="24" t="s">
        <v>24</v>
      </c>
      <c r="F5" s="25" t="s">
        <v>341</v>
      </c>
      <c r="G5" s="25"/>
      <c r="H5" s="23"/>
      <c r="I5" s="25"/>
      <c r="J5" s="23" t="n">
        <v>1055</v>
      </c>
      <c r="K5" s="25" t="s">
        <v>342</v>
      </c>
      <c r="L5" s="25"/>
      <c r="M5" s="26" t="s">
        <v>26</v>
      </c>
      <c r="N5" s="26" t="s">
        <v>16</v>
      </c>
      <c r="O5" s="26" t="s">
        <v>29</v>
      </c>
      <c r="P5" s="26" t="s">
        <v>79</v>
      </c>
      <c r="Q5" s="26" t="s">
        <v>80</v>
      </c>
      <c r="R5" s="26" t="s">
        <v>45</v>
      </c>
      <c r="S5" s="21" t="s">
        <v>20</v>
      </c>
      <c r="T5" s="21" t="n">
        <v>6</v>
      </c>
      <c r="U5" s="21" t="s">
        <v>338</v>
      </c>
    </row>
    <row r="6">
      <c r="A6" s="33" t="n">
        <v>5</v>
      </c>
      <c r="B6" s="14" t="n">
        <v>105</v>
      </c>
      <c r="C6" s="15" t="s">
        <v>335</v>
      </c>
      <c r="D6" s="16" t="n">
        <v>284</v>
      </c>
      <c r="E6" s="17" t="s">
        <v>24</v>
      </c>
      <c r="F6" s="18" t="s">
        <v>341</v>
      </c>
      <c r="G6" s="18"/>
      <c r="H6" s="16"/>
      <c r="I6" s="18"/>
      <c r="J6" s="16" t="n">
        <v>1056</v>
      </c>
      <c r="K6" s="18" t="s">
        <v>343</v>
      </c>
      <c r="L6" s="18"/>
      <c r="M6" s="19" t="s">
        <v>26</v>
      </c>
      <c r="N6" s="19" t="s">
        <v>16</v>
      </c>
      <c r="O6" s="19" t="s">
        <v>29</v>
      </c>
      <c r="P6" s="19" t="s">
        <v>79</v>
      </c>
      <c r="Q6" s="19" t="s">
        <v>80</v>
      </c>
      <c r="R6" s="19" t="s">
        <v>45</v>
      </c>
      <c r="S6" s="14" t="s">
        <v>20</v>
      </c>
      <c r="T6" s="14" t="n">
        <v>6</v>
      </c>
      <c r="U6" s="14" t="s">
        <v>338</v>
      </c>
    </row>
    <row r="7">
      <c r="A7" s="34" t="n">
        <v>6</v>
      </c>
      <c r="B7" s="21" t="n">
        <v>105</v>
      </c>
      <c r="C7" s="22" t="s">
        <v>335</v>
      </c>
      <c r="D7" s="23" t="n">
        <v>284</v>
      </c>
      <c r="E7" s="24" t="s">
        <v>24</v>
      </c>
      <c r="F7" s="25" t="s">
        <v>341</v>
      </c>
      <c r="G7" s="25"/>
      <c r="H7" s="23"/>
      <c r="I7" s="25"/>
      <c r="J7" s="23" t="n">
        <v>1057</v>
      </c>
      <c r="K7" s="25" t="s">
        <v>344</v>
      </c>
      <c r="L7" s="25"/>
      <c r="M7" s="26" t="s">
        <v>26</v>
      </c>
      <c r="N7" s="26" t="s">
        <v>16</v>
      </c>
      <c r="O7" s="26" t="s">
        <v>29</v>
      </c>
      <c r="P7" s="26" t="s">
        <v>79</v>
      </c>
      <c r="Q7" s="26" t="s">
        <v>80</v>
      </c>
      <c r="R7" s="26" t="s">
        <v>45</v>
      </c>
      <c r="S7" s="21" t="s">
        <v>20</v>
      </c>
      <c r="T7" s="21" t="n">
        <v>6</v>
      </c>
      <c r="U7" s="21" t="s">
        <v>338</v>
      </c>
    </row>
    <row r="8">
      <c r="A8" s="33" t="n">
        <v>7</v>
      </c>
      <c r="B8" s="14" t="n">
        <v>105</v>
      </c>
      <c r="C8" s="15" t="s">
        <v>335</v>
      </c>
      <c r="D8" s="16" t="n">
        <v>284</v>
      </c>
      <c r="E8" s="17" t="s">
        <v>24</v>
      </c>
      <c r="F8" s="18" t="s">
        <v>341</v>
      </c>
      <c r="G8" s="18"/>
      <c r="H8" s="16"/>
      <c r="I8" s="18"/>
      <c r="J8" s="16" t="n">
        <v>1058</v>
      </c>
      <c r="K8" s="18" t="s">
        <v>345</v>
      </c>
      <c r="L8" s="18"/>
      <c r="M8" s="19" t="s">
        <v>26</v>
      </c>
      <c r="N8" s="19" t="s">
        <v>16</v>
      </c>
      <c r="O8" s="19" t="s">
        <v>29</v>
      </c>
      <c r="P8" s="19" t="s">
        <v>79</v>
      </c>
      <c r="Q8" s="19" t="s">
        <v>80</v>
      </c>
      <c r="R8" s="19" t="s">
        <v>45</v>
      </c>
      <c r="S8" s="14" t="s">
        <v>20</v>
      </c>
      <c r="T8" s="14" t="n">
        <v>6</v>
      </c>
      <c r="U8" s="14" t="s">
        <v>338</v>
      </c>
    </row>
    <row r="9">
      <c r="A9" s="34" t="n">
        <v>8</v>
      </c>
      <c r="B9" s="21" t="n">
        <v>105</v>
      </c>
      <c r="C9" s="22" t="s">
        <v>335</v>
      </c>
      <c r="D9" s="23" t="n">
        <v>285</v>
      </c>
      <c r="E9" s="24" t="s">
        <v>31</v>
      </c>
      <c r="F9" s="25" t="s">
        <v>346</v>
      </c>
      <c r="G9" s="25"/>
      <c r="H9" s="23"/>
      <c r="I9" s="25"/>
      <c r="J9" s="23" t="n">
        <v>1059</v>
      </c>
      <c r="K9" s="25" t="s">
        <v>347</v>
      </c>
      <c r="L9" s="25"/>
      <c r="M9" s="26" t="s">
        <v>26</v>
      </c>
      <c r="N9" s="26" t="s">
        <v>16</v>
      </c>
      <c r="O9" s="26" t="s">
        <v>29</v>
      </c>
      <c r="P9" s="26" t="s">
        <v>79</v>
      </c>
      <c r="Q9" s="26" t="s">
        <v>80</v>
      </c>
      <c r="R9" s="26" t="s">
        <v>45</v>
      </c>
      <c r="S9" s="21" t="s">
        <v>20</v>
      </c>
      <c r="T9" s="21" t="n">
        <v>6</v>
      </c>
      <c r="U9" s="21" t="s">
        <v>338</v>
      </c>
    </row>
    <row r="10">
      <c r="A10" s="33" t="n">
        <v>9</v>
      </c>
      <c r="B10" s="14" t="n">
        <v>105</v>
      </c>
      <c r="C10" s="15" t="s">
        <v>335</v>
      </c>
      <c r="D10" s="16" t="n">
        <v>285</v>
      </c>
      <c r="E10" s="17" t="s">
        <v>31</v>
      </c>
      <c r="F10" s="18" t="s">
        <v>346</v>
      </c>
      <c r="G10" s="18"/>
      <c r="H10" s="16"/>
      <c r="I10" s="18"/>
      <c r="J10" s="16" t="n">
        <v>1060</v>
      </c>
      <c r="K10" s="18" t="s">
        <v>348</v>
      </c>
      <c r="L10" s="18"/>
      <c r="M10" s="19" t="s">
        <v>26</v>
      </c>
      <c r="N10" s="19" t="s">
        <v>16</v>
      </c>
      <c r="O10" s="19" t="s">
        <v>29</v>
      </c>
      <c r="P10" s="19" t="s">
        <v>79</v>
      </c>
      <c r="Q10" s="19" t="s">
        <v>80</v>
      </c>
      <c r="R10" s="19" t="s">
        <v>45</v>
      </c>
      <c r="S10" s="14" t="s">
        <v>20</v>
      </c>
      <c r="T10" s="14" t="n">
        <v>6</v>
      </c>
      <c r="U10" s="14" t="s">
        <v>338</v>
      </c>
    </row>
    <row r="11">
      <c r="A11" s="34" t="n">
        <v>10</v>
      </c>
      <c r="B11" s="21" t="n">
        <v>105</v>
      </c>
      <c r="C11" s="22" t="s">
        <v>335</v>
      </c>
      <c r="D11" s="23" t="n">
        <v>285</v>
      </c>
      <c r="E11" s="24" t="s">
        <v>31</v>
      </c>
      <c r="F11" s="25" t="s">
        <v>346</v>
      </c>
      <c r="G11" s="25"/>
      <c r="H11" s="23"/>
      <c r="I11" s="25"/>
      <c r="J11" s="23" t="n">
        <v>1061</v>
      </c>
      <c r="K11" s="25" t="s">
        <v>349</v>
      </c>
      <c r="L11" s="25"/>
      <c r="M11" s="26" t="s">
        <v>26</v>
      </c>
      <c r="N11" s="26" t="s">
        <v>16</v>
      </c>
      <c r="O11" s="26" t="s">
        <v>29</v>
      </c>
      <c r="P11" s="26" t="s">
        <v>79</v>
      </c>
      <c r="Q11" s="26" t="s">
        <v>80</v>
      </c>
      <c r="R11" s="26" t="s">
        <v>45</v>
      </c>
      <c r="S11" s="21" t="s">
        <v>20</v>
      </c>
      <c r="T11" s="21" t="n">
        <v>6</v>
      </c>
      <c r="U11" s="21" t="s">
        <v>338</v>
      </c>
    </row>
    <row r="12">
      <c r="A12" s="33" t="n">
        <v>11</v>
      </c>
      <c r="B12" s="14" t="n">
        <v>105</v>
      </c>
      <c r="C12" s="15" t="s">
        <v>335</v>
      </c>
      <c r="D12" s="16" t="n">
        <v>285</v>
      </c>
      <c r="E12" s="17" t="s">
        <v>31</v>
      </c>
      <c r="F12" s="18" t="s">
        <v>346</v>
      </c>
      <c r="G12" s="18"/>
      <c r="H12" s="16"/>
      <c r="I12" s="18"/>
      <c r="J12" s="16" t="n">
        <v>1062</v>
      </c>
      <c r="K12" s="18" t="s">
        <v>350</v>
      </c>
      <c r="L12" s="18"/>
      <c r="M12" s="19" t="s">
        <v>26</v>
      </c>
      <c r="N12" s="19" t="s">
        <v>16</v>
      </c>
      <c r="O12" s="19" t="s">
        <v>29</v>
      </c>
      <c r="P12" s="19" t="s">
        <v>79</v>
      </c>
      <c r="Q12" s="19" t="s">
        <v>80</v>
      </c>
      <c r="R12" s="19" t="s">
        <v>45</v>
      </c>
      <c r="S12" s="14" t="s">
        <v>20</v>
      </c>
      <c r="T12" s="14" t="n">
        <v>6</v>
      </c>
      <c r="U12" s="14" t="s">
        <v>338</v>
      </c>
    </row>
    <row r="13">
      <c r="A13" s="34" t="n">
        <v>12</v>
      </c>
      <c r="B13" s="21" t="n">
        <v>105</v>
      </c>
      <c r="C13" s="22" t="s">
        <v>335</v>
      </c>
      <c r="D13" s="23" t="n">
        <v>286</v>
      </c>
      <c r="E13" s="24" t="s">
        <v>36</v>
      </c>
      <c r="F13" s="25" t="s">
        <v>351</v>
      </c>
      <c r="G13" s="25"/>
      <c r="H13" s="23"/>
      <c r="I13" s="25"/>
      <c r="J13" s="23" t="n">
        <v>1063</v>
      </c>
      <c r="K13" s="25" t="s">
        <v>352</v>
      </c>
      <c r="L13" s="25"/>
      <c r="M13" s="26" t="s">
        <v>26</v>
      </c>
      <c r="N13" s="26" t="s">
        <v>16</v>
      </c>
      <c r="O13" s="26" t="s">
        <v>29</v>
      </c>
      <c r="P13" s="26" t="s">
        <v>79</v>
      </c>
      <c r="Q13" s="26" t="s">
        <v>80</v>
      </c>
      <c r="R13" s="26" t="s">
        <v>45</v>
      </c>
      <c r="S13" s="21" t="s">
        <v>20</v>
      </c>
      <c r="T13" s="21" t="n">
        <v>6</v>
      </c>
      <c r="U13" s="21" t="s">
        <v>338</v>
      </c>
    </row>
    <row r="14">
      <c r="A14" s="33" t="n">
        <v>13</v>
      </c>
      <c r="B14" s="14" t="n">
        <v>105</v>
      </c>
      <c r="C14" s="15" t="s">
        <v>335</v>
      </c>
      <c r="D14" s="16" t="n">
        <v>286</v>
      </c>
      <c r="E14" s="17" t="s">
        <v>36</v>
      </c>
      <c r="F14" s="18" t="s">
        <v>351</v>
      </c>
      <c r="G14" s="18"/>
      <c r="H14" s="16"/>
      <c r="I14" s="18"/>
      <c r="J14" s="16" t="n">
        <v>1064</v>
      </c>
      <c r="K14" s="18" t="s">
        <v>353</v>
      </c>
      <c r="L14" s="18"/>
      <c r="M14" s="19" t="s">
        <v>26</v>
      </c>
      <c r="N14" s="19" t="s">
        <v>16</v>
      </c>
      <c r="O14" s="19" t="s">
        <v>29</v>
      </c>
      <c r="P14" s="19" t="s">
        <v>79</v>
      </c>
      <c r="Q14" s="19" t="s">
        <v>80</v>
      </c>
      <c r="R14" s="19" t="s">
        <v>45</v>
      </c>
      <c r="S14" s="14" t="s">
        <v>20</v>
      </c>
      <c r="T14" s="14" t="n">
        <v>6</v>
      </c>
      <c r="U14" s="14" t="s">
        <v>338</v>
      </c>
    </row>
    <row r="15">
      <c r="A15" s="34" t="n">
        <v>14</v>
      </c>
      <c r="B15" s="21" t="n">
        <v>105</v>
      </c>
      <c r="C15" s="22" t="s">
        <v>335</v>
      </c>
      <c r="D15" s="23" t="n">
        <v>298</v>
      </c>
      <c r="E15" s="24" t="s">
        <v>354</v>
      </c>
      <c r="F15" s="25" t="s">
        <v>355</v>
      </c>
      <c r="G15" s="25"/>
      <c r="H15" s="23"/>
      <c r="I15" s="25"/>
      <c r="J15" s="23" t="n">
        <v>1106</v>
      </c>
      <c r="K15" s="25" t="s">
        <v>74</v>
      </c>
      <c r="L15" s="25"/>
      <c r="M15" s="26" t="s">
        <v>81</v>
      </c>
      <c r="N15" s="26" t="s">
        <v>75</v>
      </c>
      <c r="O15" s="26"/>
      <c r="P15" s="26"/>
      <c r="Q15" s="26"/>
      <c r="R15" s="26"/>
      <c r="S15" s="21" t="s">
        <v>76</v>
      </c>
      <c r="T15" s="21" t="n">
        <v>2</v>
      </c>
      <c r="U15" s="21" t="s">
        <v>338</v>
      </c>
    </row>
    <row r="16">
      <c r="A16" s="33" t="n">
        <v>15</v>
      </c>
      <c r="B16" s="14" t="n">
        <v>105</v>
      </c>
      <c r="C16" s="15" t="s">
        <v>335</v>
      </c>
      <c r="D16" s="16" t="n">
        <v>298</v>
      </c>
      <c r="E16" s="17" t="s">
        <v>354</v>
      </c>
      <c r="F16" s="18" t="s">
        <v>355</v>
      </c>
      <c r="G16" s="18"/>
      <c r="H16" s="16" t="n">
        <v>1106</v>
      </c>
      <c r="I16" s="18" t="s">
        <v>356</v>
      </c>
      <c r="J16" s="16" t="n">
        <v>1066</v>
      </c>
      <c r="K16" s="18" t="s">
        <v>357</v>
      </c>
      <c r="L16" s="18"/>
      <c r="M16" s="19" t="s">
        <v>26</v>
      </c>
      <c r="N16" s="19" t="s">
        <v>16</v>
      </c>
      <c r="O16" s="19" t="s">
        <v>29</v>
      </c>
      <c r="P16" s="19" t="s">
        <v>79</v>
      </c>
      <c r="Q16" s="19" t="s">
        <v>80</v>
      </c>
      <c r="R16" s="19" t="s">
        <v>45</v>
      </c>
      <c r="S16" s="14" t="s">
        <v>20</v>
      </c>
      <c r="T16" s="14" t="n">
        <v>6</v>
      </c>
      <c r="U16" s="14" t="s">
        <v>338</v>
      </c>
    </row>
    <row r="17">
      <c r="A17" s="34" t="n">
        <v>16</v>
      </c>
      <c r="B17" s="21" t="n">
        <v>105</v>
      </c>
      <c r="C17" s="22" t="s">
        <v>335</v>
      </c>
      <c r="D17" s="23" t="n">
        <v>298</v>
      </c>
      <c r="E17" s="24" t="s">
        <v>354</v>
      </c>
      <c r="F17" s="25" t="s">
        <v>355</v>
      </c>
      <c r="G17" s="25"/>
      <c r="H17" s="23" t="n">
        <v>1106</v>
      </c>
      <c r="I17" s="25" t="s">
        <v>74</v>
      </c>
      <c r="J17" s="23" t="n">
        <v>1067</v>
      </c>
      <c r="K17" s="25" t="s">
        <v>358</v>
      </c>
      <c r="L17" s="25"/>
      <c r="M17" s="26" t="s">
        <v>26</v>
      </c>
      <c r="N17" s="26" t="s">
        <v>16</v>
      </c>
      <c r="O17" s="26" t="s">
        <v>29</v>
      </c>
      <c r="P17" s="26" t="s">
        <v>79</v>
      </c>
      <c r="Q17" s="26" t="s">
        <v>80</v>
      </c>
      <c r="R17" s="26" t="s">
        <v>45</v>
      </c>
      <c r="S17" s="21" t="s">
        <v>20</v>
      </c>
      <c r="T17" s="21" t="n">
        <v>6</v>
      </c>
      <c r="U17" s="21" t="s">
        <v>338</v>
      </c>
    </row>
    <row r="18">
      <c r="A18" s="33" t="n">
        <v>17</v>
      </c>
      <c r="B18" s="14" t="n">
        <v>105</v>
      </c>
      <c r="C18" s="15" t="s">
        <v>335</v>
      </c>
      <c r="D18" s="16" t="n">
        <v>299</v>
      </c>
      <c r="E18" s="17" t="s">
        <v>77</v>
      </c>
      <c r="F18" s="18" t="s">
        <v>359</v>
      </c>
      <c r="G18" s="18"/>
      <c r="H18" s="16"/>
      <c r="I18" s="18"/>
      <c r="J18" s="16" t="n">
        <v>1068</v>
      </c>
      <c r="K18" s="18" t="s">
        <v>78</v>
      </c>
      <c r="L18" s="18"/>
      <c r="M18" s="19" t="s">
        <v>81</v>
      </c>
      <c r="N18" s="19" t="s">
        <v>75</v>
      </c>
      <c r="O18" s="19"/>
      <c r="P18" s="19"/>
      <c r="Q18" s="19"/>
      <c r="R18" s="19"/>
      <c r="S18" s="14" t="s">
        <v>76</v>
      </c>
      <c r="T18" s="14" t="n">
        <v>2</v>
      </c>
      <c r="U18" s="14" t="s">
        <v>338</v>
      </c>
    </row>
    <row r="19">
      <c r="A19" s="34" t="n">
        <v>18</v>
      </c>
      <c r="B19" s="21" t="n">
        <v>105</v>
      </c>
      <c r="C19" s="22" t="s">
        <v>335</v>
      </c>
      <c r="D19" s="23" t="n">
        <v>299</v>
      </c>
      <c r="E19" s="24" t="s">
        <v>77</v>
      </c>
      <c r="F19" s="25" t="s">
        <v>359</v>
      </c>
      <c r="G19" s="25"/>
      <c r="H19" s="23" t="n">
        <v>1068</v>
      </c>
      <c r="I19" s="25" t="s">
        <v>78</v>
      </c>
      <c r="J19" s="23" t="n">
        <v>1069</v>
      </c>
      <c r="K19" s="25" t="s">
        <v>360</v>
      </c>
      <c r="L19" s="25"/>
      <c r="M19" s="26" t="s">
        <v>26</v>
      </c>
      <c r="N19" s="26" t="s">
        <v>16</v>
      </c>
      <c r="O19" s="26" t="s">
        <v>29</v>
      </c>
      <c r="P19" s="26" t="s">
        <v>79</v>
      </c>
      <c r="Q19" s="26" t="s">
        <v>80</v>
      </c>
      <c r="R19" s="26" t="s">
        <v>45</v>
      </c>
      <c r="S19" s="21" t="s">
        <v>20</v>
      </c>
      <c r="T19" s="21" t="n">
        <v>6</v>
      </c>
      <c r="U19" s="21" t="s">
        <v>338</v>
      </c>
    </row>
    <row r="20">
      <c r="A20" s="33" t="n">
        <v>19</v>
      </c>
      <c r="B20" s="14" t="n">
        <v>105</v>
      </c>
      <c r="C20" s="15" t="s">
        <v>335</v>
      </c>
      <c r="D20" s="16" t="n">
        <v>299</v>
      </c>
      <c r="E20" s="17" t="s">
        <v>77</v>
      </c>
      <c r="F20" s="18" t="s">
        <v>359</v>
      </c>
      <c r="G20" s="18"/>
      <c r="H20" s="16" t="n">
        <v>1068</v>
      </c>
      <c r="I20" s="18" t="s">
        <v>78</v>
      </c>
      <c r="J20" s="16" t="n">
        <v>1070</v>
      </c>
      <c r="K20" s="18" t="s">
        <v>361</v>
      </c>
      <c r="L20" s="18"/>
      <c r="M20" s="19" t="s">
        <v>26</v>
      </c>
      <c r="N20" s="19" t="s">
        <v>16</v>
      </c>
      <c r="O20" s="19" t="s">
        <v>29</v>
      </c>
      <c r="P20" s="19" t="s">
        <v>79</v>
      </c>
      <c r="Q20" s="19" t="s">
        <v>80</v>
      </c>
      <c r="R20" s="19" t="s">
        <v>45</v>
      </c>
      <c r="S20" s="14" t="s">
        <v>20</v>
      </c>
      <c r="T20" s="14" t="n">
        <v>6</v>
      </c>
      <c r="U20" s="14" t="s">
        <v>338</v>
      </c>
    </row>
    <row r="21">
      <c r="A21" s="34" t="n">
        <v>20</v>
      </c>
      <c r="B21" s="21" t="n">
        <v>105</v>
      </c>
      <c r="C21" s="22" t="s">
        <v>335</v>
      </c>
      <c r="D21" s="23" t="n">
        <v>299</v>
      </c>
      <c r="E21" s="24" t="s">
        <v>77</v>
      </c>
      <c r="F21" s="25" t="s">
        <v>359</v>
      </c>
      <c r="G21" s="25"/>
      <c r="H21" s="23" t="n">
        <v>1068</v>
      </c>
      <c r="I21" s="25" t="s">
        <v>78</v>
      </c>
      <c r="J21" s="23" t="n">
        <v>1071</v>
      </c>
      <c r="K21" s="25" t="s">
        <v>362</v>
      </c>
      <c r="L21" s="25"/>
      <c r="M21" s="26" t="s">
        <v>26</v>
      </c>
      <c r="N21" s="26" t="s">
        <v>16</v>
      </c>
      <c r="O21" s="26" t="s">
        <v>29</v>
      </c>
      <c r="P21" s="26" t="s">
        <v>79</v>
      </c>
      <c r="Q21" s="26" t="s">
        <v>80</v>
      </c>
      <c r="R21" s="26" t="s">
        <v>45</v>
      </c>
      <c r="S21" s="21" t="s">
        <v>20</v>
      </c>
      <c r="T21" s="21" t="n">
        <v>6</v>
      </c>
      <c r="U21" s="21" t="s">
        <v>338</v>
      </c>
    </row>
    <row r="22">
      <c r="A22" s="33" t="n">
        <v>21</v>
      </c>
      <c r="B22" s="14" t="n">
        <v>105</v>
      </c>
      <c r="C22" s="15" t="s">
        <v>335</v>
      </c>
      <c r="D22" s="16" t="n">
        <v>289</v>
      </c>
      <c r="E22" s="17" t="s">
        <v>39</v>
      </c>
      <c r="F22" s="18" t="s">
        <v>363</v>
      </c>
      <c r="G22" s="18"/>
      <c r="H22" s="16"/>
      <c r="I22" s="18"/>
      <c r="J22" s="16" t="n">
        <v>1072</v>
      </c>
      <c r="K22" s="18" t="s">
        <v>364</v>
      </c>
      <c r="L22" s="18"/>
      <c r="M22" s="19" t="s">
        <v>26</v>
      </c>
      <c r="N22" s="19" t="s">
        <v>16</v>
      </c>
      <c r="O22" s="19" t="s">
        <v>29</v>
      </c>
      <c r="P22" s="19" t="s">
        <v>79</v>
      </c>
      <c r="Q22" s="19" t="s">
        <v>80</v>
      </c>
      <c r="R22" s="19" t="s">
        <v>45</v>
      </c>
      <c r="S22" s="14" t="s">
        <v>20</v>
      </c>
      <c r="T22" s="14" t="n">
        <v>6</v>
      </c>
      <c r="U22" s="14" t="s">
        <v>338</v>
      </c>
    </row>
    <row r="23">
      <c r="A23" s="34" t="n">
        <v>22</v>
      </c>
      <c r="B23" s="21" t="n">
        <v>105</v>
      </c>
      <c r="C23" s="22" t="s">
        <v>335</v>
      </c>
      <c r="D23" s="23" t="n">
        <v>289</v>
      </c>
      <c r="E23" s="24" t="s">
        <v>39</v>
      </c>
      <c r="F23" s="25" t="s">
        <v>363</v>
      </c>
      <c r="G23" s="25"/>
      <c r="H23" s="23"/>
      <c r="I23" s="25"/>
      <c r="J23" s="23" t="n">
        <v>1073</v>
      </c>
      <c r="K23" s="25" t="s">
        <v>365</v>
      </c>
      <c r="L23" s="25"/>
      <c r="M23" s="26" t="s">
        <v>26</v>
      </c>
      <c r="N23" s="26" t="s">
        <v>16</v>
      </c>
      <c r="O23" s="26" t="s">
        <v>29</v>
      </c>
      <c r="P23" s="26" t="s">
        <v>79</v>
      </c>
      <c r="Q23" s="26" t="s">
        <v>80</v>
      </c>
      <c r="R23" s="26" t="s">
        <v>45</v>
      </c>
      <c r="S23" s="21" t="s">
        <v>20</v>
      </c>
      <c r="T23" s="21" t="n">
        <v>6</v>
      </c>
      <c r="U23" s="21" t="s">
        <v>338</v>
      </c>
    </row>
    <row r="24">
      <c r="A24" s="33" t="n">
        <v>23</v>
      </c>
      <c r="B24" s="14" t="n">
        <v>105</v>
      </c>
      <c r="C24" s="15" t="s">
        <v>335</v>
      </c>
      <c r="D24" s="16" t="n">
        <v>289</v>
      </c>
      <c r="E24" s="17" t="s">
        <v>39</v>
      </c>
      <c r="F24" s="18" t="s">
        <v>363</v>
      </c>
      <c r="G24" s="18"/>
      <c r="H24" s="16"/>
      <c r="I24" s="18"/>
      <c r="J24" s="16" t="n">
        <v>1074</v>
      </c>
      <c r="K24" s="18" t="s">
        <v>366</v>
      </c>
      <c r="L24" s="18"/>
      <c r="M24" s="19" t="s">
        <v>26</v>
      </c>
      <c r="N24" s="19" t="s">
        <v>16</v>
      </c>
      <c r="O24" s="19" t="s">
        <v>29</v>
      </c>
      <c r="P24" s="19" t="s">
        <v>79</v>
      </c>
      <c r="Q24" s="19" t="s">
        <v>80</v>
      </c>
      <c r="R24" s="19" t="s">
        <v>45</v>
      </c>
      <c r="S24" s="14" t="s">
        <v>20</v>
      </c>
      <c r="T24" s="14" t="n">
        <v>6</v>
      </c>
      <c r="U24" s="14" t="s">
        <v>338</v>
      </c>
    </row>
    <row r="25">
      <c r="A25" s="34" t="n">
        <v>24</v>
      </c>
      <c r="B25" s="21" t="n">
        <v>105</v>
      </c>
      <c r="C25" s="22" t="s">
        <v>335</v>
      </c>
      <c r="D25" s="23" t="n">
        <v>289</v>
      </c>
      <c r="E25" s="24" t="s">
        <v>39</v>
      </c>
      <c r="F25" s="25" t="s">
        <v>363</v>
      </c>
      <c r="G25" s="25"/>
      <c r="H25" s="23"/>
      <c r="I25" s="25"/>
      <c r="J25" s="23" t="n">
        <v>1075</v>
      </c>
      <c r="K25" s="25" t="s">
        <v>367</v>
      </c>
      <c r="L25" s="25"/>
      <c r="M25" s="26" t="s">
        <v>26</v>
      </c>
      <c r="N25" s="26" t="s">
        <v>16</v>
      </c>
      <c r="O25" s="26" t="s">
        <v>29</v>
      </c>
      <c r="P25" s="26" t="s">
        <v>79</v>
      </c>
      <c r="Q25" s="26" t="s">
        <v>80</v>
      </c>
      <c r="R25" s="26" t="s">
        <v>45</v>
      </c>
      <c r="S25" s="21" t="s">
        <v>20</v>
      </c>
      <c r="T25" s="21" t="n">
        <v>6</v>
      </c>
      <c r="U25" s="21" t="s">
        <v>338</v>
      </c>
    </row>
    <row r="26">
      <c r="A26" s="33" t="n">
        <v>25</v>
      </c>
      <c r="B26" s="14" t="n">
        <v>105</v>
      </c>
      <c r="C26" s="15" t="s">
        <v>335</v>
      </c>
      <c r="D26" s="16" t="n">
        <v>289</v>
      </c>
      <c r="E26" s="17" t="s">
        <v>39</v>
      </c>
      <c r="F26" s="18" t="s">
        <v>363</v>
      </c>
      <c r="G26" s="18"/>
      <c r="H26" s="16"/>
      <c r="I26" s="18"/>
      <c r="J26" s="16" t="n">
        <v>1076</v>
      </c>
      <c r="K26" s="18" t="s">
        <v>368</v>
      </c>
      <c r="L26" s="18"/>
      <c r="M26" s="19" t="s">
        <v>26</v>
      </c>
      <c r="N26" s="19" t="s">
        <v>16</v>
      </c>
      <c r="O26" s="19" t="s">
        <v>29</v>
      </c>
      <c r="P26" s="19" t="s">
        <v>79</v>
      </c>
      <c r="Q26" s="19" t="s">
        <v>80</v>
      </c>
      <c r="R26" s="19" t="s">
        <v>45</v>
      </c>
      <c r="S26" s="14" t="s">
        <v>20</v>
      </c>
      <c r="T26" s="14" t="n">
        <v>6</v>
      </c>
      <c r="U26" s="14" t="s">
        <v>338</v>
      </c>
    </row>
    <row r="27">
      <c r="A27" s="34" t="n">
        <v>26</v>
      </c>
      <c r="B27" s="21" t="n">
        <v>105</v>
      </c>
      <c r="C27" s="22" t="s">
        <v>335</v>
      </c>
      <c r="D27" s="23" t="n">
        <v>289</v>
      </c>
      <c r="E27" s="24" t="s">
        <v>39</v>
      </c>
      <c r="F27" s="25" t="s">
        <v>363</v>
      </c>
      <c r="G27" s="25"/>
      <c r="H27" s="23"/>
      <c r="I27" s="25"/>
      <c r="J27" s="23" t="n">
        <v>1077</v>
      </c>
      <c r="K27" s="25" t="s">
        <v>369</v>
      </c>
      <c r="L27" s="25"/>
      <c r="M27" s="26" t="s">
        <v>26</v>
      </c>
      <c r="N27" s="26" t="s">
        <v>16</v>
      </c>
      <c r="O27" s="26" t="s">
        <v>29</v>
      </c>
      <c r="P27" s="26" t="s">
        <v>79</v>
      </c>
      <c r="Q27" s="26" t="s">
        <v>80</v>
      </c>
      <c r="R27" s="26" t="s">
        <v>45</v>
      </c>
      <c r="S27" s="21" t="s">
        <v>20</v>
      </c>
      <c r="T27" s="21" t="n">
        <v>6</v>
      </c>
      <c r="U27" s="21" t="s">
        <v>338</v>
      </c>
    </row>
    <row r="28">
      <c r="A28" s="33" t="n">
        <v>27</v>
      </c>
      <c r="B28" s="14" t="n">
        <v>105</v>
      </c>
      <c r="C28" s="15" t="s">
        <v>335</v>
      </c>
      <c r="D28" s="16" t="n">
        <v>289</v>
      </c>
      <c r="E28" s="17" t="s">
        <v>39</v>
      </c>
      <c r="F28" s="18" t="s">
        <v>363</v>
      </c>
      <c r="G28" s="18"/>
      <c r="H28" s="16"/>
      <c r="I28" s="18"/>
      <c r="J28" s="16" t="n">
        <v>1078</v>
      </c>
      <c r="K28" s="18" t="s">
        <v>370</v>
      </c>
      <c r="L28" s="18"/>
      <c r="M28" s="19" t="s">
        <v>26</v>
      </c>
      <c r="N28" s="19" t="s">
        <v>16</v>
      </c>
      <c r="O28" s="19" t="s">
        <v>29</v>
      </c>
      <c r="P28" s="19" t="s">
        <v>79</v>
      </c>
      <c r="Q28" s="19" t="s">
        <v>80</v>
      </c>
      <c r="R28" s="19" t="s">
        <v>45</v>
      </c>
      <c r="S28" s="14" t="s">
        <v>20</v>
      </c>
      <c r="T28" s="14" t="n">
        <v>6</v>
      </c>
      <c r="U28" s="14" t="s">
        <v>338</v>
      </c>
    </row>
    <row r="29">
      <c r="A29" s="34" t="n">
        <v>28</v>
      </c>
      <c r="B29" s="21" t="n">
        <v>105</v>
      </c>
      <c r="C29" s="22" t="s">
        <v>335</v>
      </c>
      <c r="D29" s="23" t="n">
        <v>290</v>
      </c>
      <c r="E29" s="24" t="s">
        <v>48</v>
      </c>
      <c r="F29" s="25" t="s">
        <v>371</v>
      </c>
      <c r="G29" s="25"/>
      <c r="H29" s="23"/>
      <c r="I29" s="25"/>
      <c r="J29" s="23" t="n">
        <v>1079</v>
      </c>
      <c r="K29" s="25" t="s">
        <v>372</v>
      </c>
      <c r="L29" s="25"/>
      <c r="M29" s="26" t="s">
        <v>26</v>
      </c>
      <c r="N29" s="26" t="s">
        <v>16</v>
      </c>
      <c r="O29" s="26" t="s">
        <v>29</v>
      </c>
      <c r="P29" s="26" t="s">
        <v>79</v>
      </c>
      <c r="Q29" s="26" t="s">
        <v>80</v>
      </c>
      <c r="R29" s="26" t="s">
        <v>45</v>
      </c>
      <c r="S29" s="21" t="s">
        <v>20</v>
      </c>
      <c r="T29" s="21" t="n">
        <v>6</v>
      </c>
      <c r="U29" s="21" t="s">
        <v>338</v>
      </c>
    </row>
    <row r="30">
      <c r="A30" s="33" t="n">
        <v>29</v>
      </c>
      <c r="B30" s="14" t="n">
        <v>105</v>
      </c>
      <c r="C30" s="15" t="s">
        <v>335</v>
      </c>
      <c r="D30" s="16" t="n">
        <v>290</v>
      </c>
      <c r="E30" s="17" t="s">
        <v>48</v>
      </c>
      <c r="F30" s="18" t="s">
        <v>371</v>
      </c>
      <c r="G30" s="18"/>
      <c r="H30" s="16"/>
      <c r="I30" s="18"/>
      <c r="J30" s="16" t="n">
        <v>1080</v>
      </c>
      <c r="K30" s="18" t="s">
        <v>373</v>
      </c>
      <c r="L30" s="18"/>
      <c r="M30" s="19" t="s">
        <v>26</v>
      </c>
      <c r="N30" s="19" t="s">
        <v>16</v>
      </c>
      <c r="O30" s="19" t="s">
        <v>29</v>
      </c>
      <c r="P30" s="19" t="s">
        <v>79</v>
      </c>
      <c r="Q30" s="19" t="s">
        <v>80</v>
      </c>
      <c r="R30" s="19" t="s">
        <v>45</v>
      </c>
      <c r="S30" s="14" t="s">
        <v>20</v>
      </c>
      <c r="T30" s="14" t="n">
        <v>6</v>
      </c>
      <c r="U30" s="14" t="s">
        <v>338</v>
      </c>
    </row>
    <row r="31">
      <c r="A31" s="34" t="n">
        <v>30</v>
      </c>
      <c r="B31" s="21" t="n">
        <v>105</v>
      </c>
      <c r="C31" s="22" t="s">
        <v>335</v>
      </c>
      <c r="D31" s="23" t="n">
        <v>290</v>
      </c>
      <c r="E31" s="24" t="s">
        <v>48</v>
      </c>
      <c r="F31" s="25" t="s">
        <v>371</v>
      </c>
      <c r="G31" s="25"/>
      <c r="H31" s="23"/>
      <c r="I31" s="25"/>
      <c r="J31" s="23" t="n">
        <v>1081</v>
      </c>
      <c r="K31" s="25" t="s">
        <v>374</v>
      </c>
      <c r="L31" s="25"/>
      <c r="M31" s="26" t="s">
        <v>26</v>
      </c>
      <c r="N31" s="26" t="s">
        <v>16</v>
      </c>
      <c r="O31" s="26" t="s">
        <v>29</v>
      </c>
      <c r="P31" s="26" t="s">
        <v>79</v>
      </c>
      <c r="Q31" s="26" t="s">
        <v>80</v>
      </c>
      <c r="R31" s="26" t="s">
        <v>45</v>
      </c>
      <c r="S31" s="21" t="s">
        <v>20</v>
      </c>
      <c r="T31" s="21" t="n">
        <v>6</v>
      </c>
      <c r="U31" s="21" t="s">
        <v>338</v>
      </c>
    </row>
    <row r="32">
      <c r="A32" s="33" t="n">
        <v>31</v>
      </c>
      <c r="B32" s="14" t="n">
        <v>105</v>
      </c>
      <c r="C32" s="15" t="s">
        <v>335</v>
      </c>
      <c r="D32" s="16" t="n">
        <v>291</v>
      </c>
      <c r="E32" s="17" t="s">
        <v>52</v>
      </c>
      <c r="F32" s="18" t="s">
        <v>375</v>
      </c>
      <c r="G32" s="27" t="s">
        <v>376</v>
      </c>
      <c r="H32" s="16"/>
      <c r="I32" s="18"/>
      <c r="J32" s="16" t="n">
        <v>1082</v>
      </c>
      <c r="K32" s="18" t="s">
        <v>377</v>
      </c>
      <c r="L32" s="28"/>
      <c r="M32" s="19" t="n">
        <v>10</v>
      </c>
      <c r="N32" s="19" t="n">
        <v>8</v>
      </c>
      <c r="O32" s="19" t="n">
        <v>6</v>
      </c>
      <c r="P32" s="19" t="n">
        <v>4</v>
      </c>
      <c r="Q32" s="19" t="n">
        <v>2</v>
      </c>
      <c r="R32" s="19" t="s">
        <v>55</v>
      </c>
      <c r="S32" s="14" t="s">
        <v>63</v>
      </c>
      <c r="T32" s="14" t="n">
        <v>6</v>
      </c>
      <c r="U32" s="14" t="s">
        <v>338</v>
      </c>
    </row>
    <row r="33">
      <c r="A33" s="34" t="n">
        <v>32</v>
      </c>
      <c r="B33" s="21" t="n">
        <v>105</v>
      </c>
      <c r="C33" s="22" t="s">
        <v>335</v>
      </c>
      <c r="D33" s="23" t="n">
        <v>291</v>
      </c>
      <c r="E33" s="24" t="s">
        <v>52</v>
      </c>
      <c r="F33" s="25" t="s">
        <v>375</v>
      </c>
      <c r="G33" s="29" t="s">
        <v>376</v>
      </c>
      <c r="H33" s="23"/>
      <c r="I33" s="25"/>
      <c r="J33" s="23" t="n">
        <v>1083</v>
      </c>
      <c r="K33" s="25" t="s">
        <v>378</v>
      </c>
      <c r="L33" s="30"/>
      <c r="M33" s="26" t="n">
        <v>10</v>
      </c>
      <c r="N33" s="26" t="n">
        <v>8</v>
      </c>
      <c r="O33" s="26" t="n">
        <v>6</v>
      </c>
      <c r="P33" s="26" t="n">
        <v>4</v>
      </c>
      <c r="Q33" s="26" t="n">
        <v>2</v>
      </c>
      <c r="R33" s="26" t="s">
        <v>55</v>
      </c>
      <c r="S33" s="21" t="s">
        <v>63</v>
      </c>
      <c r="T33" s="21" t="n">
        <v>6</v>
      </c>
      <c r="U33" s="21" t="s">
        <v>338</v>
      </c>
    </row>
    <row r="34">
      <c r="A34" s="33" t="n">
        <v>33</v>
      </c>
      <c r="B34" s="14" t="n">
        <v>105</v>
      </c>
      <c r="C34" s="15" t="s">
        <v>335</v>
      </c>
      <c r="D34" s="16" t="n">
        <v>291</v>
      </c>
      <c r="E34" s="17" t="s">
        <v>52</v>
      </c>
      <c r="F34" s="18" t="s">
        <v>375</v>
      </c>
      <c r="G34" s="31" t="s">
        <v>376</v>
      </c>
      <c r="H34" s="16"/>
      <c r="I34" s="18"/>
      <c r="J34" s="16" t="n">
        <v>1084</v>
      </c>
      <c r="K34" s="18" t="s">
        <v>379</v>
      </c>
      <c r="L34" s="32"/>
      <c r="M34" s="19" t="n">
        <v>10</v>
      </c>
      <c r="N34" s="19" t="n">
        <v>8</v>
      </c>
      <c r="O34" s="19" t="n">
        <v>6</v>
      </c>
      <c r="P34" s="19" t="n">
        <v>4</v>
      </c>
      <c r="Q34" s="19" t="n">
        <v>2</v>
      </c>
      <c r="R34" s="19" t="s">
        <v>55</v>
      </c>
      <c r="S34" s="14" t="s">
        <v>63</v>
      </c>
      <c r="T34" s="14" t="n">
        <v>6</v>
      </c>
      <c r="U34" s="14" t="s">
        <v>338</v>
      </c>
    </row>
    <row r="35">
      <c r="A35" s="34" t="n">
        <v>34</v>
      </c>
      <c r="B35" s="21" t="n">
        <v>105</v>
      </c>
      <c r="C35" s="22" t="s">
        <v>335</v>
      </c>
      <c r="D35" s="23" t="n">
        <v>291</v>
      </c>
      <c r="E35" s="24" t="s">
        <v>52</v>
      </c>
      <c r="F35" s="25" t="s">
        <v>375</v>
      </c>
      <c r="G35" s="29" t="s">
        <v>376</v>
      </c>
      <c r="H35" s="23"/>
      <c r="I35" s="25"/>
      <c r="J35" s="23" t="n">
        <v>1085</v>
      </c>
      <c r="K35" s="25" t="s">
        <v>380</v>
      </c>
      <c r="L35" s="30"/>
      <c r="M35" s="26" t="n">
        <v>10</v>
      </c>
      <c r="N35" s="26" t="n">
        <v>8</v>
      </c>
      <c r="O35" s="26" t="n">
        <v>6</v>
      </c>
      <c r="P35" s="26" t="n">
        <v>4</v>
      </c>
      <c r="Q35" s="26" t="n">
        <v>2</v>
      </c>
      <c r="R35" s="26" t="s">
        <v>55</v>
      </c>
      <c r="S35" s="21" t="s">
        <v>63</v>
      </c>
      <c r="T35" s="21" t="n">
        <v>6</v>
      </c>
      <c r="U35" s="21" t="s">
        <v>338</v>
      </c>
    </row>
    <row r="36">
      <c r="A36" s="33" t="n">
        <v>35</v>
      </c>
      <c r="B36" s="14" t="n">
        <v>105</v>
      </c>
      <c r="C36" s="15" t="s">
        <v>335</v>
      </c>
      <c r="D36" s="16" t="n">
        <v>291</v>
      </c>
      <c r="E36" s="17" t="s">
        <v>52</v>
      </c>
      <c r="F36" s="18" t="s">
        <v>375</v>
      </c>
      <c r="G36" s="31" t="s">
        <v>376</v>
      </c>
      <c r="H36" s="16"/>
      <c r="I36" s="18"/>
      <c r="J36" s="16" t="n">
        <v>1086</v>
      </c>
      <c r="K36" s="18" t="s">
        <v>381</v>
      </c>
      <c r="L36" s="32"/>
      <c r="M36" s="19" t="n">
        <v>10</v>
      </c>
      <c r="N36" s="19" t="n">
        <v>8</v>
      </c>
      <c r="O36" s="19" t="n">
        <v>6</v>
      </c>
      <c r="P36" s="19" t="n">
        <v>4</v>
      </c>
      <c r="Q36" s="19" t="n">
        <v>2</v>
      </c>
      <c r="R36" s="19" t="s">
        <v>55</v>
      </c>
      <c r="S36" s="14" t="s">
        <v>63</v>
      </c>
      <c r="T36" s="14" t="n">
        <v>6</v>
      </c>
      <c r="U36" s="14" t="s">
        <v>338</v>
      </c>
    </row>
    <row r="37">
      <c r="A37" s="34" t="n">
        <v>36</v>
      </c>
      <c r="B37" s="21" t="n">
        <v>105</v>
      </c>
      <c r="C37" s="22" t="s">
        <v>335</v>
      </c>
      <c r="D37" s="23" t="n">
        <v>291</v>
      </c>
      <c r="E37" s="24" t="s">
        <v>52</v>
      </c>
      <c r="F37" s="25" t="s">
        <v>375</v>
      </c>
      <c r="G37" s="29" t="s">
        <v>376</v>
      </c>
      <c r="H37" s="23"/>
      <c r="I37" s="25"/>
      <c r="J37" s="23" t="n">
        <v>1087</v>
      </c>
      <c r="K37" s="25" t="s">
        <v>382</v>
      </c>
      <c r="L37" s="30"/>
      <c r="M37" s="26" t="n">
        <v>10</v>
      </c>
      <c r="N37" s="26" t="n">
        <v>8</v>
      </c>
      <c r="O37" s="26" t="n">
        <v>6</v>
      </c>
      <c r="P37" s="26" t="n">
        <v>4</v>
      </c>
      <c r="Q37" s="26" t="n">
        <v>2</v>
      </c>
      <c r="R37" s="26" t="s">
        <v>55</v>
      </c>
      <c r="S37" s="21" t="s">
        <v>63</v>
      </c>
      <c r="T37" s="21" t="n">
        <v>6</v>
      </c>
      <c r="U37" s="21" t="s">
        <v>338</v>
      </c>
    </row>
    <row r="38">
      <c r="A38" s="33" t="n">
        <v>37</v>
      </c>
      <c r="B38" s="14" t="n">
        <v>105</v>
      </c>
      <c r="C38" s="15" t="s">
        <v>335</v>
      </c>
      <c r="D38" s="16" t="n">
        <v>291</v>
      </c>
      <c r="E38" s="17" t="s">
        <v>52</v>
      </c>
      <c r="F38" s="18" t="s">
        <v>375</v>
      </c>
      <c r="G38" s="31" t="s">
        <v>376</v>
      </c>
      <c r="H38" s="16"/>
      <c r="I38" s="18"/>
      <c r="J38" s="16" t="n">
        <v>1088</v>
      </c>
      <c r="K38" s="18" t="s">
        <v>383</v>
      </c>
      <c r="L38" s="32"/>
      <c r="M38" s="19" t="n">
        <v>10</v>
      </c>
      <c r="N38" s="19" t="n">
        <v>8</v>
      </c>
      <c r="O38" s="19" t="n">
        <v>6</v>
      </c>
      <c r="P38" s="19" t="n">
        <v>4</v>
      </c>
      <c r="Q38" s="19" t="n">
        <v>2</v>
      </c>
      <c r="R38" s="19" t="s">
        <v>55</v>
      </c>
      <c r="S38" s="14" t="s">
        <v>63</v>
      </c>
      <c r="T38" s="14" t="n">
        <v>6</v>
      </c>
      <c r="U38" s="14" t="s">
        <v>338</v>
      </c>
    </row>
    <row r="39">
      <c r="A39" s="34" t="n">
        <v>38</v>
      </c>
      <c r="B39" s="21" t="n">
        <v>105</v>
      </c>
      <c r="C39" s="22" t="s">
        <v>335</v>
      </c>
      <c r="D39" s="23" t="n">
        <v>291</v>
      </c>
      <c r="E39" s="24" t="s">
        <v>52</v>
      </c>
      <c r="F39" s="25" t="s">
        <v>375</v>
      </c>
      <c r="G39" s="29" t="s">
        <v>376</v>
      </c>
      <c r="H39" s="23"/>
      <c r="I39" s="25"/>
      <c r="J39" s="23" t="n">
        <v>1089</v>
      </c>
      <c r="K39" s="25" t="s">
        <v>384</v>
      </c>
      <c r="L39" s="30"/>
      <c r="M39" s="26" t="n">
        <v>10</v>
      </c>
      <c r="N39" s="26" t="n">
        <v>8</v>
      </c>
      <c r="O39" s="26" t="n">
        <v>6</v>
      </c>
      <c r="P39" s="26" t="n">
        <v>4</v>
      </c>
      <c r="Q39" s="26" t="n">
        <v>2</v>
      </c>
      <c r="R39" s="26" t="s">
        <v>55</v>
      </c>
      <c r="S39" s="21" t="s">
        <v>63</v>
      </c>
      <c r="T39" s="21" t="n">
        <v>6</v>
      </c>
      <c r="U39" s="21" t="s">
        <v>338</v>
      </c>
    </row>
    <row r="40">
      <c r="A40" s="33" t="n">
        <v>39</v>
      </c>
      <c r="B40" s="14" t="n">
        <v>105</v>
      </c>
      <c r="C40" s="15" t="s">
        <v>335</v>
      </c>
      <c r="D40" s="16" t="n">
        <v>291</v>
      </c>
      <c r="E40" s="17" t="s">
        <v>52</v>
      </c>
      <c r="F40" s="18" t="s">
        <v>375</v>
      </c>
      <c r="G40" s="31" t="s">
        <v>376</v>
      </c>
      <c r="H40" s="16"/>
      <c r="I40" s="18"/>
      <c r="J40" s="16" t="n">
        <v>1095</v>
      </c>
      <c r="K40" s="18" t="s">
        <v>385</v>
      </c>
      <c r="L40" s="32"/>
      <c r="M40" s="19" t="n">
        <v>10</v>
      </c>
      <c r="N40" s="19" t="n">
        <v>8</v>
      </c>
      <c r="O40" s="19" t="n">
        <v>6</v>
      </c>
      <c r="P40" s="19" t="n">
        <v>4</v>
      </c>
      <c r="Q40" s="19" t="n">
        <v>2</v>
      </c>
      <c r="R40" s="19" t="s">
        <v>55</v>
      </c>
      <c r="S40" s="14" t="s">
        <v>63</v>
      </c>
      <c r="T40" s="14" t="n">
        <v>6</v>
      </c>
      <c r="U40" s="14" t="s">
        <v>338</v>
      </c>
    </row>
    <row r="41">
      <c r="A41" s="34" t="n">
        <v>40</v>
      </c>
      <c r="B41" s="21" t="n">
        <v>105</v>
      </c>
      <c r="C41" s="22" t="s">
        <v>335</v>
      </c>
      <c r="D41" s="23" t="n">
        <v>291</v>
      </c>
      <c r="E41" s="24" t="s">
        <v>52</v>
      </c>
      <c r="F41" s="25" t="s">
        <v>375</v>
      </c>
      <c r="G41" s="29" t="s">
        <v>376</v>
      </c>
      <c r="H41" s="23"/>
      <c r="I41" s="25"/>
      <c r="J41" s="23" t="n">
        <v>1090</v>
      </c>
      <c r="K41" s="25" t="s">
        <v>386</v>
      </c>
      <c r="L41" s="30"/>
      <c r="M41" s="26" t="n">
        <v>10</v>
      </c>
      <c r="N41" s="26" t="n">
        <v>8</v>
      </c>
      <c r="O41" s="26" t="n">
        <v>6</v>
      </c>
      <c r="P41" s="26" t="n">
        <v>4</v>
      </c>
      <c r="Q41" s="26" t="n">
        <v>2</v>
      </c>
      <c r="R41" s="26" t="s">
        <v>55</v>
      </c>
      <c r="S41" s="21" t="s">
        <v>63</v>
      </c>
      <c r="T41" s="21" t="n">
        <v>6</v>
      </c>
      <c r="U41" s="21" t="s">
        <v>338</v>
      </c>
    </row>
    <row r="42">
      <c r="A42" s="33" t="n">
        <v>41</v>
      </c>
      <c r="B42" s="14" t="n">
        <v>105</v>
      </c>
      <c r="C42" s="15" t="s">
        <v>335</v>
      </c>
      <c r="D42" s="16" t="n">
        <v>291</v>
      </c>
      <c r="E42" s="17" t="s">
        <v>52</v>
      </c>
      <c r="F42" s="18" t="s">
        <v>375</v>
      </c>
      <c r="G42" s="31" t="s">
        <v>376</v>
      </c>
      <c r="H42" s="16"/>
      <c r="I42" s="18"/>
      <c r="J42" s="16" t="n">
        <v>1091</v>
      </c>
      <c r="K42" s="18" t="s">
        <v>387</v>
      </c>
      <c r="L42" s="32"/>
      <c r="M42" s="19" t="n">
        <v>10</v>
      </c>
      <c r="N42" s="19" t="n">
        <v>8</v>
      </c>
      <c r="O42" s="19" t="n">
        <v>6</v>
      </c>
      <c r="P42" s="19" t="n">
        <v>4</v>
      </c>
      <c r="Q42" s="19" t="n">
        <v>2</v>
      </c>
      <c r="R42" s="19" t="s">
        <v>55</v>
      </c>
      <c r="S42" s="14" t="s">
        <v>63</v>
      </c>
      <c r="T42" s="14" t="n">
        <v>6</v>
      </c>
      <c r="U42" s="14" t="s">
        <v>338</v>
      </c>
    </row>
    <row r="43">
      <c r="A43" s="34" t="n">
        <v>42</v>
      </c>
      <c r="B43" s="21" t="n">
        <v>105</v>
      </c>
      <c r="C43" s="22" t="s">
        <v>335</v>
      </c>
      <c r="D43" s="23" t="n">
        <v>291</v>
      </c>
      <c r="E43" s="24" t="s">
        <v>52</v>
      </c>
      <c r="F43" s="25" t="s">
        <v>375</v>
      </c>
      <c r="G43" s="29" t="s">
        <v>376</v>
      </c>
      <c r="H43" s="23"/>
      <c r="I43" s="25"/>
      <c r="J43" s="23" t="n">
        <v>1092</v>
      </c>
      <c r="K43" s="25" t="s">
        <v>388</v>
      </c>
      <c r="L43" s="30"/>
      <c r="M43" s="26" t="n">
        <v>10</v>
      </c>
      <c r="N43" s="26" t="n">
        <v>8</v>
      </c>
      <c r="O43" s="26" t="n">
        <v>6</v>
      </c>
      <c r="P43" s="26" t="n">
        <v>4</v>
      </c>
      <c r="Q43" s="26" t="n">
        <v>2</v>
      </c>
      <c r="R43" s="26" t="s">
        <v>55</v>
      </c>
      <c r="S43" s="21" t="s">
        <v>63</v>
      </c>
      <c r="T43" s="21" t="n">
        <v>6</v>
      </c>
      <c r="U43" s="21" t="s">
        <v>338</v>
      </c>
    </row>
    <row r="44">
      <c r="A44" s="33" t="n">
        <v>43</v>
      </c>
      <c r="B44" s="14" t="n">
        <v>105</v>
      </c>
      <c r="C44" s="15" t="s">
        <v>335</v>
      </c>
      <c r="D44" s="16" t="n">
        <v>291</v>
      </c>
      <c r="E44" s="17" t="s">
        <v>52</v>
      </c>
      <c r="F44" s="18" t="s">
        <v>375</v>
      </c>
      <c r="G44" s="31" t="s">
        <v>376</v>
      </c>
      <c r="H44" s="16"/>
      <c r="I44" s="18"/>
      <c r="J44" s="16" t="n">
        <v>1093</v>
      </c>
      <c r="K44" s="18" t="s">
        <v>389</v>
      </c>
      <c r="L44" s="32"/>
      <c r="M44" s="19" t="n">
        <v>10</v>
      </c>
      <c r="N44" s="19" t="n">
        <v>8</v>
      </c>
      <c r="O44" s="19" t="n">
        <v>6</v>
      </c>
      <c r="P44" s="19" t="n">
        <v>4</v>
      </c>
      <c r="Q44" s="19" t="n">
        <v>2</v>
      </c>
      <c r="R44" s="19" t="s">
        <v>55</v>
      </c>
      <c r="S44" s="14" t="s">
        <v>63</v>
      </c>
      <c r="T44" s="14" t="n">
        <v>6</v>
      </c>
      <c r="U44" s="14" t="s">
        <v>338</v>
      </c>
    </row>
    <row r="45">
      <c r="A45" s="34" t="n">
        <v>44</v>
      </c>
      <c r="B45" s="21" t="n">
        <v>105</v>
      </c>
      <c r="C45" s="22" t="s">
        <v>335</v>
      </c>
      <c r="D45" s="23" t="n">
        <v>291</v>
      </c>
      <c r="E45" s="24" t="s">
        <v>52</v>
      </c>
      <c r="F45" s="25" t="s">
        <v>375</v>
      </c>
      <c r="G45" s="29" t="s">
        <v>376</v>
      </c>
      <c r="H45" s="23"/>
      <c r="I45" s="25"/>
      <c r="J45" s="23" t="n">
        <v>1094</v>
      </c>
      <c r="K45" s="25" t="s">
        <v>390</v>
      </c>
      <c r="L45" s="30" t="s">
        <v>391</v>
      </c>
      <c r="M45" s="26" t="n">
        <v>10</v>
      </c>
      <c r="N45" s="26" t="n">
        <v>8</v>
      </c>
      <c r="O45" s="26" t="n">
        <v>6</v>
      </c>
      <c r="P45" s="26" t="n">
        <v>4</v>
      </c>
      <c r="Q45" s="26" t="n">
        <v>2</v>
      </c>
      <c r="R45" s="26" t="s">
        <v>55</v>
      </c>
      <c r="S45" s="21" t="s">
        <v>63</v>
      </c>
      <c r="T45" s="21" t="n">
        <v>6</v>
      </c>
      <c r="U45" s="21" t="s">
        <v>338</v>
      </c>
    </row>
    <row r="46">
      <c r="A46" s="33" t="n">
        <v>45</v>
      </c>
      <c r="B46" s="14" t="n">
        <v>105</v>
      </c>
      <c r="C46" s="15" t="s">
        <v>335</v>
      </c>
      <c r="D46" s="16" t="n">
        <v>292</v>
      </c>
      <c r="E46" s="17" t="s">
        <v>69</v>
      </c>
      <c r="F46" s="18" t="s">
        <v>392</v>
      </c>
      <c r="G46" s="18"/>
      <c r="H46" s="16"/>
      <c r="I46" s="18"/>
      <c r="J46" s="16" t="n">
        <v>1096</v>
      </c>
      <c r="K46" s="18" t="s">
        <v>393</v>
      </c>
      <c r="L46" s="18"/>
      <c r="M46" s="19" t="s">
        <v>26</v>
      </c>
      <c r="N46" s="19" t="s">
        <v>16</v>
      </c>
      <c r="O46" s="19" t="s">
        <v>29</v>
      </c>
      <c r="P46" s="19" t="s">
        <v>79</v>
      </c>
      <c r="Q46" s="19" t="s">
        <v>80</v>
      </c>
      <c r="R46" s="19"/>
      <c r="S46" s="14" t="s">
        <v>71</v>
      </c>
      <c r="T46" s="14" t="n">
        <v>5</v>
      </c>
      <c r="U46" s="14" t="s">
        <v>338</v>
      </c>
    </row>
    <row r="47">
      <c r="A47" s="34" t="n">
        <v>46</v>
      </c>
      <c r="B47" s="21" t="n">
        <v>105</v>
      </c>
      <c r="C47" s="22" t="s">
        <v>335</v>
      </c>
      <c r="D47" s="23" t="n">
        <v>292</v>
      </c>
      <c r="E47" s="24" t="s">
        <v>69</v>
      </c>
      <c r="F47" s="25" t="s">
        <v>392</v>
      </c>
      <c r="G47" s="25"/>
      <c r="H47" s="23"/>
      <c r="I47" s="25"/>
      <c r="J47" s="23" t="n">
        <v>1097</v>
      </c>
      <c r="K47" s="25" t="s">
        <v>394</v>
      </c>
      <c r="L47" s="25"/>
      <c r="M47" s="26" t="s">
        <v>26</v>
      </c>
      <c r="N47" s="26" t="s">
        <v>16</v>
      </c>
      <c r="O47" s="26" t="s">
        <v>29</v>
      </c>
      <c r="P47" s="26" t="s">
        <v>79</v>
      </c>
      <c r="Q47" s="26" t="s">
        <v>80</v>
      </c>
      <c r="R47" s="26"/>
      <c r="S47" s="21" t="s">
        <v>71</v>
      </c>
      <c r="T47" s="21" t="n">
        <v>5</v>
      </c>
      <c r="U47" s="21" t="s">
        <v>338</v>
      </c>
    </row>
    <row r="48">
      <c r="A48" s="33" t="n">
        <v>47</v>
      </c>
      <c r="B48" s="14" t="n">
        <v>105</v>
      </c>
      <c r="C48" s="15" t="s">
        <v>335</v>
      </c>
      <c r="D48" s="16" t="n">
        <v>293</v>
      </c>
      <c r="E48" s="17" t="s">
        <v>395</v>
      </c>
      <c r="F48" s="18" t="s">
        <v>396</v>
      </c>
      <c r="G48" s="18"/>
      <c r="H48" s="16"/>
      <c r="I48" s="18"/>
      <c r="J48" s="16" t="n">
        <v>1098</v>
      </c>
      <c r="K48" s="18" t="s">
        <v>397</v>
      </c>
      <c r="L48" s="18"/>
      <c r="M48" s="19"/>
      <c r="N48" s="19"/>
      <c r="O48" s="19"/>
      <c r="P48" s="19"/>
      <c r="Q48" s="19"/>
      <c r="R48" s="19"/>
      <c r="S48" s="14" t="s">
        <v>398</v>
      </c>
      <c r="T48" s="14"/>
      <c r="U48" s="14" t="s">
        <v>399</v>
      </c>
    </row>
    <row r="50">
      <c r="I50" s="20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3" t="s">
        <v>332</v>
      </c>
      <c r="B1" s="43" t="s">
        <v>400</v>
      </c>
      <c r="C1" s="43" t="s">
        <v>334</v>
      </c>
      <c r="D1" s="44" t="s">
        <v>401</v>
      </c>
      <c r="E1" s="45" t="s">
        <v>402</v>
      </c>
      <c r="F1" s="46" t="s">
        <v>403</v>
      </c>
      <c r="G1" s="47" t="s">
        <v>404</v>
      </c>
    </row>
    <row r="2">
      <c r="A2" s="20" t="s">
        <v>20</v>
      </c>
      <c r="B2" s="20" t="n">
        <v>6</v>
      </c>
      <c r="C2" t="s">
        <v>405</v>
      </c>
      <c r="D2" s="48" t="s">
        <v>406</v>
      </c>
      <c r="E2" s="48" t="s">
        <v>45</v>
      </c>
      <c r="F2" s="48" t="s">
        <v>29</v>
      </c>
      <c r="G2" s="48" t="s">
        <v>407</v>
      </c>
    </row>
    <row r="3">
      <c r="A3" s="20" t="s">
        <v>76</v>
      </c>
      <c r="B3" s="20" t="n">
        <v>2</v>
      </c>
      <c r="C3" t="s">
        <v>408</v>
      </c>
    </row>
    <row r="4">
      <c r="A4" s="20" t="s">
        <v>63</v>
      </c>
      <c r="B4" s="20" t="n">
        <v>6</v>
      </c>
      <c r="C4" t="s">
        <v>405</v>
      </c>
      <c r="D4" s="41" t="s">
        <v>409</v>
      </c>
      <c r="E4" s="41" t="s">
        <v>55</v>
      </c>
      <c r="F4" s="41" t="n">
        <v>6</v>
      </c>
      <c r="G4" s="41" t="s">
        <v>410</v>
      </c>
    </row>
    <row r="5">
      <c r="A5" s="20" t="s">
        <v>71</v>
      </c>
      <c r="B5" s="20" t="n">
        <v>5</v>
      </c>
      <c r="C5" t="s">
        <v>405</v>
      </c>
      <c r="D5" s="48" t="s">
        <v>406</v>
      </c>
      <c r="F5" s="48" t="s">
        <v>29</v>
      </c>
      <c r="G5" s="48" t="s">
        <v>407</v>
      </c>
    </row>
    <row r="6">
      <c r="A6" s="20" t="s">
        <v>398</v>
      </c>
      <c r="B6" s="20"/>
      <c r="C6" t="s">
        <v>411</v>
      </c>
      <c r="F6" s="48"/>
    </row>
    <row r="8">
      <c r="A8" s="42" t="s">
        <v>412</v>
      </c>
    </row>
    <row r="9">
      <c r="D9" s="48"/>
    </row>
    <row r="10">
      <c r="D10" s="48"/>
    </row>
    <row r="11">
      <c r="D11" s="48"/>
    </row>
    <row r="12">
      <c r="D12" s="41"/>
    </row>
    <row r="14">
      <c r="E14" s="48"/>
    </row>
    <row r="15">
      <c r="E15" s="40"/>
    </row>
    <row r="16">
      <c r="E16" s="48"/>
    </row>
    <row r="17">
      <c r="E17" s="48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50" t="s">
        <v>415</v>
      </c>
      <c r="F1" s="50"/>
      <c r="G1" s="50"/>
      <c r="H1" s="50"/>
      <c r="I1" s="50"/>
      <c r="J1" s="50"/>
      <c r="K1" s="50"/>
      <c r="L1" s="50"/>
      <c r="M1" s="50"/>
    </row>
    <row r="2">
      <c r="A2" s="49" t="s">
        <v>140</v>
      </c>
      <c r="B2" s="49" t="n">
        <v>101</v>
      </c>
      <c r="C2" t="n">
        <v>86</v>
      </c>
    </row>
    <row r="3">
      <c r="A3" s="48" t="s">
        <v>145</v>
      </c>
      <c r="B3" s="48" t="n">
        <v>103</v>
      </c>
      <c r="C3" t="n">
        <v>267</v>
      </c>
    </row>
    <row r="4">
      <c r="A4" s="49" t="s">
        <v>105</v>
      </c>
      <c r="B4" s="49" t="n">
        <v>105</v>
      </c>
      <c r="C4" t="n">
        <v>914</v>
      </c>
    </row>
    <row r="5">
      <c r="A5" s="48" t="s">
        <v>94</v>
      </c>
      <c r="B5" s="48" t="n">
        <v>106</v>
      </c>
      <c r="C5" t="n">
        <v>871</v>
      </c>
    </row>
    <row r="6">
      <c r="A6" s="49" t="s">
        <v>108</v>
      </c>
      <c r="B6" s="49" t="n">
        <v>107</v>
      </c>
      <c r="C6" t="n">
        <v>2293</v>
      </c>
    </row>
    <row r="7">
      <c r="A7" s="48" t="s">
        <v>137</v>
      </c>
      <c r="B7" s="48" t="n">
        <v>108</v>
      </c>
      <c r="C7" t="n">
        <v>2307</v>
      </c>
    </row>
    <row r="8">
      <c r="A8" s="49" t="s">
        <v>148</v>
      </c>
      <c r="B8" s="49" t="n">
        <v>109</v>
      </c>
      <c r="C8" t="n">
        <v>602</v>
      </c>
    </row>
    <row r="9">
      <c r="A9" s="48" t="s">
        <v>111</v>
      </c>
      <c r="B9" s="48" t="n">
        <v>110</v>
      </c>
      <c r="C9" t="n">
        <v>2365</v>
      </c>
    </row>
    <row r="10">
      <c r="A10" s="49" t="s">
        <v>122</v>
      </c>
      <c r="B10" s="49" t="n">
        <v>111</v>
      </c>
      <c r="C10" t="n">
        <v>3005</v>
      </c>
    </row>
    <row r="11">
      <c r="A11" s="48" t="s">
        <v>130</v>
      </c>
      <c r="B11" s="48" t="n">
        <v>112</v>
      </c>
      <c r="C11" t="n">
        <v>953</v>
      </c>
    </row>
    <row r="12">
      <c r="A12" s="49" t="s">
        <v>19</v>
      </c>
      <c r="B12" s="49" t="n">
        <v>113</v>
      </c>
      <c r="C12" t="n">
        <v>1688</v>
      </c>
    </row>
    <row r="13">
      <c r="A13" s="48" t="s">
        <v>255</v>
      </c>
      <c r="B13" s="48" t="n">
        <v>114</v>
      </c>
      <c r="C13" t="n">
        <v>1444</v>
      </c>
    </row>
    <row r="14">
      <c r="A14" s="49" t="s">
        <v>272</v>
      </c>
      <c r="B14" s="49" t="n">
        <v>115</v>
      </c>
      <c r="C14" t="n">
        <v>938</v>
      </c>
    </row>
    <row r="15">
      <c r="A15" s="48" t="s">
        <v>100</v>
      </c>
      <c r="B15" s="48" t="n">
        <v>116</v>
      </c>
      <c r="C15" t="n">
        <v>2662</v>
      </c>
    </row>
    <row r="16">
      <c r="A16" s="49" t="s">
        <v>91</v>
      </c>
      <c r="B16" s="49" t="n">
        <v>117</v>
      </c>
      <c r="C16" t="n">
        <v>517</v>
      </c>
    </row>
    <row r="17">
      <c r="A17" s="48" t="s">
        <v>97</v>
      </c>
      <c r="B17" s="48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5" workbookViewId="0">
      <selection activeCell="E76" sqref="E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2" t="s">
        <v>7</v>
      </c>
      <c r="B1" s="52" t="s">
        <v>6</v>
      </c>
      <c r="C1" s="52" t="s">
        <v>9</v>
      </c>
      <c r="D1" t="s">
        <v>8</v>
      </c>
      <c r="E1" s="20" t="s">
        <v>298</v>
      </c>
      <c r="F1" s="51"/>
      <c r="G1" s="53"/>
    </row>
    <row r="2">
      <c r="A2" s="52" t="s">
        <v>18</v>
      </c>
      <c r="B2" s="52" t="s">
        <v>17</v>
      </c>
      <c r="C2" s="52" t="n">
        <v>113</v>
      </c>
      <c r="D2" t="s">
        <v>19</v>
      </c>
      <c r="E2" s="20" t="n">
        <v>340</v>
      </c>
    </row>
    <row r="3">
      <c r="A3" s="52" t="s">
        <v>86</v>
      </c>
      <c r="B3" s="52" t="s">
        <v>85</v>
      </c>
      <c r="C3" s="52" t="n">
        <v>113</v>
      </c>
      <c r="D3" t="s">
        <v>19</v>
      </c>
      <c r="E3" s="20" t="n">
        <v>440</v>
      </c>
    </row>
    <row r="4">
      <c r="A4" s="52" t="s">
        <v>90</v>
      </c>
      <c r="B4" s="52" t="s">
        <v>89</v>
      </c>
      <c r="C4" s="52" t="n">
        <v>117</v>
      </c>
      <c r="D4" t="s">
        <v>91</v>
      </c>
      <c r="E4" s="20" t="n">
        <v>90</v>
      </c>
    </row>
    <row r="5">
      <c r="A5" s="52" t="s">
        <v>93</v>
      </c>
      <c r="B5" s="52" t="s">
        <v>92</v>
      </c>
      <c r="C5" s="52" t="n">
        <v>106</v>
      </c>
      <c r="D5" t="s">
        <v>94</v>
      </c>
      <c r="E5" s="20" t="n">
        <v>438</v>
      </c>
    </row>
    <row r="6">
      <c r="A6" s="52" t="s">
        <v>96</v>
      </c>
      <c r="B6" s="52" t="s">
        <v>95</v>
      </c>
      <c r="C6" s="52" t="n">
        <v>118</v>
      </c>
      <c r="D6" t="s">
        <v>97</v>
      </c>
      <c r="E6" s="20" t="n">
        <v>175</v>
      </c>
    </row>
    <row r="7">
      <c r="A7" s="52" t="s">
        <v>99</v>
      </c>
      <c r="B7" s="52" t="s">
        <v>98</v>
      </c>
      <c r="C7" s="52" t="n">
        <v>116</v>
      </c>
      <c r="D7" t="s">
        <v>100</v>
      </c>
      <c r="E7" s="20" t="n">
        <v>872</v>
      </c>
    </row>
    <row r="8">
      <c r="A8" s="52" t="s">
        <v>102</v>
      </c>
      <c r="B8" s="52" t="s">
        <v>101</v>
      </c>
      <c r="C8" s="52" t="n">
        <v>117</v>
      </c>
      <c r="D8" t="s">
        <v>91</v>
      </c>
      <c r="E8" s="20" t="n">
        <v>42</v>
      </c>
    </row>
    <row r="9">
      <c r="A9" s="52" t="s">
        <v>104</v>
      </c>
      <c r="B9" s="52" t="s">
        <v>103</v>
      </c>
      <c r="C9" s="52" t="n">
        <v>105</v>
      </c>
      <c r="D9" t="s">
        <v>105</v>
      </c>
      <c r="E9" s="20" t="n">
        <v>47</v>
      </c>
    </row>
    <row r="10">
      <c r="A10" s="52" t="s">
        <v>107</v>
      </c>
      <c r="B10" s="52" t="s">
        <v>106</v>
      </c>
      <c r="C10" s="52" t="n">
        <v>107</v>
      </c>
      <c r="D10" t="s">
        <v>108</v>
      </c>
      <c r="E10" s="20" t="n">
        <v>220</v>
      </c>
    </row>
    <row r="11">
      <c r="A11" s="52" t="s">
        <v>110</v>
      </c>
      <c r="B11" s="52" t="s">
        <v>109</v>
      </c>
      <c r="C11" s="52" t="n">
        <v>110</v>
      </c>
      <c r="D11" t="s">
        <v>111</v>
      </c>
      <c r="E11" s="20" t="n">
        <v>705</v>
      </c>
    </row>
    <row r="12">
      <c r="A12" s="52" t="s">
        <v>113</v>
      </c>
      <c r="B12" s="52" t="s">
        <v>112</v>
      </c>
      <c r="C12" s="52" t="n">
        <v>107</v>
      </c>
      <c r="D12" t="s">
        <v>108</v>
      </c>
      <c r="E12" s="20" t="n">
        <v>1304</v>
      </c>
    </row>
    <row r="13">
      <c r="A13" s="52" t="s">
        <v>115</v>
      </c>
      <c r="B13" s="52" t="s">
        <v>114</v>
      </c>
      <c r="C13" s="52" t="n">
        <v>118</v>
      </c>
      <c r="D13" t="s">
        <v>97</v>
      </c>
      <c r="E13" s="20" t="n">
        <v>174</v>
      </c>
    </row>
    <row r="14">
      <c r="A14" s="52" t="s">
        <v>117</v>
      </c>
      <c r="B14" s="52" t="s">
        <v>116</v>
      </c>
      <c r="C14" s="52" t="n">
        <v>113</v>
      </c>
      <c r="D14" t="s">
        <v>19</v>
      </c>
      <c r="E14" s="20" t="n">
        <v>344</v>
      </c>
    </row>
    <row r="15">
      <c r="A15" s="52" t="s">
        <v>119</v>
      </c>
      <c r="B15" s="52" t="s">
        <v>118</v>
      </c>
      <c r="C15" s="52" t="n">
        <v>113</v>
      </c>
      <c r="D15" t="s">
        <v>19</v>
      </c>
      <c r="E15" s="20" t="n">
        <v>385</v>
      </c>
    </row>
    <row r="16">
      <c r="A16" s="52" t="s">
        <v>121</v>
      </c>
      <c r="B16" s="52" t="s">
        <v>120</v>
      </c>
      <c r="C16" s="52" t="n">
        <v>111</v>
      </c>
      <c r="D16" t="s">
        <v>122</v>
      </c>
      <c r="E16" s="20" t="n">
        <v>414</v>
      </c>
    </row>
    <row r="17">
      <c r="A17" s="52" t="s">
        <v>124</v>
      </c>
      <c r="B17" s="52" t="s">
        <v>123</v>
      </c>
      <c r="C17" s="52" t="n">
        <v>105</v>
      </c>
      <c r="D17" t="s">
        <v>105</v>
      </c>
      <c r="E17" s="20" t="n">
        <v>129</v>
      </c>
    </row>
    <row r="18">
      <c r="A18" s="52" t="s">
        <v>126</v>
      </c>
      <c r="B18" s="52" t="s">
        <v>125</v>
      </c>
      <c r="C18" s="52" t="n">
        <v>105</v>
      </c>
      <c r="D18" t="s">
        <v>105</v>
      </c>
      <c r="E18" s="20" t="n">
        <v>129</v>
      </c>
    </row>
    <row r="19">
      <c r="A19" s="52" t="s">
        <v>124</v>
      </c>
      <c r="B19" s="52" t="s">
        <v>127</v>
      </c>
      <c r="C19" s="52" t="n">
        <v>105</v>
      </c>
      <c r="D19" t="s">
        <v>105</v>
      </c>
      <c r="E19" s="20" t="n">
        <v>44</v>
      </c>
    </row>
    <row r="20">
      <c r="A20" s="52" t="s">
        <v>129</v>
      </c>
      <c r="B20" s="52" t="s">
        <v>128</v>
      </c>
      <c r="C20" s="52" t="n">
        <v>112</v>
      </c>
      <c r="D20" t="s">
        <v>130</v>
      </c>
      <c r="E20" s="20" t="n">
        <v>953</v>
      </c>
    </row>
    <row r="21">
      <c r="A21" s="52" t="s">
        <v>132</v>
      </c>
      <c r="B21" s="52" t="s">
        <v>131</v>
      </c>
      <c r="C21" s="52" t="n">
        <v>117</v>
      </c>
      <c r="D21" t="s">
        <v>91</v>
      </c>
      <c r="E21" s="20" t="n">
        <v>46</v>
      </c>
    </row>
    <row r="22">
      <c r="A22" s="52" t="s">
        <v>134</v>
      </c>
      <c r="B22" s="52" t="s">
        <v>133</v>
      </c>
      <c r="C22" s="52" t="n">
        <v>107</v>
      </c>
      <c r="D22" t="s">
        <v>108</v>
      </c>
      <c r="E22" s="20" t="n">
        <v>508</v>
      </c>
    </row>
    <row r="23">
      <c r="A23" s="52" t="s">
        <v>136</v>
      </c>
      <c r="B23" s="52" t="s">
        <v>135</v>
      </c>
      <c r="C23" s="52" t="n">
        <v>108</v>
      </c>
      <c r="D23" t="s">
        <v>137</v>
      </c>
      <c r="E23" s="20" t="n">
        <v>348</v>
      </c>
    </row>
    <row r="24">
      <c r="A24" s="52" t="s">
        <v>139</v>
      </c>
      <c r="B24" s="52" t="s">
        <v>138</v>
      </c>
      <c r="C24" s="52" t="n">
        <v>101</v>
      </c>
      <c r="D24" t="s">
        <v>140</v>
      </c>
      <c r="E24" s="20" t="n">
        <v>44</v>
      </c>
    </row>
    <row r="25">
      <c r="A25" s="52" t="s">
        <v>142</v>
      </c>
      <c r="B25" s="52" t="s">
        <v>141</v>
      </c>
      <c r="C25" s="52" t="n">
        <v>116</v>
      </c>
      <c r="D25" t="s">
        <v>100</v>
      </c>
      <c r="E25" s="20" t="n">
        <v>129</v>
      </c>
    </row>
    <row r="26">
      <c r="A26" s="52" t="s">
        <v>144</v>
      </c>
      <c r="B26" s="52" t="s">
        <v>143</v>
      </c>
      <c r="C26" s="52" t="n">
        <v>103</v>
      </c>
      <c r="D26" t="s">
        <v>145</v>
      </c>
      <c r="E26" s="20" t="n">
        <v>88</v>
      </c>
    </row>
    <row r="27">
      <c r="A27" s="52" t="s">
        <v>147</v>
      </c>
      <c r="B27" s="52" t="s">
        <v>146</v>
      </c>
      <c r="C27" s="52" t="n">
        <v>109</v>
      </c>
      <c r="D27" t="s">
        <v>148</v>
      </c>
      <c r="E27" s="20" t="n">
        <v>135</v>
      </c>
    </row>
    <row r="28">
      <c r="A28" s="52" t="s">
        <v>150</v>
      </c>
      <c r="B28" s="52" t="s">
        <v>149</v>
      </c>
      <c r="C28" s="52" t="n">
        <v>116</v>
      </c>
      <c r="D28" t="s">
        <v>100</v>
      </c>
      <c r="E28" s="20" t="n">
        <v>395</v>
      </c>
    </row>
    <row r="29">
      <c r="A29" s="52" t="s">
        <v>152</v>
      </c>
      <c r="B29" s="52" t="s">
        <v>151</v>
      </c>
      <c r="C29" s="52" t="n">
        <v>103</v>
      </c>
      <c r="D29" t="s">
        <v>145</v>
      </c>
      <c r="E29" s="20" t="n">
        <v>132</v>
      </c>
    </row>
    <row r="30">
      <c r="A30" s="52" t="s">
        <v>154</v>
      </c>
      <c r="B30" s="52" t="s">
        <v>153</v>
      </c>
      <c r="C30" s="52" t="n">
        <v>118</v>
      </c>
      <c r="D30" t="s">
        <v>97</v>
      </c>
      <c r="E30" s="20" t="n">
        <v>43</v>
      </c>
    </row>
    <row r="31">
      <c r="A31" s="52" t="s">
        <v>156</v>
      </c>
      <c r="B31" s="52" t="s">
        <v>155</v>
      </c>
      <c r="C31" s="52" t="n">
        <v>103</v>
      </c>
      <c r="D31" t="s">
        <v>145</v>
      </c>
      <c r="E31" s="20" t="n">
        <v>44</v>
      </c>
    </row>
    <row r="32">
      <c r="A32" s="52" t="s">
        <v>158</v>
      </c>
      <c r="B32" s="52" t="s">
        <v>157</v>
      </c>
      <c r="C32" s="52" t="n">
        <v>116</v>
      </c>
      <c r="D32" t="s">
        <v>100</v>
      </c>
      <c r="E32" s="20" t="n">
        <v>361</v>
      </c>
    </row>
    <row r="33">
      <c r="A33" s="52" t="s">
        <v>160</v>
      </c>
      <c r="B33" s="52" t="s">
        <v>159</v>
      </c>
      <c r="C33" s="52" t="n">
        <v>118</v>
      </c>
      <c r="D33" t="s">
        <v>97</v>
      </c>
      <c r="E33" s="20" t="n">
        <v>44</v>
      </c>
    </row>
    <row r="34">
      <c r="A34" s="52" t="s">
        <v>162</v>
      </c>
      <c r="B34" s="52" t="s">
        <v>161</v>
      </c>
      <c r="C34" s="52" t="n">
        <v>116</v>
      </c>
      <c r="D34" t="s">
        <v>100</v>
      </c>
      <c r="E34" s="20" t="n">
        <v>428</v>
      </c>
    </row>
    <row r="35">
      <c r="A35" s="52" t="s">
        <v>164</v>
      </c>
      <c r="B35" s="52" t="s">
        <v>163</v>
      </c>
      <c r="C35" s="52" t="n">
        <v>106</v>
      </c>
      <c r="D35" t="s">
        <v>94</v>
      </c>
      <c r="E35" s="20" t="n">
        <v>176</v>
      </c>
    </row>
    <row r="36">
      <c r="A36" s="52" t="s">
        <v>166</v>
      </c>
      <c r="B36" s="52" t="s">
        <v>165</v>
      </c>
      <c r="C36" s="52" t="n">
        <v>106</v>
      </c>
      <c r="D36" t="s">
        <v>94</v>
      </c>
      <c r="E36" s="20" t="n">
        <v>88</v>
      </c>
    </row>
    <row r="37">
      <c r="A37" s="52" t="s">
        <v>168</v>
      </c>
      <c r="B37" s="52" t="s">
        <v>167</v>
      </c>
      <c r="C37" s="52" t="n">
        <v>116</v>
      </c>
      <c r="D37" t="s">
        <v>100</v>
      </c>
      <c r="E37" s="20" t="n">
        <v>345</v>
      </c>
    </row>
    <row r="38">
      <c r="A38" s="52" t="s">
        <v>170</v>
      </c>
      <c r="B38" s="52" t="s">
        <v>169</v>
      </c>
      <c r="C38" s="52" t="n">
        <v>116</v>
      </c>
      <c r="D38" t="s">
        <v>100</v>
      </c>
      <c r="E38" s="20" t="n">
        <v>132</v>
      </c>
    </row>
    <row r="39">
      <c r="A39" s="52" t="s">
        <v>172</v>
      </c>
      <c r="B39" s="52" t="s">
        <v>171</v>
      </c>
      <c r="C39" s="52" t="n">
        <v>110</v>
      </c>
      <c r="D39" t="s">
        <v>111</v>
      </c>
      <c r="E39" s="20" t="n">
        <v>219</v>
      </c>
    </row>
    <row r="40">
      <c r="A40" s="52" t="s">
        <v>174</v>
      </c>
      <c r="B40" s="52" t="s">
        <v>173</v>
      </c>
      <c r="C40" s="52" t="n">
        <v>110</v>
      </c>
      <c r="D40" t="s">
        <v>111</v>
      </c>
      <c r="E40" s="20" t="n">
        <v>341</v>
      </c>
    </row>
    <row r="41">
      <c r="A41" s="52" t="s">
        <v>176</v>
      </c>
      <c r="B41" s="52" t="s">
        <v>175</v>
      </c>
      <c r="C41" s="52" t="n">
        <v>108</v>
      </c>
      <c r="D41" t="s">
        <v>137</v>
      </c>
      <c r="E41" s="20" t="n">
        <v>370</v>
      </c>
    </row>
    <row r="42">
      <c r="A42" s="52" t="s">
        <v>178</v>
      </c>
      <c r="B42" s="52" t="s">
        <v>177</v>
      </c>
      <c r="C42" s="52" t="n">
        <v>111</v>
      </c>
      <c r="D42" t="s">
        <v>122</v>
      </c>
      <c r="E42" s="20" t="n">
        <v>212</v>
      </c>
    </row>
    <row r="43">
      <c r="A43" s="52" t="s">
        <v>182</v>
      </c>
      <c r="B43" s="52" t="s">
        <v>181</v>
      </c>
      <c r="C43" s="52" t="n">
        <v>107</v>
      </c>
      <c r="D43" t="s">
        <v>108</v>
      </c>
      <c r="E43" s="20" t="n">
        <v>261</v>
      </c>
    </row>
    <row r="44">
      <c r="A44" s="52" t="s">
        <v>180</v>
      </c>
      <c r="B44" s="52" t="s">
        <v>179</v>
      </c>
      <c r="C44" s="52" t="n">
        <v>110</v>
      </c>
      <c r="D44" t="s">
        <v>111</v>
      </c>
      <c r="E44" s="20" t="n">
        <v>225</v>
      </c>
    </row>
    <row r="45">
      <c r="A45" s="52" t="s">
        <v>184</v>
      </c>
      <c r="B45" s="52" t="s">
        <v>183</v>
      </c>
      <c r="C45" s="52" t="n">
        <v>109</v>
      </c>
      <c r="D45" t="s">
        <v>148</v>
      </c>
      <c r="E45" s="20" t="n">
        <v>338</v>
      </c>
    </row>
    <row r="46">
      <c r="A46" s="52" t="s">
        <v>186</v>
      </c>
      <c r="B46" s="52" t="s">
        <v>185</v>
      </c>
      <c r="C46" s="52" t="n">
        <v>109</v>
      </c>
      <c r="D46" t="s">
        <v>148</v>
      </c>
      <c r="E46" s="20" t="n">
        <v>129</v>
      </c>
    </row>
    <row r="47">
      <c r="A47" s="52" t="s">
        <v>188</v>
      </c>
      <c r="B47" s="52" t="s">
        <v>187</v>
      </c>
      <c r="C47" s="52" t="n">
        <v>113</v>
      </c>
      <c r="D47" t="s">
        <v>19</v>
      </c>
      <c r="E47" s="20" t="n">
        <v>179</v>
      </c>
    </row>
    <row r="48">
      <c r="A48" s="52" t="s">
        <v>190</v>
      </c>
      <c r="B48" s="52" t="s">
        <v>189</v>
      </c>
      <c r="C48" s="52" t="n">
        <v>117</v>
      </c>
      <c r="D48" t="s">
        <v>91</v>
      </c>
      <c r="E48" s="20" t="n">
        <v>86</v>
      </c>
    </row>
    <row r="49">
      <c r="A49" s="52" t="s">
        <v>192</v>
      </c>
      <c r="B49" s="52" t="s">
        <v>191</v>
      </c>
      <c r="C49" s="52" t="n">
        <v>117</v>
      </c>
      <c r="D49" t="s">
        <v>91</v>
      </c>
      <c r="E49" s="20" t="n">
        <v>85</v>
      </c>
    </row>
    <row r="50">
      <c r="A50" s="52" t="s">
        <v>194</v>
      </c>
      <c r="B50" s="52" t="s">
        <v>193</v>
      </c>
      <c r="C50" s="52" t="n">
        <v>111</v>
      </c>
      <c r="D50" t="s">
        <v>122</v>
      </c>
      <c r="E50" s="20" t="n">
        <v>126</v>
      </c>
    </row>
    <row r="51">
      <c r="A51" s="52" t="s">
        <v>196</v>
      </c>
      <c r="B51" s="52" t="s">
        <v>195</v>
      </c>
      <c r="C51" s="52" t="n">
        <v>110</v>
      </c>
      <c r="D51" t="s">
        <v>111</v>
      </c>
      <c r="E51" s="20" t="n">
        <v>132</v>
      </c>
    </row>
    <row r="52">
      <c r="A52" s="52" t="s">
        <v>198</v>
      </c>
      <c r="B52" s="52" t="s">
        <v>197</v>
      </c>
      <c r="C52" s="52" t="n">
        <v>105</v>
      </c>
      <c r="D52" t="s">
        <v>105</v>
      </c>
      <c r="E52" s="20" t="n">
        <v>88</v>
      </c>
    </row>
    <row r="53">
      <c r="A53" s="52" t="s">
        <v>200</v>
      </c>
      <c r="B53" s="52" t="s">
        <v>199</v>
      </c>
      <c r="C53" s="52" t="n">
        <v>111</v>
      </c>
      <c r="D53" t="s">
        <v>122</v>
      </c>
      <c r="E53" s="20" t="n">
        <v>1206</v>
      </c>
    </row>
    <row r="54">
      <c r="A54" s="52" t="s">
        <v>234</v>
      </c>
      <c r="B54" s="52" t="s">
        <v>233</v>
      </c>
      <c r="C54" s="52" t="n">
        <v>111</v>
      </c>
      <c r="D54" t="s">
        <v>122</v>
      </c>
      <c r="E54" s="20" t="n">
        <v>132</v>
      </c>
    </row>
    <row r="55">
      <c r="A55" s="52" t="s">
        <v>236</v>
      </c>
      <c r="B55" s="52" t="s">
        <v>235</v>
      </c>
      <c r="C55" s="52" t="n">
        <v>101</v>
      </c>
      <c r="D55" t="s">
        <v>140</v>
      </c>
      <c r="E55" s="20" t="n">
        <v>42</v>
      </c>
    </row>
    <row r="56">
      <c r="A56" s="52" t="s">
        <v>238</v>
      </c>
      <c r="B56" s="52" t="s">
        <v>237</v>
      </c>
      <c r="C56" s="52" t="n">
        <v>110</v>
      </c>
      <c r="D56" t="s">
        <v>111</v>
      </c>
      <c r="E56" s="20" t="n">
        <v>225</v>
      </c>
    </row>
    <row r="57">
      <c r="A57" s="52" t="s">
        <v>240</v>
      </c>
      <c r="B57" s="52" t="s">
        <v>239</v>
      </c>
      <c r="C57" s="52" t="n">
        <v>110</v>
      </c>
      <c r="D57" t="s">
        <v>111</v>
      </c>
      <c r="E57" s="20" t="n">
        <v>127</v>
      </c>
    </row>
    <row r="58">
      <c r="A58" s="52" t="s">
        <v>242</v>
      </c>
      <c r="B58" s="52" t="s">
        <v>241</v>
      </c>
      <c r="C58" s="52" t="n">
        <v>106</v>
      </c>
      <c r="D58" t="s">
        <v>94</v>
      </c>
      <c r="E58" s="20" t="n">
        <v>44</v>
      </c>
    </row>
    <row r="59">
      <c r="A59" s="52" t="s">
        <v>244</v>
      </c>
      <c r="B59" s="52" t="s">
        <v>243</v>
      </c>
      <c r="C59" s="52" t="n">
        <v>118</v>
      </c>
      <c r="D59" t="s">
        <v>97</v>
      </c>
      <c r="E59" s="20" t="n">
        <v>320</v>
      </c>
    </row>
    <row r="60">
      <c r="A60" s="52" t="s">
        <v>246</v>
      </c>
      <c r="B60" s="52" t="s">
        <v>245</v>
      </c>
      <c r="C60" s="52" t="n">
        <v>105</v>
      </c>
      <c r="D60" t="s">
        <v>105</v>
      </c>
      <c r="E60" s="20" t="n">
        <v>213</v>
      </c>
    </row>
    <row r="61">
      <c r="A61" s="52" t="s">
        <v>248</v>
      </c>
      <c r="B61" s="52" t="s">
        <v>247</v>
      </c>
      <c r="C61" s="52" t="n">
        <v>108</v>
      </c>
      <c r="D61" t="s">
        <v>137</v>
      </c>
      <c r="E61" s="20" t="n">
        <v>567</v>
      </c>
    </row>
    <row r="62">
      <c r="A62" s="52" t="s">
        <v>250</v>
      </c>
      <c r="B62" s="52" t="s">
        <v>249</v>
      </c>
      <c r="C62" s="52" t="n">
        <v>103</v>
      </c>
      <c r="D62" t="s">
        <v>145</v>
      </c>
      <c r="E62" s="20" t="n">
        <v>3</v>
      </c>
    </row>
    <row r="63">
      <c r="A63" s="52" t="s">
        <v>252</v>
      </c>
      <c r="B63" s="52" t="s">
        <v>251</v>
      </c>
      <c r="C63" s="52" t="n">
        <v>108</v>
      </c>
      <c r="D63" t="s">
        <v>137</v>
      </c>
      <c r="E63" s="20" t="n">
        <v>146</v>
      </c>
    </row>
    <row r="64">
      <c r="A64" s="52" t="s">
        <v>254</v>
      </c>
      <c r="B64" s="52" t="s">
        <v>253</v>
      </c>
      <c r="C64" s="52" t="n">
        <v>114</v>
      </c>
      <c r="D64" t="s">
        <v>255</v>
      </c>
      <c r="E64" s="20" t="n">
        <v>911</v>
      </c>
    </row>
    <row r="65">
      <c r="A65" s="52" t="s">
        <v>257</v>
      </c>
      <c r="B65" s="52" t="s">
        <v>256</v>
      </c>
      <c r="C65" s="52" t="n">
        <v>114</v>
      </c>
      <c r="D65" t="s">
        <v>255</v>
      </c>
      <c r="E65" s="20" t="n">
        <v>533</v>
      </c>
    </row>
    <row r="66">
      <c r="A66" s="52" t="s">
        <v>259</v>
      </c>
      <c r="B66" s="52" t="s">
        <v>258</v>
      </c>
      <c r="C66" s="52" t="n">
        <v>111</v>
      </c>
      <c r="D66" t="s">
        <v>122</v>
      </c>
      <c r="E66" s="20" t="n">
        <v>774</v>
      </c>
    </row>
    <row r="67">
      <c r="A67" s="52" t="s">
        <v>261</v>
      </c>
      <c r="B67" s="52" t="s">
        <v>260</v>
      </c>
      <c r="C67" s="52" t="n">
        <v>105</v>
      </c>
      <c r="D67" t="s">
        <v>105</v>
      </c>
      <c r="E67" s="20" t="n">
        <v>88</v>
      </c>
    </row>
    <row r="68">
      <c r="A68" s="52" t="s">
        <v>263</v>
      </c>
      <c r="B68" s="52" t="s">
        <v>262</v>
      </c>
      <c r="C68" s="52" t="n">
        <v>110</v>
      </c>
      <c r="D68" t="s">
        <v>111</v>
      </c>
      <c r="E68" s="20" t="n">
        <v>391</v>
      </c>
    </row>
    <row r="69">
      <c r="A69" s="52" t="s">
        <v>265</v>
      </c>
      <c r="B69" s="52" t="s">
        <v>264</v>
      </c>
      <c r="C69" s="52" t="n">
        <v>105</v>
      </c>
      <c r="D69" t="s">
        <v>105</v>
      </c>
      <c r="E69" s="20" t="n">
        <v>176</v>
      </c>
    </row>
    <row r="70">
      <c r="A70" s="52" t="s">
        <v>267</v>
      </c>
      <c r="B70" s="52" t="s">
        <v>266</v>
      </c>
      <c r="C70" s="52" t="n">
        <v>117</v>
      </c>
      <c r="D70" t="s">
        <v>91</v>
      </c>
      <c r="E70" s="20" t="n">
        <v>41</v>
      </c>
    </row>
    <row r="71">
      <c r="A71" s="52" t="s">
        <v>269</v>
      </c>
      <c r="B71" s="52" t="s">
        <v>268</v>
      </c>
      <c r="C71" s="52" t="n">
        <v>117</v>
      </c>
      <c r="D71" t="s">
        <v>91</v>
      </c>
      <c r="E71" s="20" t="n">
        <v>127</v>
      </c>
    </row>
    <row r="72">
      <c r="A72" s="52" t="s">
        <v>274</v>
      </c>
      <c r="B72" s="52" t="s">
        <v>273</v>
      </c>
      <c r="C72" s="52" t="n">
        <v>115</v>
      </c>
      <c r="D72" t="s">
        <v>272</v>
      </c>
      <c r="E72" s="20" t="n">
        <v>302</v>
      </c>
    </row>
    <row r="73">
      <c r="A73" s="52" t="s">
        <v>276</v>
      </c>
      <c r="B73" s="52" t="s">
        <v>275</v>
      </c>
      <c r="C73" s="52" t="n">
        <v>115</v>
      </c>
      <c r="D73" t="s">
        <v>272</v>
      </c>
      <c r="E73" s="20" t="n">
        <v>172</v>
      </c>
    </row>
    <row r="74">
      <c r="A74" s="52" t="s">
        <v>278</v>
      </c>
      <c r="B74" s="52" t="s">
        <v>277</v>
      </c>
      <c r="C74" s="52" t="n">
        <v>115</v>
      </c>
      <c r="D74" t="s">
        <v>272</v>
      </c>
      <c r="E74" s="20" t="n">
        <v>69</v>
      </c>
    </row>
    <row r="75">
      <c r="A75" s="52" t="s">
        <v>280</v>
      </c>
      <c r="B75" s="52" t="s">
        <v>279</v>
      </c>
      <c r="C75" s="52" t="n">
        <v>115</v>
      </c>
      <c r="D75" t="s">
        <v>272</v>
      </c>
      <c r="E75" s="20" t="n">
        <v>137</v>
      </c>
    </row>
    <row r="76">
      <c r="A76" s="52" t="s">
        <v>282</v>
      </c>
      <c r="B76" s="52" t="s">
        <v>281</v>
      </c>
      <c r="C76" s="52" t="n">
        <v>115</v>
      </c>
      <c r="D76" t="s">
        <v>272</v>
      </c>
      <c r="E76" s="20" t="n">
        <v>9</v>
      </c>
    </row>
    <row r="77">
      <c r="A77" s="52" t="s">
        <v>284</v>
      </c>
      <c r="B77" s="52" t="s">
        <v>283</v>
      </c>
      <c r="C77" s="52" t="n">
        <v>115</v>
      </c>
      <c r="D77" t="s">
        <v>272</v>
      </c>
      <c r="E77" s="20" t="n">
        <v>41</v>
      </c>
    </row>
    <row r="78">
      <c r="A78" s="52" t="s">
        <v>286</v>
      </c>
      <c r="B78" s="52" t="s">
        <v>285</v>
      </c>
      <c r="C78" s="52" t="n">
        <v>115</v>
      </c>
      <c r="D78" t="s">
        <v>272</v>
      </c>
      <c r="E78" s="20" t="n">
        <v>44</v>
      </c>
    </row>
    <row r="79">
      <c r="A79" s="52" t="s">
        <v>288</v>
      </c>
      <c r="B79" s="52" t="s">
        <v>287</v>
      </c>
      <c r="C79" s="52" t="n">
        <v>115</v>
      </c>
      <c r="D79" t="s">
        <v>272</v>
      </c>
      <c r="E79" s="20" t="n">
        <v>120</v>
      </c>
    </row>
    <row r="80">
      <c r="A80" s="52" t="s">
        <v>290</v>
      </c>
      <c r="B80" s="52" t="s">
        <v>289</v>
      </c>
      <c r="C80" s="52" t="n">
        <v>108</v>
      </c>
      <c r="D80" t="s">
        <v>137</v>
      </c>
      <c r="E80" s="20" t="n">
        <v>876</v>
      </c>
    </row>
    <row r="81">
      <c r="A81" s="52" t="s">
        <v>292</v>
      </c>
      <c r="B81" s="52" t="s">
        <v>291</v>
      </c>
      <c r="C81" s="52" t="n">
        <v>111</v>
      </c>
      <c r="D81" t="s">
        <v>122</v>
      </c>
      <c r="E81" s="20" t="n">
        <v>141</v>
      </c>
    </row>
    <row r="82">
      <c r="A82" s="52" t="s">
        <v>271</v>
      </c>
      <c r="B82" s="52" t="s">
        <v>270</v>
      </c>
      <c r="C82" s="52" t="n">
        <v>115</v>
      </c>
      <c r="D82" t="s">
        <v>272</v>
      </c>
      <c r="E82" s="20" t="n">
        <v>44</v>
      </c>
    </row>
    <row r="83">
      <c r="A83" s="52" t="s">
        <v>294</v>
      </c>
      <c r="B83" s="52" t="s">
        <v>293</v>
      </c>
      <c r="C83" s="52" t="n">
        <v>106</v>
      </c>
      <c r="D83" t="s">
        <v>94</v>
      </c>
      <c r="E83" s="20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A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55" t="s">
        <v>196</v>
      </c>
      <c r="D4" s="91" t="str">
        <f>VLOOKUP(C4, cursos[],2,0)</f>
        <v>INFORMÁTICA BIOMÉDICA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VLOOKUP(C4,cursos[],3,0)</f>
        <v>110</v>
      </c>
      <c r="D5" s="94" t="str">
        <f>VLOOKUP(C4,cursos[],4,FALSE)</f>
        <v>SETOR DE CIÊNCIAS EXATAS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INDEX(Questoes!E:E,MATCH(Modelo!C14,Questoes!J:J,0))</f>
        <v>SEGURANÇA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</v>
      </c>
      <c r="D10" s="83" t="str">
        <f>INDEX(Questoes!F:F,MATCH(C14,Questoes!J:J,0))</f>
        <v>Aponte sua percepção sobre as ações de segurança institucional nos ambientes da UFPR que você mais frequenta: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1052</v>
      </c>
      <c r="D14" s="81" t="str">
        <f>VLOOKUP(C14, Questoes!J:K,2, 0)</f>
        <v>Proteção e segurança predial e do patrimônio público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70" t="s">
        <v>424</v>
      </c>
      <c r="D19" s="70"/>
      <c r="E19" s="70"/>
      <c r="F19" s="70"/>
      <c r="G19" s="70"/>
      <c r="H19" s="70"/>
      <c r="I19" s="70"/>
      <c r="J19" s="70"/>
      <c r="K19" s="140"/>
      <c r="L19" s="67" t="str">
        <f>C19</f>
        <v>Apuração de Resultados </v>
      </c>
      <c r="M19" s="68"/>
      <c r="N19" s="68"/>
      <c r="O19" s="69"/>
      <c r="P19" s="117"/>
      <c r="Q19" s="67" t="str">
        <f>C31</f>
        <v>Critérios de Análise</v>
      </c>
      <c r="R19" s="68"/>
      <c r="S19" s="68"/>
      <c r="T19" s="68"/>
      <c r="U19" s="68"/>
      <c r="V19" s="68"/>
      <c r="W19" s="69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1052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1052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2</v>
      </c>
      <c r="H22" s="141" t="n">
        <f t="shared" ref="H22:H27" si="1">ROUND(G22/G$28*100,3)</f>
        <v>3.3330000000000002</v>
      </c>
      <c r="I22" t="n">
        <f>COUNTIFS(dados[RESPOSTA],C22, dados[ID_PERGUNTA],$C$14,dados[Instituição],$A$2)</f>
        <v>9</v>
      </c>
      <c r="J22" s="141" t="n">
        <f t="shared" ref="J22:J27" si="2">ROUND(I22/I$28*100,3)</f>
        <v>1.627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dados[ID_PERGUNTA],$C$14,dados[COD_CURSO],$C$4)</f>
        <v>0</v>
      </c>
      <c r="F23" s="141" t="n">
        <f t="shared" si="0"/>
        <v>0</v>
      </c>
      <c r="G23" t="n">
        <f>COUNTIFS(dados[RESPOSTA],C23, dados[ID_PERGUNTA],$C$14,dados[COD_SETOR_CURSO],$C$5)</f>
        <v>13</v>
      </c>
      <c r="H23" s="141" t="n">
        <f t="shared" si="1"/>
        <v>21.667000000000002</v>
      </c>
      <c r="I23" t="n">
        <f>COUNTIFS(dados[RESPOSTA],C23, dados[ID_PERGUNTA],$C$14,dados[Instituição],$A$2)</f>
        <v>133</v>
      </c>
      <c r="J23" s="141" t="n">
        <f t="shared" si="2"/>
        <v>24.050999999999998</v>
      </c>
    </row>
    <row r="24">
      <c r="C24" s="77" t="s">
        <v>16</v>
      </c>
      <c r="D24" s="77"/>
      <c r="E24" s="129" t="n">
        <f>COUNTIFS(dados[RESPOSTA],C24, dados[ID_PERGUNTA],$C$14,dados[COD_CURSO],$C$4)</f>
        <v>2</v>
      </c>
      <c r="F24" s="141" t="n">
        <f t="shared" si="0"/>
        <v>66.667000000000002</v>
      </c>
      <c r="G24" t="n">
        <f>COUNTIFS(dados[RESPOSTA],C24, dados[ID_PERGUNTA],$C$14,dados[COD_SETOR_CURSO],$C$5)</f>
        <v>22</v>
      </c>
      <c r="H24" s="141" t="n">
        <f t="shared" si="1"/>
        <v>36.667000000000002</v>
      </c>
      <c r="I24" t="n">
        <f>COUNTIFS(dados[RESPOSTA],C24, dados[ID_PERGUNTA],$C$14,dados[Instituição],$A$2)</f>
        <v>249</v>
      </c>
      <c r="J24" s="141" t="n">
        <f t="shared" si="2"/>
        <v>45.027000000000001</v>
      </c>
    </row>
    <row r="25">
      <c r="C25" s="77" t="s">
        <v>29</v>
      </c>
      <c r="D25" s="77"/>
      <c r="E25" s="129" t="n">
        <f>COUNTIFS(dados[RESPOSTA],C25, dados[ID_PERGUNTA],$C$14,dados[COD_CURSO],$C$4)</f>
        <v>0</v>
      </c>
      <c r="F25" s="141" t="n">
        <f t="shared" si="0"/>
        <v>0</v>
      </c>
      <c r="G25" t="n">
        <f>COUNTIFS(dados[RESPOSTA],C25, dados[ID_PERGUNTA],$C$14,dados[COD_SETOR_CURSO],$C$5)</f>
        <v>18</v>
      </c>
      <c r="H25" s="141" t="n">
        <f t="shared" si="1"/>
        <v>30</v>
      </c>
      <c r="I25" t="n">
        <f>COUNTIFS(dados[RESPOSTA],C25, dados[ID_PERGUNTA],$C$14,dados[Instituição],$A$2)</f>
        <v>126</v>
      </c>
      <c r="J25" s="141" t="n">
        <f t="shared" si="2"/>
        <v>22.785</v>
      </c>
    </row>
    <row r="26">
      <c r="C26" s="77" t="s">
        <v>79</v>
      </c>
      <c r="D26" s="77"/>
      <c r="E26" s="129" t="n">
        <f>COUNTIFS(dados[RESPOSTA],C26, dados[ID_PERGUNTA],$C$14,dados[COD_CURSO],$C$4)</f>
        <v>1</v>
      </c>
      <c r="F26" s="141" t="n">
        <f t="shared" si="0"/>
        <v>33.332999999999998</v>
      </c>
      <c r="G26" t="n">
        <f>COUNTIFS(dados[RESPOSTA],C26, dados[ID_PERGUNTA],$C$14,dados[COD_SETOR_CURSO],$C$5)</f>
        <v>5</v>
      </c>
      <c r="H26" s="141" t="n">
        <f t="shared" si="1"/>
        <v>8.3330000000000002</v>
      </c>
      <c r="I26" t="n">
        <f>COUNTIFS(dados[RESPOSTA],C26, dados[ID_PERGUNTA],$C$14,dados[Instituição],$A$2)</f>
        <v>29</v>
      </c>
      <c r="J26" s="141" t="n">
        <f t="shared" si="2"/>
        <v>5.2439999999999998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dados[ID_PERGUNTA],$C$14,dados[COD_CURSO],$C$4)</f>
        <v>0</v>
      </c>
      <c r="F27" s="141" t="n">
        <f t="shared" si="0"/>
        <v>0</v>
      </c>
      <c r="G27" t="n">
        <f>COUNTIFS(dados[RESPOSTA],C27, dados[ID_PERGUNTA],$C$14,dados[COD_SETOR_CURSO],$C$5)</f>
        <v>0</v>
      </c>
      <c r="H27" s="141" t="n">
        <f t="shared" si="1"/>
        <v>0</v>
      </c>
      <c r="I27" t="n">
        <f>COUNTIFS(dados[RESPOSTA],C27, dados[ID_PERGUNTA],$C$14,dados[Instituição],$A$2)</f>
        <v>7</v>
      </c>
      <c r="J27" s="141" t="n">
        <f t="shared" si="2"/>
        <v>1.266</v>
      </c>
    </row>
    <row r="28">
      <c r="C28" s="111" t="s">
        <v>313</v>
      </c>
      <c r="D28" s="111"/>
      <c r="E28" s="62" t="n">
        <f t="shared" ref="E28:J28" si="3">SUM(E22:E27)</f>
        <v>3</v>
      </c>
      <c r="F28" s="58" t="n">
        <f t="shared" si="3"/>
        <v>100</v>
      </c>
      <c r="G28" s="62" t="n">
        <f t="shared" si="3"/>
        <v>60</v>
      </c>
      <c r="H28" s="58" t="n">
        <f t="shared" si="3"/>
        <v>100</v>
      </c>
      <c r="I28" s="62" t="n">
        <f t="shared" si="3"/>
        <v>553</v>
      </c>
      <c r="J28" s="58" t="n">
        <f t="shared" si="3"/>
        <v>100</v>
      </c>
    </row>
    <row r="31">
      <c r="C31" s="70" t="s">
        <v>427</v>
      </c>
      <c r="D31" s="70"/>
      <c r="E31" s="70"/>
      <c r="F31" s="70"/>
      <c r="G31" s="70"/>
      <c r="H31" s="70"/>
      <c r="I31" s="70"/>
      <c r="J31" s="70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1</v>
      </c>
      <c r="F34" s="60" t="n">
        <f t="shared" si="4"/>
        <v>33.332999999999998</v>
      </c>
      <c r="G34" s="12" t="n">
        <f t="shared" si="4"/>
        <v>5</v>
      </c>
      <c r="H34" s="60" t="n">
        <f t="shared" si="4"/>
        <v>8.3330000000000002</v>
      </c>
      <c r="I34" s="12" t="n">
        <f t="shared" si="4"/>
        <v>36</v>
      </c>
      <c r="J34" s="60" t="n">
        <f t="shared" si="4"/>
        <v>6.51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2</v>
      </c>
      <c r="H35" s="60" t="n">
        <f t="shared" si="5"/>
        <v>3.3330000000000002</v>
      </c>
      <c r="I35" s="12" t="n">
        <f t="shared" si="5"/>
        <v>9</v>
      </c>
      <c r="J35" s="60" t="n">
        <f t="shared" si="5"/>
        <v>1.627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0</v>
      </c>
      <c r="F36" s="60" t="n">
        <f t="shared" si="6"/>
        <v>0</v>
      </c>
      <c r="G36" s="12" t="n">
        <f t="shared" si="6"/>
        <v>18</v>
      </c>
      <c r="H36" s="60" t="n">
        <f t="shared" si="6"/>
        <v>30</v>
      </c>
      <c r="I36" s="12" t="n">
        <f t="shared" si="6"/>
        <v>126</v>
      </c>
      <c r="J36" s="60" t="n">
        <f t="shared" si="6"/>
        <v>22.785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2</v>
      </c>
      <c r="F37" s="63" t="n">
        <f t="shared" si="7"/>
        <v>66.667000000000002</v>
      </c>
      <c r="G37" s="147" t="n">
        <f t="shared" si="7"/>
        <v>35</v>
      </c>
      <c r="H37" s="63" t="n">
        <f t="shared" si="7"/>
        <v>58.334000000000003</v>
      </c>
      <c r="I37" s="147" t="n">
        <f t="shared" si="7"/>
        <v>382</v>
      </c>
      <c r="J37" s="63" t="n">
        <f t="shared" si="7"/>
        <v>69.078000000000003</v>
      </c>
      <c r="N37" s="124"/>
    </row>
    <row r="38">
      <c r="C38" s="62" t="s">
        <v>313</v>
      </c>
      <c r="D38" s="62"/>
      <c r="E38" s="62" t="n">
        <f>SUM(E34:E37)</f>
        <v>3</v>
      </c>
      <c r="F38" s="58" t="n">
        <f>ROUND(SUM(F34:F37),2)</f>
        <v>100</v>
      </c>
      <c r="G38" s="62" t="n">
        <f>SUM(G34:G37)</f>
        <v>60</v>
      </c>
      <c r="H38" s="58" t="n">
        <f>SUM(H34:H37)</f>
        <v>100</v>
      </c>
      <c r="I38" s="62" t="n">
        <f>SUM(I34:I37)</f>
        <v>553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45" t="s">
        <v>430</v>
      </c>
      <c r="N40" s="124"/>
    </row>
    <row r="41" ht="15" customHeight="1">
      <c r="B41" s="66" t="s">
        <v>421</v>
      </c>
      <c r="C41" s="80" t="n">
        <f>INDEX(Questoes!A:A,MATCH(C45,Questoes!J:J,0))</f>
        <v>14</v>
      </c>
      <c r="D41" s="83" t="str">
        <f>INDEX(Questoes!F:F,MATCH(C45,Questoes!J:J,0))</f>
        <v>Sobre os Núcleos de Tecnologias Educacionais (NTEs), responda: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</row>
    <row r="42">
      <c r="B42" s="66"/>
      <c r="C42" s="80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</row>
    <row r="43">
      <c r="B43" s="66"/>
      <c r="C43" s="80"/>
      <c r="D43" s="84" t="str">
        <f>IF(INDEX(Questoes!G:G,MATCH(C45,Questoes!J:J,0))=0,"",INDEX(Questoes!G:G,MATCH(C45,Questoes!J:J,0)))</f>
      </c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>
      <c r="D44" s="82" t="str">
        <f>IF(INDEX(Questoes!I:I,MATCH(C45,Questoes!J:J,FALSE))=0,"",INDEX(Questoes!I:I,MATCH(C45,Questoes!J:J,FALSE)))</f>
      </c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</row>
    <row r="45" ht="15" customHeight="1">
      <c r="B45" s="79" t="s">
        <v>422</v>
      </c>
      <c r="C45" s="80" t="n">
        <v>1106</v>
      </c>
      <c r="D45" s="81" t="str">
        <f>VLOOKUP(C45, Questoes!J:K,2, 0)</f>
        <v>Você conhece os Núcleos de Tecnologias Educacionais (NTEs)? </v>
      </c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</row>
    <row r="46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</row>
    <row r="47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138"/>
      <c r="C48" s="139"/>
      <c r="D48" s="137" t="str">
        <f>IF(INDEX(Questoes!L:L,MATCH(C45,Questoes!J:J,0))=0,"",INDEX(Questoes!L:L,MATCH(C45,Questoes!J:J,0)))</f>
      </c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</row>
    <row r="49">
      <c r="B49" s="138"/>
      <c r="C49" s="139"/>
      <c r="D49" s="137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</row>
    <row r="50">
      <c r="B50" s="145" t="s">
        <v>430</v>
      </c>
      <c r="C50" s="114" t="s">
        <v>424</v>
      </c>
      <c r="D50" s="115"/>
      <c r="E50" s="115"/>
      <c r="F50" s="115"/>
      <c r="G50" s="115"/>
      <c r="H50" s="115"/>
      <c r="I50" s="115"/>
      <c r="J50" s="116"/>
      <c r="K50" s="140"/>
      <c r="L50" s="67" t="str">
        <f>C50</f>
        <v>Apuração de Resultados </v>
      </c>
      <c r="M50" s="68"/>
      <c r="N50" s="68"/>
      <c r="O50" s="69"/>
      <c r="P50" s="140"/>
      <c r="Q50" s="140"/>
      <c r="R50" s="140"/>
      <c r="S50" s="140"/>
      <c r="T50" s="140"/>
      <c r="U50" s="140"/>
      <c r="V50" s="140"/>
      <c r="W50" s="140"/>
    </row>
    <row r="51">
      <c r="C51" s="56"/>
      <c r="D51" s="56"/>
      <c r="E51" s="71" t="s">
        <v>418</v>
      </c>
      <c r="F51" s="71"/>
      <c r="G51" s="72" t="s">
        <v>419</v>
      </c>
      <c r="H51" s="72"/>
      <c r="I51" s="73" t="s">
        <v>21</v>
      </c>
      <c r="J51" s="73"/>
      <c r="K51" s="140"/>
      <c r="L51" s="159" t="s">
        <v>422</v>
      </c>
      <c r="M51" s="106" t="n">
        <f>C45</f>
        <v>1106</v>
      </c>
      <c r="N51" s="106"/>
      <c r="O51" s="106"/>
      <c r="P51" s="140"/>
      <c r="Q51" s="140"/>
      <c r="R51" s="140"/>
      <c r="S51" s="140"/>
      <c r="T51" s="140"/>
      <c r="U51" s="140"/>
      <c r="V51" s="140"/>
      <c r="W51" s="140"/>
    </row>
    <row r="52">
      <c r="C52" s="112" t="s">
        <v>425</v>
      </c>
      <c r="D52" s="112"/>
      <c r="E52" s="156" t="s">
        <v>303</v>
      </c>
      <c r="F52" s="155" t="s">
        <v>426</v>
      </c>
      <c r="G52" s="156" t="s">
        <v>303</v>
      </c>
      <c r="H52" s="155" t="s">
        <v>426</v>
      </c>
      <c r="I52" s="156" t="s">
        <v>303</v>
      </c>
      <c r="J52" s="155" t="s">
        <v>426</v>
      </c>
    </row>
    <row r="53">
      <c r="C53" s="109" t="s">
        <v>81</v>
      </c>
      <c r="D53" s="109"/>
      <c r="E53" t="n">
        <f>COUNTIFS(dados[RESPOSTA],C53, dados[ID_PERGUNTA],C$45, dados[COD_CURSO],$C$4)</f>
        <v>0</v>
      </c>
      <c r="F53" s="61" t="n">
        <f>ROUND(E53/E$59*100,3)</f>
        <v>0</v>
      </c>
      <c r="G53" t="n">
        <f>COUNTIFS(dados[RESPOSTA],C53, dados[ID_PERGUNTA],C$45, dados[COD_CURSO],$C$4)</f>
        <v>0</v>
      </c>
      <c r="H53" s="143" t="n">
        <f>ROUND(G53/G$59*100,3)</f>
        <v>0</v>
      </c>
      <c r="I53" s="123" t="n">
        <f>COUNTIFS(dados[RESPOSTA],C53, dados[ID_PERGUNTA],C$45, dados[Instituição],$A$2)</f>
        <v>23</v>
      </c>
      <c r="J53" s="143" t="n">
        <f>ROUND(I53/I$59*100,3)</f>
        <v>4.4749999999999996</v>
      </c>
      <c r="L53" s="20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61" t="n">
        <f>ROUND(E54/E$59*100,3)</f>
        <v>100</v>
      </c>
      <c r="G54" t="n">
        <f>COUNTIFS(dados[RESPOSTA],C54, dados[ID_PERGUNTA],C$45, dados[COD_CURSO],$C$4)</f>
        <v>3</v>
      </c>
      <c r="H54" s="143" t="n">
        <f>ROUND(G54/G$59*100,3)</f>
        <v>100</v>
      </c>
      <c r="I54" s="123" t="n">
        <f>COUNTIFS(dados[RESPOSTA],C54, dados[ID_PERGUNTA],C$45, dados[Instituição],$A$2)</f>
        <v>491</v>
      </c>
      <c r="J54" s="143" t="n">
        <f>ROUND(I54/I$59*100,3)</f>
        <v>95.525000000000006</v>
      </c>
      <c r="K54" s="48"/>
      <c r="L54" s="48"/>
      <c r="N54" s="124"/>
    </row>
    <row r="55">
      <c r="C55" s="52"/>
      <c r="D55" s="52"/>
      <c r="N55" s="124"/>
    </row>
    <row r="56">
      <c r="C56" s="52"/>
      <c r="D56" s="52"/>
      <c r="F56" s="124"/>
      <c r="G56" s="124"/>
      <c r="H56" s="124"/>
      <c r="I56" s="124"/>
      <c r="J56" s="124"/>
      <c r="N56" s="124"/>
    </row>
    <row r="57">
      <c r="C57" s="52"/>
      <c r="D57" s="52"/>
      <c r="N57" s="124"/>
    </row>
    <row r="58">
      <c r="C58" s="113"/>
      <c r="D58" s="113"/>
      <c r="N58" s="124"/>
    </row>
    <row r="59">
      <c r="C59" s="111" t="s">
        <v>313</v>
      </c>
      <c r="D59" s="111"/>
      <c r="E59" s="132" t="n">
        <f t="shared" ref="E59:J59" si="8">SUM(E53:E54)</f>
        <v>3</v>
      </c>
      <c r="F59" s="58" t="n">
        <f t="shared" si="8"/>
        <v>100</v>
      </c>
      <c r="G59" s="62" t="n">
        <f t="shared" si="8"/>
        <v>3</v>
      </c>
      <c r="H59" s="58" t="n">
        <f t="shared" si="8"/>
        <v>100</v>
      </c>
      <c r="I59" s="62" t="n">
        <f t="shared" si="8"/>
        <v>514</v>
      </c>
      <c r="J59" s="58" t="n">
        <f t="shared" si="8"/>
        <v>100</v>
      </c>
      <c r="N59" s="124"/>
    </row>
    <row r="60">
      <c r="N60" s="124"/>
    </row>
    <row r="61">
      <c r="C61" t="s">
        <v>431</v>
      </c>
      <c r="N61" s="124"/>
    </row>
    <row r="62">
      <c r="N62" s="124"/>
    </row>
    <row r="63">
      <c r="N63" s="124"/>
    </row>
    <row r="64">
      <c r="N64" s="124"/>
    </row>
    <row r="65">
      <c r="N65" s="124"/>
    </row>
    <row r="66">
      <c r="N66" s="124"/>
    </row>
    <row r="67">
      <c r="N67" s="124"/>
    </row>
    <row r="68">
      <c r="N68" s="124"/>
    </row>
    <row r="69">
      <c r="N69" s="124"/>
    </row>
    <row r="70">
      <c r="B70" s="144" t="s">
        <v>432</v>
      </c>
      <c r="N70" s="124"/>
    </row>
    <row r="71" ht="15" customHeight="1">
      <c r="B71" s="66" t="s">
        <v>421</v>
      </c>
      <c r="C71" s="80" t="n">
        <f>INDEX(Questoes!A:A,MATCH(C75,Questoes!J:J,0))</f>
        <v>31</v>
      </c>
      <c r="D71" s="83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</row>
    <row r="72">
      <c r="B72" s="66"/>
      <c r="C72" s="80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</row>
    <row r="73">
      <c r="B73" s="66"/>
      <c r="C73" s="80"/>
      <c r="D73" s="84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</row>
    <row r="74">
      <c r="D74" s="82" t="str">
        <f>IF(INDEX(Questoes!I:I,MATCH(C75,Questoes!J:J,FALSE))=0,"",INDEX(Questoes!I:I,MATCH(C75,Questoes!J:J,FALSE)))</f>
      </c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</row>
    <row r="75" ht="15" customHeight="1">
      <c r="B75" s="79" t="s">
        <v>422</v>
      </c>
      <c r="C75" s="80" t="n">
        <v>1082</v>
      </c>
      <c r="D75" s="81" t="str">
        <f>VLOOKUP(C75, Questoes!J:K,2, 0)</f>
        <v>Coordenação do Curso</v>
      </c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</row>
    <row r="76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</row>
    <row r="77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</row>
    <row r="78">
      <c r="B78" s="138"/>
      <c r="C78" s="139"/>
      <c r="D78" s="137" t="str">
        <f>IF(INDEX(Questoes!L:L,MATCH(C75,Questoes!J:J,0))=0,"",INDEX(Questoes!L:L,MATCH(C75,Questoes!J:J,0)))</f>
      </c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</row>
    <row r="79">
      <c r="B79" s="138"/>
      <c r="C79" s="139"/>
      <c r="D79" s="137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</row>
    <row r="80">
      <c r="B80" s="144" t="s">
        <v>432</v>
      </c>
      <c r="C80" s="70" t="s">
        <v>424</v>
      </c>
      <c r="D80" s="70"/>
      <c r="E80" s="70"/>
      <c r="F80" s="70"/>
      <c r="G80" s="70"/>
      <c r="H80" s="70"/>
      <c r="I80" s="70"/>
      <c r="J80" s="70"/>
      <c r="K80" s="140"/>
      <c r="L80" s="67" t="str">
        <f>C92</f>
        <v>Critérios de Análise</v>
      </c>
      <c r="M80" s="68"/>
      <c r="N80" s="68"/>
      <c r="O80" s="69"/>
      <c r="P80" s="117"/>
      <c r="Q80" s="67" t="str">
        <f>C92</f>
        <v>Critérios de Análise</v>
      </c>
      <c r="R80" s="68"/>
      <c r="S80" s="68"/>
      <c r="T80" s="68"/>
      <c r="U80" s="68"/>
      <c r="V80" s="68"/>
      <c r="W80" s="69"/>
    </row>
    <row r="81">
      <c r="C81" s="64"/>
      <c r="D81" s="64"/>
      <c r="E81" s="74" t="s">
        <v>418</v>
      </c>
      <c r="F81" s="74"/>
      <c r="G81" s="75" t="s">
        <v>419</v>
      </c>
      <c r="H81" s="75"/>
      <c r="I81" s="76" t="s">
        <v>21</v>
      </c>
      <c r="J81" s="76"/>
      <c r="L81" s="159" t="s">
        <v>422</v>
      </c>
      <c r="M81" s="106" t="n">
        <f>C75</f>
        <v>1082</v>
      </c>
      <c r="N81" s="106"/>
      <c r="O81" s="106"/>
      <c r="P81" s="117"/>
      <c r="Q81" s="107" t="str">
        <f>L81</f>
        <v>Questão</v>
      </c>
      <c r="R81" s="107"/>
      <c r="S81" s="107"/>
      <c r="T81" s="108" t="n">
        <f>M81</f>
        <v>1082</v>
      </c>
      <c r="U81" s="108"/>
      <c r="V81" s="108"/>
      <c r="W81" s="108"/>
    </row>
    <row r="82">
      <c r="C82" s="112" t="s">
        <v>425</v>
      </c>
      <c r="D82" s="112"/>
      <c r="E82" s="156" t="s">
        <v>303</v>
      </c>
      <c r="F82" s="155" t="s">
        <v>426</v>
      </c>
      <c r="G82" s="156" t="s">
        <v>303</v>
      </c>
      <c r="H82" s="155" t="s">
        <v>426</v>
      </c>
      <c r="I82" s="156" t="s">
        <v>303</v>
      </c>
      <c r="J82" s="155" t="s">
        <v>426</v>
      </c>
    </row>
    <row r="83">
      <c r="C83" s="109" t="n">
        <v>2</v>
      </c>
      <c r="D83" s="109"/>
      <c r="E83" t="n">
        <f>COUNTIFS(dados[RESPOSTA],C83,dados[ID_PERGUNTA],C$75,dados[COD_CURSO],$C$4)</f>
        <v>0</v>
      </c>
      <c r="F83" s="141" t="n">
        <f t="shared" ref="F83:F88" si="9">ROUND(E83/E$89*100,3)</f>
        <v>0</v>
      </c>
      <c r="G83" t="n">
        <f>COUNTIFS(dados[RESPOSTA],C83,dados[ID_PERGUNTA],C$75,dados[COD_SETOR_CURSO],$C$5)</f>
        <v>2</v>
      </c>
      <c r="H83" s="141" t="n">
        <f t="shared" ref="H83:H88" si="10">ROUND(G83/G$89*100,3)</f>
        <v>3.774</v>
      </c>
      <c r="I83" t="n">
        <f>COUNTIFS(dados[RESPOSTA],C83, dados[ID_PERGUNTA],$C$75,dados[Instituição],$A$2)</f>
        <v>22</v>
      </c>
      <c r="J83" s="141" t="n">
        <f t="shared" ref="J83:J88" si="11">ROUND(I83/I$89*100,3)</f>
        <v>4.4809999999999999</v>
      </c>
      <c r="N83" s="124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41" t="n">
        <f t="shared" si="9"/>
        <v>0</v>
      </c>
      <c r="G84" t="n">
        <f>COUNTIFS(dados[RESPOSTA],C84,dados[ID_PERGUNTA],C$75,dados[COD_SETOR_CURSO],$C$5)</f>
        <v>1</v>
      </c>
      <c r="H84" s="141" t="n">
        <f t="shared" si="10"/>
        <v>1.887</v>
      </c>
      <c r="I84" t="n">
        <f>COUNTIFS(dados[RESPOSTA],C84, dados[ID_PERGUNTA],$C$75,dados[Instituição],$A$2)</f>
        <v>27</v>
      </c>
      <c r="J84" s="141" t="n">
        <f t="shared" si="11"/>
        <v>5.4989999999999997</v>
      </c>
      <c r="N84" s="124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41" t="n">
        <f t="shared" si="9"/>
        <v>0</v>
      </c>
      <c r="G85" t="n">
        <f>COUNTIFS(dados[RESPOSTA],C85,dados[ID_PERGUNTA],C$75,dados[COD_SETOR_CURSO],$C$5)</f>
        <v>7</v>
      </c>
      <c r="H85" s="141" t="n">
        <f t="shared" si="10"/>
        <v>13.208</v>
      </c>
      <c r="I85" t="n">
        <f>COUNTIFS(dados[RESPOSTA],C85, dados[ID_PERGUNTA],$C$75,dados[Instituição],$A$2)</f>
        <v>65</v>
      </c>
      <c r="J85" s="141" t="n">
        <f t="shared" si="11"/>
        <v>13.238</v>
      </c>
      <c r="N85" s="124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41" t="n">
        <f t="shared" si="9"/>
        <v>100</v>
      </c>
      <c r="G86" t="n">
        <f>COUNTIFS(dados[RESPOSTA],C86,dados[ID_PERGUNTA],C$75,dados[COD_SETOR_CURSO],$C$5)</f>
        <v>15</v>
      </c>
      <c r="H86" s="141" t="n">
        <f t="shared" si="10"/>
        <v>28.302</v>
      </c>
      <c r="I86" t="n">
        <f>COUNTIFS(dados[RESPOSTA],C86, dados[ID_PERGUNTA],$C$75,dados[Instituição],$A$2)</f>
        <v>163</v>
      </c>
      <c r="J86" s="141" t="n">
        <f t="shared" si="11"/>
        <v>33.198</v>
      </c>
      <c r="N86" s="124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41" t="n">
        <f t="shared" si="9"/>
        <v>0</v>
      </c>
      <c r="G87" t="n">
        <f>COUNTIFS(dados[RESPOSTA],C87,dados[ID_PERGUNTA],C$75,dados[COD_SETOR_CURSO],$C$5)</f>
        <v>24</v>
      </c>
      <c r="H87" s="141" t="n">
        <f t="shared" si="10"/>
        <v>45.283000000000001</v>
      </c>
      <c r="I87" t="n">
        <f>COUNTIFS(dados[RESPOSTA],C87, dados[ID_PERGUNTA],$C$75,dados[Instituição],$A$2)</f>
        <v>153</v>
      </c>
      <c r="J87" s="141" t="n">
        <f t="shared" si="11"/>
        <v>31.161000000000001</v>
      </c>
      <c r="N87" s="124"/>
    </row>
    <row r="88">
      <c r="C88" s="110" t="s">
        <v>55</v>
      </c>
      <c r="D88" s="110"/>
      <c r="E88" t="n">
        <f>COUNTIFS(dados[RESPOSTA],C88,dados[ID_PERGUNTA],C$75,dados[COD_CURSO],$C$4)</f>
        <v>0</v>
      </c>
      <c r="F88" s="141" t="n">
        <f t="shared" si="9"/>
        <v>0</v>
      </c>
      <c r="G88" t="n">
        <f>COUNTIFS(dados[RESPOSTA],C88,dados[ID_PERGUNTA],C$75,dados[COD_SETOR_CURSO],$C$5)</f>
        <v>4</v>
      </c>
      <c r="H88" s="141" t="n">
        <f t="shared" si="10"/>
        <v>7.5469999999999997</v>
      </c>
      <c r="I88" t="n">
        <f>COUNTIFS(dados[RESPOSTA],C88, dados[ID_PERGUNTA],$C$75,dados[Instituição],$A$2)</f>
        <v>61</v>
      </c>
      <c r="J88" s="141" t="n">
        <f t="shared" si="11"/>
        <v>12.423999999999999</v>
      </c>
      <c r="N88" s="124"/>
    </row>
    <row r="89">
      <c r="C89" s="111" t="s">
        <v>313</v>
      </c>
      <c r="D89" s="111"/>
      <c r="E89" s="132" t="n">
        <f t="shared" ref="E89:J89" si="12">SUM(E83:E88)</f>
        <v>3</v>
      </c>
      <c r="F89" s="142" t="n">
        <f t="shared" si="12"/>
        <v>100</v>
      </c>
      <c r="G89" s="62" t="n">
        <f t="shared" si="12"/>
        <v>53</v>
      </c>
      <c r="H89" s="58" t="n">
        <f t="shared" si="12"/>
        <v>100.001</v>
      </c>
      <c r="I89" s="62" t="n">
        <f t="shared" si="12"/>
        <v>491</v>
      </c>
      <c r="J89" s="58" t="n">
        <f t="shared" si="12"/>
        <v>100.001</v>
      </c>
    </row>
    <row r="92">
      <c r="C92" s="70" t="s">
        <v>427</v>
      </c>
      <c r="D92" s="70"/>
      <c r="E92" s="70"/>
      <c r="F92" s="70"/>
      <c r="G92" s="70"/>
      <c r="H92" s="70"/>
      <c r="I92" s="70"/>
      <c r="J92" s="70"/>
    </row>
    <row r="93">
      <c r="C93" s="56"/>
      <c r="D93" s="56"/>
      <c r="E93" s="71" t="s">
        <v>418</v>
      </c>
      <c r="F93" s="71"/>
      <c r="G93" s="72" t="s">
        <v>419</v>
      </c>
      <c r="H93" s="72"/>
      <c r="I93" s="73" t="s">
        <v>21</v>
      </c>
      <c r="J93" s="73"/>
    </row>
    <row r="94">
      <c r="C94" s="136" t="s">
        <v>428</v>
      </c>
      <c r="D94" s="136" t="s">
        <v>429</v>
      </c>
      <c r="E94" s="156" t="s">
        <v>303</v>
      </c>
      <c r="F94" s="155" t="s">
        <v>426</v>
      </c>
      <c r="G94" s="156" t="s">
        <v>303</v>
      </c>
      <c r="H94" s="155" t="s">
        <v>426</v>
      </c>
      <c r="I94" s="156" t="s">
        <v>303</v>
      </c>
      <c r="J94" s="155" t="s">
        <v>426</v>
      </c>
    </row>
    <row r="95">
      <c r="C95" s="119" t="s">
        <v>401</v>
      </c>
      <c r="D95" s="41" t="s">
        <v>409</v>
      </c>
      <c r="E95" s="12" t="n">
        <f>E83+E84</f>
        <v>0</v>
      </c>
      <c r="F95" s="141" t="n">
        <f>ROUND(E95/E$99*100,3)</f>
        <v>0</v>
      </c>
      <c r="G95" s="12" t="n">
        <f>G83+G84</f>
        <v>3</v>
      </c>
      <c r="H95" s="141" t="n">
        <f>ROUND(G95/G$99*100,3)</f>
        <v>5.66</v>
      </c>
      <c r="I95" s="12" t="n">
        <f>I83+I84</f>
        <v>49</v>
      </c>
      <c r="J95" s="141" t="n">
        <f>ROUND(I95/I$99*100,3)</f>
        <v>9.98</v>
      </c>
    </row>
    <row r="96">
      <c r="C96" s="120" t="s">
        <v>402</v>
      </c>
      <c r="D96" s="41" t="s">
        <v>55</v>
      </c>
      <c r="E96" s="12" t="n">
        <f>E88</f>
        <v>0</v>
      </c>
      <c r="F96" s="141" t="n">
        <f t="shared" ref="F96:J98" si="13">ROUND(E96/E$99*100,3)</f>
        <v>0</v>
      </c>
      <c r="G96" s="12" t="n">
        <f>G88</f>
        <v>4</v>
      </c>
      <c r="H96" s="141" t="n">
        <f t="shared" si="13"/>
        <v>7.5469999999999997</v>
      </c>
      <c r="I96" s="12" t="n">
        <f>I88</f>
        <v>61</v>
      </c>
      <c r="J96" s="141" t="n">
        <f t="shared" si="13"/>
        <v>12.423999999999999</v>
      </c>
    </row>
    <row r="97">
      <c r="C97" s="121" t="s">
        <v>403</v>
      </c>
      <c r="D97" s="41" t="n">
        <v>6</v>
      </c>
      <c r="E97" s="12" t="n">
        <f>E85</f>
        <v>0</v>
      </c>
      <c r="F97" s="141" t="n">
        <f t="shared" si="13"/>
        <v>0</v>
      </c>
      <c r="G97" s="12" t="n">
        <f>G85</f>
        <v>7</v>
      </c>
      <c r="H97" s="141" t="n">
        <f t="shared" si="13"/>
        <v>13.208</v>
      </c>
      <c r="I97" s="12" t="n">
        <f>I85</f>
        <v>65</v>
      </c>
      <c r="J97" s="141" t="n">
        <f t="shared" si="13"/>
        <v>13.238</v>
      </c>
    </row>
    <row r="98">
      <c r="C98" s="122" t="s">
        <v>404</v>
      </c>
      <c r="D98" s="41" t="s">
        <v>410</v>
      </c>
      <c r="E98" s="147" t="n">
        <f>E86+E87</f>
        <v>3</v>
      </c>
      <c r="F98" s="141" t="n">
        <f t="shared" si="13"/>
        <v>100</v>
      </c>
      <c r="G98" s="147" t="n">
        <f>G86+G87</f>
        <v>39</v>
      </c>
      <c r="H98" s="141" t="n">
        <f t="shared" si="13"/>
        <v>73.584999999999994</v>
      </c>
      <c r="I98" s="147" t="n">
        <f>I86+I87</f>
        <v>316</v>
      </c>
      <c r="J98" s="141" t="n">
        <f t="shared" si="13"/>
        <v>64.358000000000004</v>
      </c>
    </row>
    <row r="99">
      <c r="C99" s="132"/>
      <c r="D99" s="132" t="s">
        <v>313</v>
      </c>
      <c r="E99" s="132" t="n">
        <f t="shared" ref="E99:J99" si="14">SUM(E95:E98)</f>
        <v>3</v>
      </c>
      <c r="F99" s="142" t="n">
        <f t="shared" si="14"/>
        <v>100</v>
      </c>
      <c r="G99" s="132" t="n">
        <f t="shared" si="14"/>
        <v>53</v>
      </c>
      <c r="H99" s="142" t="n">
        <f t="shared" si="14"/>
        <v>100</v>
      </c>
      <c r="I99" s="132" t="n">
        <f t="shared" si="14"/>
        <v>491</v>
      </c>
      <c r="J99" s="142" t="n">
        <f t="shared" si="14"/>
        <v>100</v>
      </c>
    </row>
    <row r="101">
      <c r="B101" s="145" t="s">
        <v>433</v>
      </c>
    </row>
    <row r="102" ht="15" customHeight="1">
      <c r="B102" s="66" t="s">
        <v>421</v>
      </c>
      <c r="C102" s="80" t="n">
        <f>INDEX(Questoes!A:A,MATCH(C106,Questoes!J:J,0))</f>
        <v>45</v>
      </c>
      <c r="D102" s="83" t="str">
        <f>INDEX(Questoes!F:F,MATCH(C106,Questoes!J:J,0))</f>
        <v>Avalie este formulário, bem como esta plataforma de pesquisa:</v>
      </c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</row>
    <row r="103">
      <c r="B103" s="66"/>
      <c r="C103" s="80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</row>
    <row r="104">
      <c r="B104" s="66"/>
      <c r="C104" s="80"/>
      <c r="D104" s="84" t="str">
        <f>IF(INDEX(Questoes!G:G,MATCH(C106,Questoes!J:J,0))=0,"",INDEX(Questoes!G:G,MATCH(C106,Questoes!J:J,0)))</f>
      </c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</row>
    <row r="105">
      <c r="D105" s="82" t="str">
        <f>IF(INDEX(Questoes!I:I,MATCH(C106,Questoes!J:J,FALSE))=0,"",INDEX(Questoes!I:I,MATCH(C106,Questoes!J:J,FALSE)))</f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</row>
    <row r="106" ht="15" customHeight="1">
      <c r="B106" s="79" t="s">
        <v>422</v>
      </c>
      <c r="C106" s="80" t="n">
        <v>1096</v>
      </c>
      <c r="D106" s="81" t="str">
        <f>VLOOKUP(C106, Questoes!J:K,2, 0)</f>
        <v>Objetividade e clareza deste formulário avaliativo</v>
      </c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</row>
    <row r="107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</row>
    <row r="108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</row>
    <row r="109">
      <c r="B109" s="138"/>
      <c r="C109" s="139"/>
      <c r="D109" s="137" t="str">
        <f>IF(INDEX(Questoes!L:L,MATCH(C106,Questoes!J:J,0))=0,"",INDEX(Questoes!L:L,MATCH(C106,Questoes!J:J,0)))</f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</row>
    <row r="110">
      <c r="B110" s="138"/>
      <c r="C110" s="139"/>
      <c r="D110" s="137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</row>
    <row r="111">
      <c r="B111" s="146" t="s">
        <v>433</v>
      </c>
      <c r="C111" s="70" t="s">
        <v>424</v>
      </c>
      <c r="D111" s="70"/>
      <c r="E111" s="70"/>
      <c r="F111" s="70"/>
      <c r="G111" s="70"/>
      <c r="H111" s="70"/>
      <c r="I111" s="70"/>
      <c r="J111" s="70"/>
      <c r="L111" s="67" t="str">
        <f>C111</f>
        <v>Apuração de Resultados </v>
      </c>
      <c r="M111" s="68"/>
      <c r="N111" s="68"/>
      <c r="O111" s="69"/>
      <c r="P111" s="117"/>
      <c r="Q111" s="67" t="str">
        <f>C123</f>
        <v>Critérios de Análise</v>
      </c>
      <c r="R111" s="68"/>
      <c r="S111" s="68"/>
      <c r="T111" s="68"/>
      <c r="U111" s="68"/>
      <c r="V111" s="68"/>
      <c r="W111" s="69"/>
    </row>
    <row r="112">
      <c r="C112" s="64"/>
      <c r="D112" s="64"/>
      <c r="E112" s="74" t="s">
        <v>418</v>
      </c>
      <c r="F112" s="74"/>
      <c r="G112" s="75" t="s">
        <v>419</v>
      </c>
      <c r="H112" s="75"/>
      <c r="I112" s="76" t="s">
        <v>21</v>
      </c>
      <c r="J112" s="76"/>
      <c r="L112" s="159" t="s">
        <v>422</v>
      </c>
      <c r="M112" s="106" t="n">
        <f>C106</f>
        <v>1096</v>
      </c>
      <c r="N112" s="106"/>
      <c r="O112" s="106"/>
      <c r="P112" s="117"/>
      <c r="Q112" s="107" t="str">
        <f>L112</f>
        <v>Questão</v>
      </c>
      <c r="R112" s="107"/>
      <c r="S112" s="107"/>
      <c r="T112" s="108" t="n">
        <f>M112</f>
        <v>1096</v>
      </c>
      <c r="U112" s="108"/>
      <c r="V112" s="108"/>
      <c r="W112" s="108"/>
    </row>
    <row r="113">
      <c r="C113" s="54" t="s">
        <v>425</v>
      </c>
      <c r="D113" s="54"/>
      <c r="E113" s="130" t="s">
        <v>303</v>
      </c>
      <c r="F113" s="131" t="s">
        <v>426</v>
      </c>
      <c r="G113" s="130" t="s">
        <v>303</v>
      </c>
      <c r="H113" s="131" t="s">
        <v>426</v>
      </c>
      <c r="I113" s="130" t="s">
        <v>303</v>
      </c>
      <c r="J113" s="131" t="s">
        <v>426</v>
      </c>
    </row>
    <row r="114">
      <c r="C114" s="109" t="s">
        <v>26</v>
      </c>
      <c r="D114" s="109"/>
      <c r="E114" s="129" t="n">
        <f>COUNTIFS(dados[RESPOSTA],C114,dados[ID_PERGUNTA],C$106,dados[COD_CURSO],$C$4)</f>
        <v>1</v>
      </c>
      <c r="F114" s="141" t="n">
        <f>ROUND(E114/E$119*100,3)</f>
        <v>33.332999999999998</v>
      </c>
      <c r="G114" s="129" t="n">
        <f>COUNTIFS(dados[RESPOSTA],C114,dados[ID_PERGUNTA],C$106,dados[COD_SETOR_CURSO],$C$5)</f>
        <v>27</v>
      </c>
      <c r="H114" s="141" t="n">
        <f>ROUND(G114/G$119*100,3)</f>
        <v>50.942999999999998</v>
      </c>
      <c r="I114" s="129" t="n">
        <f>COUNTIFS(dados[RESPOSTA],C114,dados[ID_PERGUNTA],C$106,dados[Instituição],$A$2)</f>
        <v>213</v>
      </c>
      <c r="J114" s="141" t="n">
        <f>ROUND(I114/I$119*100,3)</f>
        <v>43.917999999999999</v>
      </c>
    </row>
    <row r="115">
      <c r="C115" s="77" t="s">
        <v>16</v>
      </c>
      <c r="D115" s="77"/>
      <c r="E115" s="129" t="n">
        <f>COUNTIFS(dados[RESPOSTA],C115,dados[ID_PERGUNTA],C$106,dados[COD_CURSO],$C$4)</f>
        <v>2</v>
      </c>
      <c r="F115" s="141" t="n">
        <f>ROUND(E115/E$119*100,3)</f>
        <v>66.667000000000002</v>
      </c>
      <c r="G115" s="129" t="n">
        <f>COUNTIFS(dados[RESPOSTA],C115,dados[ID_PERGUNTA],C$106,dados[COD_SETOR_CURSO],$C$5)</f>
        <v>21</v>
      </c>
      <c r="H115" s="141" t="n">
        <f>ROUND(G115/G$119*100,3)</f>
        <v>39.622999999999998</v>
      </c>
      <c r="I115" s="129" t="n">
        <f>COUNTIFS(dados[RESPOSTA],C115,dados[ID_PERGUNTA],C$106,dados[Instituição],$A$2)</f>
        <v>210</v>
      </c>
      <c r="J115" s="141" t="n">
        <f>ROUND(I115/I$119*100,3)</f>
        <v>43.298999999999999</v>
      </c>
    </row>
    <row r="116">
      <c r="C116" s="77" t="s">
        <v>29</v>
      </c>
      <c r="D116" s="77"/>
      <c r="E116" s="129" t="n">
        <f>COUNTIFS(dados[RESPOSTA],C116,dados[ID_PERGUNTA],C$106,dados[COD_CURSO],$C$4)</f>
        <v>0</v>
      </c>
      <c r="F116" s="141" t="n">
        <f>ROUND(E116/E$119*100,3)</f>
        <v>0</v>
      </c>
      <c r="G116" s="129" t="n">
        <f>COUNTIFS(dados[RESPOSTA],C116,dados[ID_PERGUNTA],C$106,dados[COD_SETOR_CURSO],$C$5)</f>
        <v>4</v>
      </c>
      <c r="H116" s="141" t="n">
        <f>ROUND(G116/G$119*100,3)</f>
        <v>7.5469999999999997</v>
      </c>
      <c r="I116" s="129" t="n">
        <f>COUNTIFS(dados[RESPOSTA],C116,dados[ID_PERGUNTA],C$106,dados[Instituição],$A$2)</f>
        <v>56</v>
      </c>
      <c r="J116" s="141" t="n">
        <f>ROUND(I116/I$119*100,3)</f>
        <v>11.545999999999999</v>
      </c>
    </row>
    <row r="117">
      <c r="C117" s="77" t="s">
        <v>79</v>
      </c>
      <c r="D117" s="77"/>
      <c r="E117" s="129" t="n">
        <f>COUNTIFS(dados[RESPOSTA],C117,dados[ID_PERGUNTA],C$106,dados[COD_CURSO],$C$4)</f>
        <v>0</v>
      </c>
      <c r="F117" s="141" t="n">
        <f>ROUND(E117/E$119*100,3)</f>
        <v>0</v>
      </c>
      <c r="G117" s="129" t="n">
        <f>COUNTIFS(dados[RESPOSTA],C117,dados[ID_PERGUNTA],C$106,dados[COD_SETOR_CURSO],$C$5)</f>
        <v>1</v>
      </c>
      <c r="H117" s="141" t="n">
        <f>ROUND(G117/G$119*100,3)</f>
        <v>1.887</v>
      </c>
      <c r="I117" s="129" t="n">
        <f>COUNTIFS(dados[RESPOSTA],C117,dados[ID_PERGUNTA],C$106,dados[Instituição],$A$2)</f>
        <v>5</v>
      </c>
      <c r="J117" s="141" t="n">
        <f>ROUND(I117/I$119*100,3)</f>
        <v>1.0309999999999999</v>
      </c>
    </row>
    <row r="118">
      <c r="C118" s="78" t="s">
        <v>80</v>
      </c>
      <c r="D118" s="78"/>
      <c r="E118" s="129" t="n">
        <f>COUNTIFS(dados[RESPOSTA],C118,dados[ID_PERGUNTA],C$106,dados[COD_CURSO],$C$4)</f>
        <v>0</v>
      </c>
      <c r="F118" s="141" t="n">
        <f>ROUND(E118/E$119*100,3)</f>
        <v>0</v>
      </c>
      <c r="G118" s="129" t="n">
        <f>COUNTIFS(dados[RESPOSTA],C118,dados[ID_PERGUNTA],C$106,dados[COD_SETOR_CURSO],$C$5)</f>
        <v>0</v>
      </c>
      <c r="H118" s="141" t="n">
        <f>ROUND(G118/G$119*100,3)</f>
        <v>0</v>
      </c>
      <c r="I118" s="129" t="n">
        <f>COUNTIFS(dados[RESPOSTA],C118,dados[ID_PERGUNTA],C$106,dados[Instituição],$A$2)</f>
        <v>1</v>
      </c>
      <c r="J118" s="141" t="n">
        <f>ROUND(I118/I$119*100,3)</f>
        <v>0.20599999999999999</v>
      </c>
    </row>
    <row r="119">
      <c r="C119" s="62" t="s">
        <v>313</v>
      </c>
      <c r="D119" s="62"/>
      <c r="E119" s="157" t="n">
        <f>SUM(E114:E118)</f>
        <v>3</v>
      </c>
      <c r="F119" s="158" t="n">
        <f>ROUND(SUM(F114:F118),2)</f>
        <v>100</v>
      </c>
      <c r="G119" s="62" t="n">
        <f>SUM(G114:G118)</f>
        <v>53</v>
      </c>
      <c r="H119" s="58" t="n">
        <f>SUM(H114:H118)</f>
        <v>100</v>
      </c>
      <c r="I119" s="62" t="n">
        <f>SUM(I114:I118)</f>
        <v>485</v>
      </c>
      <c r="J119" s="58" t="n">
        <f>SUM(J114:J118)</f>
        <v>100.00000000000001</v>
      </c>
    </row>
    <row r="123">
      <c r="C123" s="70" t="s">
        <v>427</v>
      </c>
      <c r="D123" s="70"/>
      <c r="E123" s="70"/>
      <c r="F123" s="70"/>
      <c r="G123" s="70"/>
      <c r="H123" s="70"/>
      <c r="I123" s="70"/>
      <c r="J123" s="70"/>
    </row>
    <row r="124">
      <c r="C124" s="56"/>
      <c r="D124" s="56"/>
      <c r="E124" s="71" t="s">
        <v>418</v>
      </c>
      <c r="F124" s="71"/>
      <c r="G124" s="72" t="s">
        <v>419</v>
      </c>
      <c r="H124" s="72"/>
      <c r="I124" s="73" t="s">
        <v>21</v>
      </c>
      <c r="J124" s="73"/>
    </row>
    <row r="125">
      <c r="C125" s="133" t="s">
        <v>428</v>
      </c>
      <c r="D125" s="133" t="s">
        <v>429</v>
      </c>
      <c r="E125" s="134" t="s">
        <v>303</v>
      </c>
      <c r="F125" s="135" t="s">
        <v>426</v>
      </c>
      <c r="G125" s="130" t="s">
        <v>303</v>
      </c>
      <c r="H125" s="131" t="s">
        <v>426</v>
      </c>
      <c r="I125" s="130" t="s">
        <v>303</v>
      </c>
      <c r="J125" s="131" t="s">
        <v>426</v>
      </c>
    </row>
    <row r="126">
      <c r="C126" s="126" t="s">
        <v>401</v>
      </c>
      <c r="D126" s="125" t="s">
        <v>406</v>
      </c>
      <c r="E126" s="149" t="n">
        <f>E118+E117</f>
        <v>0</v>
      </c>
      <c r="F126" s="152" t="n">
        <f>ROUND(E126/E$129*100,3)</f>
        <v>0</v>
      </c>
      <c r="G126" s="149" t="n">
        <f>G118+G117</f>
        <v>1</v>
      </c>
      <c r="H126" s="152" t="n">
        <f>ROUND(G126/G$129*100,3)</f>
        <v>1.887</v>
      </c>
      <c r="I126" s="149" t="n">
        <f>I118+I117</f>
        <v>6</v>
      </c>
      <c r="J126" s="152" t="n">
        <f>ROUND(I126/I$129*100,3)</f>
        <v>1.2370000000000001</v>
      </c>
    </row>
    <row r="127">
      <c r="C127" s="121" t="s">
        <v>403</v>
      </c>
      <c r="D127" s="48" t="s">
        <v>29</v>
      </c>
      <c r="E127" s="150" t="n">
        <f>E116</f>
        <v>0</v>
      </c>
      <c r="F127" s="153" t="n">
        <f t="shared" ref="F127:J128" si="15">ROUND(E127/E$129*100,3)</f>
        <v>0</v>
      </c>
      <c r="G127" s="150" t="n">
        <f>G116</f>
        <v>4</v>
      </c>
      <c r="H127" s="153" t="n">
        <f t="shared" si="15"/>
        <v>7.5469999999999997</v>
      </c>
      <c r="I127" s="150" t="n">
        <f>I116</f>
        <v>56</v>
      </c>
      <c r="J127" s="153" t="n">
        <f t="shared" si="15"/>
        <v>11.545999999999999</v>
      </c>
    </row>
    <row r="128">
      <c r="C128" s="122" t="s">
        <v>404</v>
      </c>
      <c r="D128" s="48" t="s">
        <v>407</v>
      </c>
      <c r="E128" s="151" t="n">
        <f>E115+E114</f>
        <v>3</v>
      </c>
      <c r="F128" s="154" t="n">
        <f t="shared" si="15"/>
        <v>100</v>
      </c>
      <c r="G128" s="151" t="n">
        <f>G115+G114</f>
        <v>48</v>
      </c>
      <c r="H128" s="154" t="n">
        <f t="shared" si="15"/>
        <v>90.566000000000003</v>
      </c>
      <c r="I128" s="151" t="n">
        <f>I115+I114</f>
        <v>423</v>
      </c>
      <c r="J128" s="154" t="n">
        <f t="shared" si="15"/>
        <v>87.215999999999994</v>
      </c>
    </row>
    <row r="129">
      <c r="C129" s="132"/>
      <c r="D129" s="132" t="s">
        <v>313</v>
      </c>
      <c r="E129" s="132" t="n">
        <f>SUM(E126:E128)</f>
        <v>3</v>
      </c>
      <c r="F129" s="148" t="n">
        <f>ROUND(SUM(F126:F128),2)</f>
        <v>100</v>
      </c>
      <c r="G129" s="132" t="n">
        <f>SUM(G126:G128)</f>
        <v>53</v>
      </c>
      <c r="H129" s="148" t="n">
        <f>ROUND(SUM(H126:H128),2)</f>
        <v>100</v>
      </c>
      <c r="I129" s="132" t="n">
        <f>SUM(I126:I128)</f>
        <v>485</v>
      </c>
      <c r="J129" s="148" t="n">
        <f>ROUND(SUM(J126:J128),2)</f>
        <v>100</v>
      </c>
    </row>
  </sheetData>
  <mergeCells count="113"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>Monica Ludmila</cp:lastModifiedBy>
  <cp:revision/>
  <dcterms:created xsi:type="dcterms:W3CDTF">2023-03-20T19:43:36Z</dcterms:created>
  <dcterms:modified xsi:type="dcterms:W3CDTF">2023-04-24T20:00:18Z</dcterms:modified>
  <cp:category/>
  <cp:contentStatus/>
</cp:coreProperties>
</file>