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/>
  <mc:AlternateContent xmlns:mc="http://schemas.openxmlformats.org/markup-compatibility/2006">
    <mc:Choice Requires="x15">
      <x15ac:absPath xmlns:x15ac="http://schemas.microsoft.com/office/spreadsheetml/2010/11/ac" url="C:\Users\miyak\Downloads\Pesquisa docente Saude 2021\"/>
    </mc:Choice>
  </mc:AlternateContent>
  <xr:revisionPtr revIDLastSave="0" documentId="13_ncr:1_{9520CD1E-85A4-4721-B20D-3AEE8EF0F50A}" xr6:coauthVersionLast="47" xr6:coauthVersionMax="47" xr10:uidLastSave="{00000000-0000-0000-0000-000000000000}"/>
  <bookViews>
    <workbookView xWindow="-120" yWindow="-120" windowWidth="20730" windowHeight="11160" tabRatio="905" activeTab="1" xr2:uid="{00000000-000D-0000-FFFF-FFFF00000000}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7" i="131" l="1"/>
  <c r="E10" i="81" l="1"/>
  <c r="E12" i="134"/>
  <c r="D12" i="134"/>
  <c r="C12" i="134"/>
  <c r="E11" i="134"/>
  <c r="D11" i="134"/>
  <c r="C11" i="134"/>
  <c r="E10" i="134"/>
  <c r="D10" i="134"/>
  <c r="D27" i="134" s="1"/>
  <c r="C10" i="134"/>
  <c r="D20" i="134" s="1"/>
  <c r="E9" i="134"/>
  <c r="D9" i="134"/>
  <c r="C9" i="134"/>
  <c r="E8" i="134"/>
  <c r="D8" i="134"/>
  <c r="C8" i="134"/>
  <c r="D18" i="134" s="1"/>
  <c r="E7" i="134"/>
  <c r="D7" i="134"/>
  <c r="D26" i="134" s="1"/>
  <c r="C7" i="134"/>
  <c r="D19" i="134" s="1"/>
  <c r="A2" i="134"/>
  <c r="E8" i="133"/>
  <c r="D8" i="133"/>
  <c r="C8" i="133"/>
  <c r="E7" i="133"/>
  <c r="D7" i="133"/>
  <c r="C7" i="133"/>
  <c r="C6" i="133" s="1"/>
  <c r="C9" i="133" s="1"/>
  <c r="A2" i="133"/>
  <c r="E12" i="132"/>
  <c r="D12" i="132"/>
  <c r="C12" i="132"/>
  <c r="E11" i="132"/>
  <c r="D11" i="132"/>
  <c r="C11" i="132"/>
  <c r="E10" i="132"/>
  <c r="D10" i="132"/>
  <c r="D27" i="132" s="1"/>
  <c r="C10" i="132"/>
  <c r="D20" i="132" s="1"/>
  <c r="E9" i="132"/>
  <c r="D9" i="132"/>
  <c r="C9" i="132"/>
  <c r="E8" i="132"/>
  <c r="D8" i="132"/>
  <c r="C8" i="132"/>
  <c r="E7" i="132"/>
  <c r="D7" i="132"/>
  <c r="D26" i="132" s="1"/>
  <c r="C7" i="132"/>
  <c r="D19" i="132" s="1"/>
  <c r="A2" i="132"/>
  <c r="C8" i="7"/>
  <c r="D18" i="7" s="1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 s="1"/>
  <c r="E7" i="107"/>
  <c r="C7" i="78"/>
  <c r="E7" i="28"/>
  <c r="E7" i="102"/>
  <c r="B16" i="131"/>
  <c r="D16" i="131" s="1"/>
  <c r="B15" i="131"/>
  <c r="D15" i="131" s="1"/>
  <c r="C6" i="132" l="1"/>
  <c r="C13" i="132" s="1"/>
  <c r="D25" i="134"/>
  <c r="D21" i="134"/>
  <c r="E19" i="134" s="1"/>
  <c r="D6" i="133"/>
  <c r="D9" i="133" s="1"/>
  <c r="E9" i="133" s="1"/>
  <c r="D28" i="132"/>
  <c r="D6" i="134"/>
  <c r="D13" i="134" s="1"/>
  <c r="D28" i="134"/>
  <c r="E27" i="134" s="1"/>
  <c r="D6" i="132"/>
  <c r="D13" i="132" s="1"/>
  <c r="E13" i="132" s="1"/>
  <c r="D18" i="132"/>
  <c r="E19" i="132" s="1"/>
  <c r="D25" i="132"/>
  <c r="E26" i="132" s="1"/>
  <c r="D21" i="132"/>
  <c r="C6" i="134"/>
  <c r="C13" i="134" s="1"/>
  <c r="E13" i="134" s="1"/>
  <c r="E6" i="134" s="1"/>
  <c r="F6" i="134" s="1"/>
  <c r="B3" i="134"/>
  <c r="B2" i="134"/>
  <c r="G7" i="134"/>
  <c r="E25" i="134"/>
  <c r="G8" i="134"/>
  <c r="G9" i="134"/>
  <c r="E20" i="134"/>
  <c r="G10" i="134"/>
  <c r="G11" i="134"/>
  <c r="G12" i="134"/>
  <c r="B3" i="133"/>
  <c r="B2" i="133"/>
  <c r="G7" i="133"/>
  <c r="G8" i="133"/>
  <c r="E21" i="132"/>
  <c r="G7" i="132"/>
  <c r="G8" i="132"/>
  <c r="G9" i="132"/>
  <c r="G10" i="132"/>
  <c r="G11" i="132"/>
  <c r="G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C11" i="98"/>
  <c r="E10" i="98"/>
  <c r="D10" i="98"/>
  <c r="D27" i="98" s="1"/>
  <c r="C10" i="98"/>
  <c r="D20" i="98" s="1"/>
  <c r="E9" i="98"/>
  <c r="D9" i="98"/>
  <c r="C9" i="98"/>
  <c r="E8" i="98"/>
  <c r="D8" i="98"/>
  <c r="C8" i="98"/>
  <c r="E7" i="98"/>
  <c r="D7" i="98"/>
  <c r="D26" i="98" s="1"/>
  <c r="C7" i="98"/>
  <c r="D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E28" i="132" l="1"/>
  <c r="F11" i="134"/>
  <c r="E20" i="132"/>
  <c r="F10" i="134"/>
  <c r="E6" i="133"/>
  <c r="F6" i="133" s="1"/>
  <c r="F8" i="133"/>
  <c r="C6" i="79"/>
  <c r="D25" i="98"/>
  <c r="D21" i="98"/>
  <c r="E27" i="132"/>
  <c r="E21" i="134"/>
  <c r="F9" i="134"/>
  <c r="E18" i="134"/>
  <c r="E25" i="132"/>
  <c r="F7" i="132"/>
  <c r="F9" i="132"/>
  <c r="F11" i="132"/>
  <c r="F13" i="132"/>
  <c r="E6" i="132"/>
  <c r="F6" i="132" s="1"/>
  <c r="F8" i="132"/>
  <c r="F10" i="132"/>
  <c r="F12" i="132"/>
  <c r="E18" i="132"/>
  <c r="D28" i="98"/>
  <c r="E26" i="98" s="1"/>
  <c r="E26" i="134"/>
  <c r="D18" i="98"/>
  <c r="E19" i="98" s="1"/>
  <c r="F7" i="133"/>
  <c r="F9" i="133" s="1"/>
  <c r="F12" i="134"/>
  <c r="E28" i="134"/>
  <c r="F8" i="134"/>
  <c r="F7" i="134"/>
  <c r="G12" i="45"/>
  <c r="G13" i="134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25" i="98"/>
  <c r="E20" i="98"/>
  <c r="E27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D18" i="57"/>
  <c r="D28" i="59"/>
  <c r="D21" i="60"/>
  <c r="D25" i="60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3" i="125" s="1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C13" i="89" s="1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E26" i="10" s="1"/>
  <c r="D21" i="11"/>
  <c r="D25" i="11"/>
  <c r="D21" i="21"/>
  <c r="D6" i="31"/>
  <c r="D13" i="31" s="1"/>
  <c r="C6" i="40"/>
  <c r="C9" i="40" s="1"/>
  <c r="E9" i="40" s="1"/>
  <c r="C6" i="48"/>
  <c r="C6" i="56"/>
  <c r="C13" i="56" s="1"/>
  <c r="C6" i="58"/>
  <c r="D6" i="61"/>
  <c r="D6" i="64"/>
  <c r="C6" i="69"/>
  <c r="D6" i="88"/>
  <c r="D13" i="88" s="1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D13" i="63" s="1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13" i="95" s="1"/>
  <c r="C6" i="96"/>
  <c r="C6" i="97"/>
  <c r="D6" i="98"/>
  <c r="D6" i="99"/>
  <c r="D13" i="99" s="1"/>
  <c r="D6" i="126"/>
  <c r="D28" i="7"/>
  <c r="D25" i="7"/>
  <c r="D25" i="13"/>
  <c r="E26" i="13" s="1"/>
  <c r="D21" i="15"/>
  <c r="D28" i="16"/>
  <c r="D18" i="17"/>
  <c r="D25" i="20"/>
  <c r="D21" i="23"/>
  <c r="D18" i="23"/>
  <c r="D21" i="24"/>
  <c r="C6" i="25"/>
  <c r="C13" i="25" s="1"/>
  <c r="D28" i="26"/>
  <c r="D25" i="28"/>
  <c r="C6" i="41"/>
  <c r="C6" i="45"/>
  <c r="C13" i="45" s="1"/>
  <c r="D6" i="47"/>
  <c r="C6" i="49"/>
  <c r="C13" i="49" s="1"/>
  <c r="D6" i="52"/>
  <c r="D9" i="52" s="1"/>
  <c r="D6" i="73"/>
  <c r="D13" i="73" s="1"/>
  <c r="D6" i="91"/>
  <c r="D6" i="103"/>
  <c r="C6" i="107"/>
  <c r="D6" i="110"/>
  <c r="D13" i="110" s="1"/>
  <c r="C6" i="115"/>
  <c r="C6" i="119"/>
  <c r="D6" i="122"/>
  <c r="D6" i="123"/>
  <c r="D9" i="123" s="1"/>
  <c r="D6" i="127"/>
  <c r="D6" i="5"/>
  <c r="D28" i="5"/>
  <c r="C6" i="8"/>
  <c r="C13" i="8" s="1"/>
  <c r="D6" i="8"/>
  <c r="D25" i="8"/>
  <c r="D21" i="9"/>
  <c r="D18" i="9"/>
  <c r="D28" i="12"/>
  <c r="C6" i="14"/>
  <c r="C13" i="14" s="1"/>
  <c r="D6" i="7"/>
  <c r="D13" i="7" s="1"/>
  <c r="C6" i="17"/>
  <c r="C13" i="17" s="1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13" i="42" s="1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C13" i="54" s="1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13" i="29" s="1"/>
  <c r="C6" i="32"/>
  <c r="C13" i="32" s="1"/>
  <c r="D6" i="35"/>
  <c r="C6" i="36"/>
  <c r="C9" i="36" s="1"/>
  <c r="C6" i="39"/>
  <c r="D6" i="41"/>
  <c r="C6" i="43"/>
  <c r="C6" i="46"/>
  <c r="C13" i="46" s="1"/>
  <c r="D6" i="49"/>
  <c r="D13" i="49" s="1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C13" i="117" s="1"/>
  <c r="D6" i="121"/>
  <c r="C6" i="121"/>
  <c r="C6" i="86"/>
  <c r="C13" i="86" s="1"/>
  <c r="C6" i="87"/>
  <c r="C13" i="87" s="1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G7" i="89"/>
  <c r="G8" i="89"/>
  <c r="G9" i="89"/>
  <c r="G10" i="89"/>
  <c r="G11" i="89"/>
  <c r="G12" i="89"/>
  <c r="B3" i="88"/>
  <c r="B2" i="88"/>
  <c r="G7" i="88"/>
  <c r="G8" i="88"/>
  <c r="G9" i="88"/>
  <c r="G10" i="88"/>
  <c r="G11" i="88"/>
  <c r="G12" i="88"/>
  <c r="B3" i="87"/>
  <c r="B2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E25" i="60" l="1"/>
  <c r="E25" i="56"/>
  <c r="F13" i="134"/>
  <c r="E21" i="98"/>
  <c r="E18" i="98"/>
  <c r="E18" i="57"/>
  <c r="E19" i="12"/>
  <c r="E9" i="123"/>
  <c r="F9" i="123" s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8" i="123" l="1"/>
  <c r="F7" i="82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<sst xmlns="http://schemas.openxmlformats.org/spreadsheetml/2006/main" count="13116" uniqueCount="512">
  <si>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</si>
  <si>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</si>
  <si>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</si>
  <si>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</si>
  <si>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</si>
  <si>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</si>
  <si>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</si>
  <si>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</si>
  <si>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</si>
  <si>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</si>
  <si>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</si>
  <si>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</si>
  <si>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</si>
  <si>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</si>
  <si>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</si>
  <si>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</si>
  <si>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</si>
  <si>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</si>
  <si>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</si>
  <si>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</si>
  <si>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</si>
  <si>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</si>
  <si>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</si>
  <si>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</si>
  <si>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</si>
  <si>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</si>
  <si>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</si>
  <si>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</si>
  <si>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</si>
  <si>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</si>
  <si>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</si>
  <si>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</si>
  <si>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</si>
  <si>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</si>
  <si>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</si>
  <si>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</si>
  <si>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</si>
  <si>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</si>
  <si>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</si>
  <si>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</si>
  <si>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</si>
  <si>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</si>
  <si>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</si>
  <si>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</si>
  <si>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</si>
  <si>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</si>
  <si>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</si>
  <si>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</si>
  <si>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</si>
  <si>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</si>
  <si>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</si>
  <si>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</si>
  <si>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</si>
  <si>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</si>
  <si>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</si>
  <si>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</si>
  <si>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</si>
  <si>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</si>
  <si>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</si>
  <si>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</si>
  <si>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</si>
  <si>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</si>
  <si>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</si>
  <si>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</si>
  <si>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</si>
  <si>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</si>
  <si>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</si>
  <si>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</si>
  <si>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</si>
  <si>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</si>
  <si>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</si>
  <si>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</si>
  <si>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</si>
  <si>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</si>
  <si>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</si>
  <si>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</si>
  <si>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</si>
  <si>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</si>
  <si>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</si>
  <si>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</si>
  <si>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</si>
  <si>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</si>
  <si>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</si>
  <si>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</si>
  <si>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</si>
  <si>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</si>
  <si>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</si>
  <si>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</si>
  <si>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</si>
  <si>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</si>
  <si>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</si>
  <si>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</si>
  <si>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</si>
  <si>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</si>
  <si>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</si>
  <si>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</si>
  <si>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</si>
  <si>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</si>
  <si>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</si>
  <si>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</si>
  <si>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</si>
  <si>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</si>
  <si>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</si>
  <si>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</si>
  <si>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</si>
  <si>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</si>
  <si>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</si>
  <si>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</si>
  <si>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</si>
  <si>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</si>
  <si>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</si>
  <si>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</si>
  <si>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</si>
  <si>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</si>
  <si>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</si>
  <si>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</si>
  <si>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</si>
  <si>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</si>
  <si>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</si>
  <si>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</si>
  <si>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</si>
  <si>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</si>
  <si>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</si>
  <si>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</si>
  <si>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</si>
  <si>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</si>
  <si>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</si>
  <si>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</si>
  <si>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</si>
  <si>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</si>
  <si>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</si>
  <si>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</si>
  <si>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</si>
  <si>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</si>
  <si>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</si>
  <si>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</si>
  <si>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</si>
  <si>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</si>
  <si>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</si>
  <si>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</si>
  <si>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</si>
  <si>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</si>
  <si>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</si>
  <si>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</si>
  <si>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</si>
  <si>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</si>
  <si>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</si>
  <si>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</si>
  <si>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</si>
  <si>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</si>
  <si>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</si>
  <si>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</si>
  <si>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</si>
  <si>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</si>
  <si>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</si>
  <si>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</si>
  <si>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</si>
  <si>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</si>
  <si>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</si>
  <si>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</si>
  <si>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</si>
  <si>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</si>
  <si>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</si>
  <si>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</si>
  <si>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</si>
  <si>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</si>
  <si>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</si>
  <si>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</si>
  <si>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</si>
  <si>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</si>
  <si>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</si>
  <si>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</si>
  <si>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</si>
  <si>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</si>
  <si>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</si>
  <si>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</si>
  <si>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</si>
  <si>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</si>
  <si>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</si>
  <si>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</si>
  <si>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</si>
  <si>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</si>
  <si>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</si>
  <si>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</si>
  <si>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</si>
  <si>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</si>
  <si>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</si>
  <si>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</si>
  <si>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</si>
  <si>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</si>
  <si>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</si>
  <si>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</si>
  <si>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</si>
  <si>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SD</t>
  </si>
  <si>
    <t>Sim</t>
  </si>
  <si>
    <t>Bom</t>
  </si>
  <si>
    <t>Excelente</t>
  </si>
  <si>
    <t>Técnico</t>
  </si>
  <si>
    <t>NULL</t>
  </si>
  <si>
    <t>Não</t>
  </si>
  <si>
    <t>Não tive conhecimento das ações</t>
  </si>
  <si>
    <t>Não sei responder</t>
  </si>
  <si>
    <t>Não se aplica</t>
  </si>
  <si>
    <t>Não são atividades do meu interesse</t>
  </si>
  <si>
    <t>Ruim</t>
  </si>
  <si>
    <t>Outro</t>
  </si>
  <si>
    <t>Não tive condições em acessar as ações</t>
  </si>
  <si>
    <t>Péssimo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</si>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</sst>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15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4880"/>
        <c:axId val="84556416"/>
      </c:barChart>
      <c:catAx>
        <c:axId val="8455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6416"/>
        <c:crosses val="autoZero"/>
        <c:auto val="1"/>
        <c:lblAlgn val="ctr"/>
        <c:lblOffset val="100"/>
        <c:noMultiLvlLbl val="0"/>
      </c:catAx>
      <c:valAx>
        <c:axId val="8455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15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12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13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059264"/>
        <c:axId val="128060800"/>
      </c:barChart>
      <c:catAx>
        <c:axId val="128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60800"/>
        <c:crosses val="autoZero"/>
        <c:auto val="1"/>
        <c:lblAlgn val="ctr"/>
        <c:lblOffset val="100"/>
        <c:noMultiLvlLbl val="0"/>
      </c:catAx>
      <c:valAx>
        <c:axId val="12806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5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13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601088"/>
        <c:axId val="128606976"/>
      </c:barChart>
      <c:catAx>
        <c:axId val="1286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06976"/>
        <c:crosses val="autoZero"/>
        <c:auto val="1"/>
        <c:lblAlgn val="ctr"/>
        <c:lblOffset val="100"/>
        <c:noMultiLvlLbl val="0"/>
      </c:catAx>
      <c:valAx>
        <c:axId val="12860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0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30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17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704512"/>
        <c:axId val="128706048"/>
      </c:barChart>
      <c:catAx>
        <c:axId val="1287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6048"/>
        <c:crosses val="autoZero"/>
        <c:auto val="1"/>
        <c:lblAlgn val="ctr"/>
        <c:lblOffset val="100"/>
        <c:noMultiLvlLbl val="0"/>
      </c:catAx>
      <c:valAx>
        <c:axId val="12870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70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779200"/>
        <c:axId val="129780736"/>
      </c:barChart>
      <c:catAx>
        <c:axId val="1297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780736"/>
        <c:crosses val="autoZero"/>
        <c:auto val="1"/>
        <c:lblAlgn val="ctr"/>
        <c:lblOffset val="100"/>
        <c:noMultiLvlLbl val="0"/>
      </c:catAx>
      <c:valAx>
        <c:axId val="12978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77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15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80288"/>
        <c:axId val="85981824"/>
      </c:barChart>
      <c:catAx>
        <c:axId val="85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81824"/>
        <c:crosses val="autoZero"/>
        <c:auto val="1"/>
        <c:lblAlgn val="ctr"/>
        <c:lblOffset val="100"/>
        <c:noMultiLvlLbl val="0"/>
      </c:catAx>
      <c:valAx>
        <c:axId val="859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8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30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05728"/>
        <c:axId val="130523904"/>
      </c:barChart>
      <c:catAx>
        <c:axId val="1305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23904"/>
        <c:crosses val="autoZero"/>
        <c:auto val="1"/>
        <c:lblAlgn val="ctr"/>
        <c:lblOffset val="100"/>
        <c:noMultiLvlLbl val="0"/>
      </c:catAx>
      <c:valAx>
        <c:axId val="13052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0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13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379968"/>
        <c:axId val="131381504"/>
      </c:barChart>
      <c:catAx>
        <c:axId val="1313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1504"/>
        <c:crosses val="autoZero"/>
        <c:auto val="1"/>
        <c:lblAlgn val="ctr"/>
        <c:lblOffset val="100"/>
        <c:noMultiLvlLbl val="0"/>
      </c:catAx>
      <c:valAx>
        <c:axId val="13138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30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5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577344"/>
        <c:axId val="131578880"/>
      </c:barChart>
      <c:catAx>
        <c:axId val="1315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78880"/>
        <c:crosses val="autoZero"/>
        <c:auto val="1"/>
        <c:lblAlgn val="ctr"/>
        <c:lblOffset val="100"/>
        <c:noMultiLvlLbl val="0"/>
      </c:catAx>
      <c:valAx>
        <c:axId val="1315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7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13</c:v>
                </c:pt>
                <c:pt idx="5">
                  <c:v>23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173184"/>
        <c:axId val="86174720"/>
      </c:barChart>
      <c:catAx>
        <c:axId val="86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74720"/>
        <c:crosses val="autoZero"/>
        <c:auto val="1"/>
        <c:lblAlgn val="ctr"/>
        <c:lblOffset val="100"/>
        <c:noMultiLvlLbl val="0"/>
      </c:catAx>
      <c:valAx>
        <c:axId val="8617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17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16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070016"/>
        <c:axId val="132071808"/>
      </c:barChart>
      <c:catAx>
        <c:axId val="1320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71808"/>
        <c:crosses val="autoZero"/>
        <c:auto val="1"/>
        <c:lblAlgn val="ctr"/>
        <c:lblOffset val="100"/>
        <c:noMultiLvlLbl val="0"/>
      </c:catAx>
      <c:valAx>
        <c:axId val="1320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07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30880"/>
        <c:axId val="132732416"/>
      </c:barChart>
      <c:catAx>
        <c:axId val="132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32416"/>
        <c:crosses val="autoZero"/>
        <c:auto val="1"/>
        <c:lblAlgn val="ctr"/>
        <c:lblOffset val="100"/>
        <c:noMultiLvlLbl val="0"/>
      </c:catAx>
      <c:valAx>
        <c:axId val="13273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3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10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15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146112"/>
        <c:axId val="133147648"/>
      </c:barChart>
      <c:catAx>
        <c:axId val="13314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47648"/>
        <c:crosses val="autoZero"/>
        <c:auto val="1"/>
        <c:lblAlgn val="ctr"/>
        <c:lblOffset val="100"/>
        <c:noMultiLvlLbl val="0"/>
      </c:catAx>
      <c:valAx>
        <c:axId val="13314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14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348352"/>
        <c:axId val="133432064"/>
      </c:barChart>
      <c:catAx>
        <c:axId val="1333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32064"/>
        <c:crosses val="autoZero"/>
        <c:auto val="1"/>
        <c:lblAlgn val="ctr"/>
        <c:lblOffset val="100"/>
        <c:noMultiLvlLbl val="0"/>
      </c:catAx>
      <c:valAx>
        <c:axId val="13343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34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16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742976"/>
        <c:axId val="133744512"/>
      </c:barChart>
      <c:catAx>
        <c:axId val="1337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44512"/>
        <c:crosses val="autoZero"/>
        <c:auto val="1"/>
        <c:lblAlgn val="ctr"/>
        <c:lblOffset val="100"/>
        <c:noMultiLvlLbl val="0"/>
      </c:catAx>
      <c:valAx>
        <c:axId val="13374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4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325760"/>
        <c:axId val="134327296"/>
      </c:barChart>
      <c:catAx>
        <c:axId val="1343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27296"/>
        <c:crosses val="autoZero"/>
        <c:auto val="1"/>
        <c:lblAlgn val="ctr"/>
        <c:lblOffset val="100"/>
        <c:noMultiLvlLbl val="0"/>
      </c:catAx>
      <c:valAx>
        <c:axId val="13432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32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588288"/>
        <c:axId val="134589824"/>
      </c:barChart>
      <c:catAx>
        <c:axId val="1345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589824"/>
        <c:crosses val="autoZero"/>
        <c:auto val="1"/>
        <c:lblAlgn val="ctr"/>
        <c:lblOffset val="100"/>
        <c:noMultiLvlLbl val="0"/>
      </c:catAx>
      <c:valAx>
        <c:axId val="13458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58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15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100480"/>
        <c:axId val="136106368"/>
      </c:barChart>
      <c:catAx>
        <c:axId val="1361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06368"/>
        <c:crosses val="autoZero"/>
        <c:auto val="1"/>
        <c:lblAlgn val="ctr"/>
        <c:lblOffset val="100"/>
        <c:noMultiLvlLbl val="0"/>
      </c:catAx>
      <c:valAx>
        <c:axId val="13610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10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7</c:v>
                </c:pt>
                <c:pt idx="1">
                  <c:v>0</c:v>
                </c:pt>
                <c:pt idx="2">
                  <c:v>13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8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20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577408"/>
        <c:axId val="136578944"/>
      </c:barChart>
      <c:catAx>
        <c:axId val="1365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578944"/>
        <c:crosses val="autoZero"/>
        <c:auto val="1"/>
        <c:lblAlgn val="ctr"/>
        <c:lblOffset val="100"/>
        <c:noMultiLvlLbl val="0"/>
      </c:catAx>
      <c:valAx>
        <c:axId val="13657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57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15</c:v>
                </c:pt>
                <c:pt idx="5">
                  <c:v>22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049600"/>
        <c:axId val="137051136"/>
      </c:barChart>
      <c:catAx>
        <c:axId val="13704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051136"/>
        <c:crosses val="autoZero"/>
        <c:auto val="1"/>
        <c:lblAlgn val="ctr"/>
        <c:lblOffset val="100"/>
        <c:noMultiLvlLbl val="0"/>
      </c:catAx>
      <c:valAx>
        <c:axId val="1370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04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15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22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411584"/>
        <c:axId val="137413376"/>
      </c:barChart>
      <c:catAx>
        <c:axId val="13741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13376"/>
        <c:crosses val="autoZero"/>
        <c:auto val="1"/>
        <c:lblAlgn val="ctr"/>
        <c:lblOffset val="100"/>
        <c:noMultiLvlLbl val="0"/>
      </c:catAx>
      <c:valAx>
        <c:axId val="13741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41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8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18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10912"/>
        <c:axId val="86712704"/>
      </c:barChart>
      <c:catAx>
        <c:axId val="867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12704"/>
        <c:crosses val="autoZero"/>
        <c:auto val="1"/>
        <c:lblAlgn val="ctr"/>
        <c:lblOffset val="100"/>
        <c:noMultiLvlLbl val="0"/>
      </c:catAx>
      <c:valAx>
        <c:axId val="8671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1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22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21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208000"/>
        <c:axId val="138209536"/>
      </c:barChart>
      <c:catAx>
        <c:axId val="1382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209536"/>
        <c:crosses val="autoZero"/>
        <c:auto val="1"/>
        <c:lblAlgn val="ctr"/>
        <c:lblOffset val="100"/>
        <c:noMultiLvlLbl val="0"/>
      </c:catAx>
      <c:valAx>
        <c:axId val="13820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20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22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17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18432"/>
        <c:axId val="138440704"/>
      </c:barChart>
      <c:catAx>
        <c:axId val="1384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40704"/>
        <c:crosses val="autoZero"/>
        <c:auto val="1"/>
        <c:lblAlgn val="ctr"/>
        <c:lblOffset val="100"/>
        <c:noMultiLvlLbl val="0"/>
      </c:catAx>
      <c:valAx>
        <c:axId val="1384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1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22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13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34688"/>
        <c:axId val="139236480"/>
      </c:barChart>
      <c:catAx>
        <c:axId val="13923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36480"/>
        <c:crosses val="autoZero"/>
        <c:auto val="1"/>
        <c:lblAlgn val="ctr"/>
        <c:lblOffset val="100"/>
        <c:noMultiLvlLbl val="0"/>
      </c:catAx>
      <c:valAx>
        <c:axId val="13923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3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22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18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79456"/>
        <c:axId val="139380992"/>
      </c:barChart>
      <c:catAx>
        <c:axId val="1393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80992"/>
        <c:crosses val="autoZero"/>
        <c:auto val="1"/>
        <c:lblAlgn val="ctr"/>
        <c:lblOffset val="100"/>
        <c:noMultiLvlLbl val="0"/>
      </c:catAx>
      <c:valAx>
        <c:axId val="13938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7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13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179712"/>
        <c:axId val="140779520"/>
      </c:barChart>
      <c:catAx>
        <c:axId val="1401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79520"/>
        <c:crosses val="autoZero"/>
        <c:auto val="1"/>
        <c:lblAlgn val="ctr"/>
        <c:lblOffset val="100"/>
        <c:noMultiLvlLbl val="0"/>
      </c:catAx>
      <c:valAx>
        <c:axId val="1407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17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20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008256"/>
        <c:axId val="141010048"/>
      </c:barChart>
      <c:catAx>
        <c:axId val="1410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10048"/>
        <c:crosses val="autoZero"/>
        <c:auto val="1"/>
        <c:lblAlgn val="ctr"/>
        <c:lblOffset val="100"/>
        <c:noMultiLvlLbl val="0"/>
      </c:catAx>
      <c:valAx>
        <c:axId val="1410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00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12</c:v>
                </c:pt>
                <c:pt idx="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296384"/>
        <c:axId val="141297920"/>
      </c:barChart>
      <c:catAx>
        <c:axId val="1412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97920"/>
        <c:crosses val="autoZero"/>
        <c:auto val="1"/>
        <c:lblAlgn val="ctr"/>
        <c:lblOffset val="100"/>
        <c:noMultiLvlLbl val="0"/>
      </c:catAx>
      <c:valAx>
        <c:axId val="14129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29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13</c:v>
                </c:pt>
                <c:pt idx="1">
                  <c:v>0</c:v>
                </c:pt>
                <c:pt idx="2">
                  <c:v>8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22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13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596544"/>
        <c:axId val="141598080"/>
      </c:barChart>
      <c:catAx>
        <c:axId val="1415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598080"/>
        <c:crosses val="autoZero"/>
        <c:auto val="1"/>
        <c:lblAlgn val="ctr"/>
        <c:lblOffset val="100"/>
        <c:noMultiLvlLbl val="0"/>
      </c:catAx>
      <c:valAx>
        <c:axId val="1415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5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22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868032"/>
        <c:axId val="141882112"/>
      </c:barChart>
      <c:catAx>
        <c:axId val="1418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82112"/>
        <c:crosses val="autoZero"/>
        <c:auto val="1"/>
        <c:lblAlgn val="ctr"/>
        <c:lblOffset val="100"/>
        <c:noMultiLvlLbl val="0"/>
      </c:catAx>
      <c:valAx>
        <c:axId val="14188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6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22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5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311808"/>
        <c:axId val="142313344"/>
      </c:barChart>
      <c:catAx>
        <c:axId val="1423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313344"/>
        <c:crosses val="autoZero"/>
        <c:auto val="1"/>
        <c:lblAlgn val="ctr"/>
        <c:lblOffset val="100"/>
        <c:noMultiLvlLbl val="0"/>
      </c:catAx>
      <c:valAx>
        <c:axId val="14231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3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096768"/>
        <c:axId val="88098304"/>
      </c:barChart>
      <c:catAx>
        <c:axId val="8809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98304"/>
        <c:crosses val="autoZero"/>
        <c:auto val="1"/>
        <c:lblAlgn val="ctr"/>
        <c:lblOffset val="100"/>
        <c:noMultiLvlLbl val="0"/>
      </c:catAx>
      <c:valAx>
        <c:axId val="88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9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873536"/>
        <c:axId val="143875072"/>
      </c:barChart>
      <c:catAx>
        <c:axId val="14387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75072"/>
        <c:crosses val="autoZero"/>
        <c:auto val="1"/>
        <c:lblAlgn val="ctr"/>
        <c:lblOffset val="100"/>
        <c:noMultiLvlLbl val="0"/>
      </c:catAx>
      <c:valAx>
        <c:axId val="14387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87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13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69600"/>
        <c:axId val="144515456"/>
      </c:barChart>
      <c:catAx>
        <c:axId val="14416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515456"/>
        <c:crosses val="autoZero"/>
        <c:auto val="1"/>
        <c:lblAlgn val="ctr"/>
        <c:lblOffset val="100"/>
        <c:noMultiLvlLbl val="0"/>
      </c:catAx>
      <c:valAx>
        <c:axId val="14451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6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10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9</c:v>
                </c:pt>
                <c:pt idx="5">
                  <c:v>14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608704"/>
        <c:axId val="145610240"/>
      </c:barChart>
      <c:catAx>
        <c:axId val="1456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610240"/>
        <c:crosses val="autoZero"/>
        <c:auto val="1"/>
        <c:lblAlgn val="ctr"/>
        <c:lblOffset val="100"/>
        <c:noMultiLvlLbl val="0"/>
      </c:catAx>
      <c:valAx>
        <c:axId val="14561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60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17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175104"/>
        <c:axId val="146176640"/>
      </c:barChart>
      <c:catAx>
        <c:axId val="14617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176640"/>
        <c:crosses val="autoZero"/>
        <c:auto val="1"/>
        <c:lblAlgn val="ctr"/>
        <c:lblOffset val="100"/>
        <c:noMultiLvlLbl val="0"/>
      </c:catAx>
      <c:valAx>
        <c:axId val="14617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17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10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4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446592"/>
        <c:axId val="146452480"/>
      </c:barChart>
      <c:catAx>
        <c:axId val="1464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52480"/>
        <c:crosses val="autoZero"/>
        <c:auto val="1"/>
        <c:lblAlgn val="ctr"/>
        <c:lblOffset val="100"/>
        <c:noMultiLvlLbl val="0"/>
      </c:catAx>
      <c:valAx>
        <c:axId val="14645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4</c:v>
                </c:pt>
                <c:pt idx="1">
                  <c:v>43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7853312"/>
        <c:axId val="147854848"/>
      </c:barChart>
      <c:catAx>
        <c:axId val="14785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854848"/>
        <c:crosses val="autoZero"/>
        <c:auto val="1"/>
        <c:lblAlgn val="ctr"/>
        <c:lblOffset val="100"/>
        <c:noMultiLvlLbl val="0"/>
      </c:catAx>
      <c:valAx>
        <c:axId val="14785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85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1</c:v>
                </c:pt>
                <c:pt idx="1">
                  <c:v>43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4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82144"/>
        <c:axId val="148183680"/>
      </c:barChart>
      <c:catAx>
        <c:axId val="1481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83680"/>
        <c:crosses val="autoZero"/>
        <c:auto val="1"/>
        <c:lblAlgn val="ctr"/>
        <c:lblOffset val="100"/>
        <c:noMultiLvlLbl val="0"/>
      </c:catAx>
      <c:valAx>
        <c:axId val="14818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8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8</c:v>
                </c:pt>
                <c:pt idx="1">
                  <c:v>10</c:v>
                </c:pt>
                <c:pt idx="2">
                  <c:v>8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6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424960"/>
        <c:axId val="148426752"/>
      </c:barChart>
      <c:catAx>
        <c:axId val="1484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426752"/>
        <c:crosses val="autoZero"/>
        <c:auto val="1"/>
        <c:lblAlgn val="ctr"/>
        <c:lblOffset val="100"/>
        <c:noMultiLvlLbl val="0"/>
      </c:catAx>
      <c:valAx>
        <c:axId val="14842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42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6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007744"/>
        <c:axId val="149009536"/>
      </c:barChart>
      <c:catAx>
        <c:axId val="1490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09536"/>
        <c:crosses val="autoZero"/>
        <c:auto val="1"/>
        <c:lblAlgn val="ctr"/>
        <c:lblOffset val="100"/>
        <c:noMultiLvlLbl val="0"/>
      </c:catAx>
      <c:valAx>
        <c:axId val="14900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0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7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618304"/>
        <c:axId val="151619840"/>
      </c:barChart>
      <c:catAx>
        <c:axId val="1516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19840"/>
        <c:crosses val="autoZero"/>
        <c:auto val="1"/>
        <c:lblAlgn val="ctr"/>
        <c:lblOffset val="100"/>
        <c:noMultiLvlLbl val="0"/>
      </c:catAx>
      <c:valAx>
        <c:axId val="15161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1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9</c:v>
                </c:pt>
                <c:pt idx="5">
                  <c:v>18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79840"/>
        <c:axId val="88181376"/>
      </c:barChart>
      <c:catAx>
        <c:axId val="881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81376"/>
        <c:crosses val="autoZero"/>
        <c:auto val="1"/>
        <c:lblAlgn val="ctr"/>
        <c:lblOffset val="100"/>
        <c:noMultiLvlLbl val="0"/>
      </c:catAx>
      <c:valAx>
        <c:axId val="8818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7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6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336256"/>
        <c:axId val="152337792"/>
      </c:barChart>
      <c:catAx>
        <c:axId val="1523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7792"/>
        <c:crosses val="autoZero"/>
        <c:auto val="1"/>
        <c:lblAlgn val="ctr"/>
        <c:lblOffset val="100"/>
        <c:noMultiLvlLbl val="0"/>
      </c:catAx>
      <c:valAx>
        <c:axId val="15233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9</c:v>
                </c:pt>
                <c:pt idx="2">
                  <c:v>21</c:v>
                </c:pt>
                <c:pt idx="3">
                  <c:v>17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47712"/>
        <c:axId val="152961792"/>
      </c:barChart>
      <c:catAx>
        <c:axId val="1529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61792"/>
        <c:crosses val="autoZero"/>
        <c:auto val="1"/>
        <c:lblAlgn val="ctr"/>
        <c:lblOffset val="100"/>
        <c:noMultiLvlLbl val="0"/>
      </c:catAx>
      <c:valAx>
        <c:axId val="15296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54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75072"/>
        <c:axId val="153076864"/>
      </c:barChart>
      <c:catAx>
        <c:axId val="1530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76864"/>
        <c:crosses val="autoZero"/>
        <c:auto val="1"/>
        <c:lblAlgn val="ctr"/>
        <c:lblOffset val="100"/>
        <c:noMultiLvlLbl val="0"/>
      </c:catAx>
      <c:valAx>
        <c:axId val="1530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7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32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399296"/>
        <c:axId val="153400832"/>
      </c:barChart>
      <c:catAx>
        <c:axId val="1533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400832"/>
        <c:crosses val="autoZero"/>
        <c:auto val="1"/>
        <c:lblAlgn val="ctr"/>
        <c:lblOffset val="100"/>
        <c:noMultiLvlLbl val="0"/>
      </c:catAx>
      <c:valAx>
        <c:axId val="15340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39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16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01184"/>
        <c:axId val="154302720"/>
      </c:barChart>
      <c:catAx>
        <c:axId val="1543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02720"/>
        <c:crosses val="autoZero"/>
        <c:auto val="1"/>
        <c:lblAlgn val="ctr"/>
        <c:lblOffset val="100"/>
        <c:noMultiLvlLbl val="0"/>
      </c:catAx>
      <c:valAx>
        <c:axId val="15430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0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15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38144"/>
        <c:axId val="160439680"/>
      </c:barChart>
      <c:catAx>
        <c:axId val="1604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39680"/>
        <c:crosses val="autoZero"/>
        <c:auto val="1"/>
        <c:lblAlgn val="ctr"/>
        <c:lblOffset val="100"/>
        <c:noMultiLvlLbl val="0"/>
      </c:catAx>
      <c:valAx>
        <c:axId val="16043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3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828416"/>
        <c:axId val="160850688"/>
      </c:barChart>
      <c:catAx>
        <c:axId val="1608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50688"/>
        <c:crosses val="autoZero"/>
        <c:auto val="1"/>
        <c:lblAlgn val="ctr"/>
        <c:lblOffset val="100"/>
        <c:noMultiLvlLbl val="0"/>
      </c:catAx>
      <c:valAx>
        <c:axId val="16085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82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28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358208"/>
        <c:axId val="161359744"/>
      </c:barChart>
      <c:catAx>
        <c:axId val="1613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9744"/>
        <c:crosses val="autoZero"/>
        <c:auto val="1"/>
        <c:lblAlgn val="ctr"/>
        <c:lblOffset val="100"/>
        <c:noMultiLvlLbl val="0"/>
      </c:catAx>
      <c:valAx>
        <c:axId val="16135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28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32640"/>
        <c:axId val="163634176"/>
      </c:barChart>
      <c:catAx>
        <c:axId val="1636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34176"/>
        <c:crosses val="autoZero"/>
        <c:auto val="1"/>
        <c:lblAlgn val="ctr"/>
        <c:lblOffset val="100"/>
        <c:noMultiLvlLbl val="0"/>
      </c:catAx>
      <c:valAx>
        <c:axId val="16363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3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407936"/>
        <c:axId val="164409728"/>
      </c:barChart>
      <c:catAx>
        <c:axId val="1644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9728"/>
        <c:crosses val="autoZero"/>
        <c:auto val="1"/>
        <c:lblAlgn val="ctr"/>
        <c:lblOffset val="100"/>
        <c:noMultiLvlLbl val="0"/>
      </c:catAx>
      <c:valAx>
        <c:axId val="1644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40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76288"/>
        <c:axId val="164877824"/>
      </c:barChart>
      <c:catAx>
        <c:axId val="164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7824"/>
        <c:crosses val="autoZero"/>
        <c:auto val="1"/>
        <c:lblAlgn val="ctr"/>
        <c:lblOffset val="100"/>
        <c:noMultiLvlLbl val="0"/>
      </c:catAx>
      <c:valAx>
        <c:axId val="1648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49472"/>
        <c:axId val="165051008"/>
      </c:barChart>
      <c:catAx>
        <c:axId val="1650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51008"/>
        <c:crosses val="autoZero"/>
        <c:auto val="1"/>
        <c:lblAlgn val="ctr"/>
        <c:lblOffset val="100"/>
        <c:noMultiLvlLbl val="0"/>
      </c:catAx>
      <c:valAx>
        <c:axId val="1650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4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19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56128"/>
        <c:axId val="88662016"/>
      </c:barChart>
      <c:catAx>
        <c:axId val="8865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62016"/>
        <c:crosses val="autoZero"/>
        <c:auto val="1"/>
        <c:lblAlgn val="ctr"/>
        <c:lblOffset val="100"/>
        <c:noMultiLvlLbl val="0"/>
      </c:catAx>
      <c:valAx>
        <c:axId val="8866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5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11</c:v>
                </c:pt>
                <c:pt idx="5">
                  <c:v>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92288"/>
        <c:axId val="165314560"/>
      </c:barChart>
      <c:catAx>
        <c:axId val="1652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314560"/>
        <c:crosses val="autoZero"/>
        <c:auto val="1"/>
        <c:lblAlgn val="ctr"/>
        <c:lblOffset val="100"/>
        <c:noMultiLvlLbl val="0"/>
      </c:catAx>
      <c:valAx>
        <c:axId val="16531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9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11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916096"/>
        <c:axId val="166917632"/>
      </c:barChart>
      <c:catAx>
        <c:axId val="1669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917632"/>
        <c:crosses val="autoZero"/>
        <c:auto val="1"/>
        <c:lblAlgn val="ctr"/>
        <c:lblOffset val="100"/>
        <c:noMultiLvlLbl val="0"/>
      </c:catAx>
      <c:valAx>
        <c:axId val="16691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91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30784"/>
        <c:axId val="169032320"/>
      </c:barChart>
      <c:catAx>
        <c:axId val="16903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32320"/>
        <c:crosses val="autoZero"/>
        <c:auto val="1"/>
        <c:lblAlgn val="ctr"/>
        <c:lblOffset val="100"/>
        <c:noMultiLvlLbl val="0"/>
      </c:catAx>
      <c:valAx>
        <c:axId val="16903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3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265408"/>
        <c:axId val="169476096"/>
      </c:barChart>
      <c:catAx>
        <c:axId val="1692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476096"/>
        <c:crosses val="autoZero"/>
        <c:auto val="1"/>
        <c:lblAlgn val="ctr"/>
        <c:lblOffset val="100"/>
        <c:noMultiLvlLbl val="0"/>
      </c:catAx>
      <c:valAx>
        <c:axId val="16947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6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11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315136"/>
        <c:axId val="170468480"/>
      </c:barChart>
      <c:catAx>
        <c:axId val="17031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468480"/>
        <c:crosses val="autoZero"/>
        <c:auto val="1"/>
        <c:lblAlgn val="ctr"/>
        <c:lblOffset val="100"/>
        <c:noMultiLvlLbl val="0"/>
      </c:catAx>
      <c:valAx>
        <c:axId val="17046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315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8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623744"/>
        <c:axId val="170625280"/>
      </c:barChart>
      <c:catAx>
        <c:axId val="1706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25280"/>
        <c:crosses val="autoZero"/>
        <c:auto val="1"/>
        <c:lblAlgn val="ctr"/>
        <c:lblOffset val="100"/>
        <c:noMultiLvlLbl val="0"/>
      </c:catAx>
      <c:valAx>
        <c:axId val="17062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2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545920"/>
        <c:axId val="172547456"/>
      </c:barChart>
      <c:catAx>
        <c:axId val="1725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47456"/>
        <c:crosses val="autoZero"/>
        <c:auto val="1"/>
        <c:lblAlgn val="ctr"/>
        <c:lblOffset val="100"/>
        <c:noMultiLvlLbl val="0"/>
      </c:catAx>
      <c:valAx>
        <c:axId val="17254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4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12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16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42400"/>
        <c:axId val="173548288"/>
      </c:barChart>
      <c:catAx>
        <c:axId val="17354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48288"/>
        <c:crosses val="autoZero"/>
        <c:auto val="1"/>
        <c:lblAlgn val="ctr"/>
        <c:lblOffset val="100"/>
        <c:noMultiLvlLbl val="0"/>
      </c:catAx>
      <c:valAx>
        <c:axId val="173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4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14</c:v>
                </c:pt>
                <c:pt idx="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83776"/>
        <c:axId val="173885312"/>
      </c:barChart>
      <c:catAx>
        <c:axId val="1738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85312"/>
        <c:crosses val="autoZero"/>
        <c:auto val="1"/>
        <c:lblAlgn val="ctr"/>
        <c:lblOffset val="100"/>
        <c:noMultiLvlLbl val="0"/>
      </c:catAx>
      <c:valAx>
        <c:axId val="17388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8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249856"/>
        <c:axId val="174251392"/>
      </c:barChart>
      <c:catAx>
        <c:axId val="17424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51392"/>
        <c:crosses val="autoZero"/>
        <c:auto val="1"/>
        <c:lblAlgn val="ctr"/>
        <c:lblOffset val="100"/>
        <c:noMultiLvlLbl val="0"/>
      </c:catAx>
      <c:valAx>
        <c:axId val="1742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4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8</c:v>
                </c:pt>
                <c:pt idx="1">
                  <c:v>9</c:v>
                </c:pt>
                <c:pt idx="2">
                  <c:v>1</c:v>
                </c:pt>
                <c:pt idx="3">
                  <c:v>3</c:v>
                </c:pt>
                <c:pt idx="4">
                  <c:v>19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88352"/>
        <c:axId val="88794240"/>
      </c:barChart>
      <c:catAx>
        <c:axId val="887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94240"/>
        <c:crosses val="autoZero"/>
        <c:auto val="1"/>
        <c:lblAlgn val="ctr"/>
        <c:lblOffset val="100"/>
        <c:noMultiLvlLbl val="0"/>
      </c:catAx>
      <c:valAx>
        <c:axId val="8879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8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43072"/>
        <c:axId val="176644864"/>
      </c:barChart>
      <c:catAx>
        <c:axId val="1766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44864"/>
        <c:crosses val="autoZero"/>
        <c:auto val="1"/>
        <c:lblAlgn val="ctr"/>
        <c:lblOffset val="100"/>
        <c:noMultiLvlLbl val="0"/>
      </c:catAx>
      <c:valAx>
        <c:axId val="1766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4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  <c:pt idx="5">
                  <c:v>12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939392"/>
        <c:axId val="176940928"/>
      </c:barChart>
      <c:catAx>
        <c:axId val="1769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940928"/>
        <c:crosses val="autoZero"/>
        <c:auto val="1"/>
        <c:lblAlgn val="ctr"/>
        <c:lblOffset val="100"/>
        <c:noMultiLvlLbl val="0"/>
      </c:catAx>
      <c:valAx>
        <c:axId val="17694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93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477120"/>
        <c:axId val="177478656"/>
      </c:barChart>
      <c:catAx>
        <c:axId val="1774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78656"/>
        <c:crosses val="autoZero"/>
        <c:auto val="1"/>
        <c:lblAlgn val="ctr"/>
        <c:lblOffset val="100"/>
        <c:noMultiLvlLbl val="0"/>
      </c:catAx>
      <c:valAx>
        <c:axId val="17747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7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846912"/>
        <c:axId val="177860992"/>
      </c:barChart>
      <c:catAx>
        <c:axId val="1778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60992"/>
        <c:crosses val="autoZero"/>
        <c:auto val="1"/>
        <c:lblAlgn val="ctr"/>
        <c:lblOffset val="100"/>
        <c:noMultiLvlLbl val="0"/>
      </c:catAx>
      <c:valAx>
        <c:axId val="17786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4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45632"/>
        <c:axId val="178247168"/>
      </c:barChart>
      <c:catAx>
        <c:axId val="1782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47168"/>
        <c:crosses val="autoZero"/>
        <c:auto val="1"/>
        <c:lblAlgn val="ctr"/>
        <c:lblOffset val="100"/>
        <c:noMultiLvlLbl val="0"/>
      </c:catAx>
      <c:valAx>
        <c:axId val="17824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26016"/>
        <c:axId val="178727552"/>
      </c:barChart>
      <c:catAx>
        <c:axId val="17872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27552"/>
        <c:crosses val="autoZero"/>
        <c:auto val="1"/>
        <c:lblAlgn val="ctr"/>
        <c:lblOffset val="100"/>
        <c:noMultiLvlLbl val="0"/>
      </c:catAx>
      <c:valAx>
        <c:axId val="1787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2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36736"/>
        <c:axId val="182054912"/>
      </c:barChart>
      <c:catAx>
        <c:axId val="18203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54912"/>
        <c:crosses val="autoZero"/>
        <c:auto val="1"/>
        <c:lblAlgn val="ctr"/>
        <c:lblOffset val="100"/>
        <c:noMultiLvlLbl val="0"/>
      </c:catAx>
      <c:valAx>
        <c:axId val="18205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3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4</c:v>
                </c:pt>
                <c:pt idx="1">
                  <c:v>9</c:v>
                </c:pt>
                <c:pt idx="2">
                  <c:v>19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28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13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336896"/>
        <c:axId val="182355072"/>
      </c:barChart>
      <c:catAx>
        <c:axId val="18233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55072"/>
        <c:crosses val="autoZero"/>
        <c:auto val="1"/>
        <c:lblAlgn val="ctr"/>
        <c:lblOffset val="100"/>
        <c:noMultiLvlLbl val="0"/>
      </c:catAx>
      <c:valAx>
        <c:axId val="18235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3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28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12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3034624"/>
        <c:axId val="183036160"/>
      </c:barChart>
      <c:catAx>
        <c:axId val="1830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036160"/>
        <c:crosses val="autoZero"/>
        <c:auto val="1"/>
        <c:lblAlgn val="ctr"/>
        <c:lblOffset val="100"/>
        <c:noMultiLvlLbl val="0"/>
      </c:catAx>
      <c:valAx>
        <c:axId val="18303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03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2</c:v>
                </c:pt>
                <c:pt idx="1">
                  <c:v>8</c:v>
                </c:pt>
                <c:pt idx="2">
                  <c:v>4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16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673024"/>
        <c:axId val="186674560"/>
      </c:barChart>
      <c:catAx>
        <c:axId val="186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674560"/>
        <c:crosses val="autoZero"/>
        <c:auto val="1"/>
        <c:lblAlgn val="ctr"/>
        <c:lblOffset val="100"/>
        <c:noMultiLvlLbl val="0"/>
      </c:catAx>
      <c:valAx>
        <c:axId val="18667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6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382016"/>
        <c:axId val="187392000"/>
      </c:barChart>
      <c:catAx>
        <c:axId val="1873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392000"/>
        <c:crosses val="autoZero"/>
        <c:auto val="1"/>
        <c:lblAlgn val="ctr"/>
        <c:lblOffset val="100"/>
        <c:noMultiLvlLbl val="0"/>
      </c:catAx>
      <c:valAx>
        <c:axId val="18739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38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6</c:v>
                </c:pt>
                <c:pt idx="1">
                  <c:v>0</c:v>
                </c:pt>
                <c:pt idx="2">
                  <c:v>15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987136"/>
        <c:axId val="108988672"/>
      </c:barChart>
      <c:catAx>
        <c:axId val="1089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88672"/>
        <c:crosses val="autoZero"/>
        <c:auto val="1"/>
        <c:lblAlgn val="ctr"/>
        <c:lblOffset val="100"/>
        <c:noMultiLvlLbl val="0"/>
      </c:catAx>
      <c:valAx>
        <c:axId val="10898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98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44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40928"/>
        <c:axId val="188150912"/>
      </c:barChart>
      <c:catAx>
        <c:axId val="1881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50912"/>
        <c:crosses val="autoZero"/>
        <c:auto val="1"/>
        <c:lblAlgn val="ctr"/>
        <c:lblOffset val="100"/>
        <c:noMultiLvlLbl val="0"/>
      </c:catAx>
      <c:valAx>
        <c:axId val="18815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4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44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94592"/>
        <c:axId val="188496128"/>
      </c:barChart>
      <c:catAx>
        <c:axId val="18849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96128"/>
        <c:crosses val="autoZero"/>
        <c:auto val="1"/>
        <c:lblAlgn val="ctr"/>
        <c:lblOffset val="100"/>
        <c:noMultiLvlLbl val="0"/>
      </c:catAx>
      <c:valAx>
        <c:axId val="1884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9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44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27904"/>
        <c:axId val="188846080"/>
      </c:barChart>
      <c:catAx>
        <c:axId val="1888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46080"/>
        <c:crosses val="autoZero"/>
        <c:auto val="1"/>
        <c:lblAlgn val="ctr"/>
        <c:lblOffset val="100"/>
        <c:noMultiLvlLbl val="0"/>
      </c:catAx>
      <c:valAx>
        <c:axId val="18884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2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96704"/>
        <c:axId val="189506688"/>
      </c:barChart>
      <c:catAx>
        <c:axId val="1894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506688"/>
        <c:crosses val="autoZero"/>
        <c:auto val="1"/>
        <c:lblAlgn val="ctr"/>
        <c:lblOffset val="100"/>
        <c:noMultiLvlLbl val="0"/>
      </c:catAx>
      <c:valAx>
        <c:axId val="18950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9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44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33952"/>
        <c:axId val="192735488"/>
      </c:barChart>
      <c:catAx>
        <c:axId val="1927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35488"/>
        <c:crosses val="autoZero"/>
        <c:auto val="1"/>
        <c:lblAlgn val="ctr"/>
        <c:lblOffset val="100"/>
        <c:noMultiLvlLbl val="0"/>
      </c:catAx>
      <c:valAx>
        <c:axId val="19273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3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44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360064"/>
        <c:axId val="196361600"/>
      </c:barChart>
      <c:catAx>
        <c:axId val="1963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61600"/>
        <c:crosses val="autoZero"/>
        <c:auto val="1"/>
        <c:lblAlgn val="ctr"/>
        <c:lblOffset val="100"/>
        <c:noMultiLvlLbl val="0"/>
      </c:catAx>
      <c:valAx>
        <c:axId val="19636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36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30400"/>
        <c:axId val="198640384"/>
      </c:barChart>
      <c:catAx>
        <c:axId val="1986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40384"/>
        <c:crosses val="autoZero"/>
        <c:auto val="1"/>
        <c:lblAlgn val="ctr"/>
        <c:lblOffset val="100"/>
        <c:noMultiLvlLbl val="0"/>
      </c:catAx>
      <c:valAx>
        <c:axId val="19864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3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11</c:v>
                </c:pt>
                <c:pt idx="1">
                  <c:v>6</c:v>
                </c:pt>
                <c:pt idx="2">
                  <c:v>13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692672"/>
        <c:axId val="199694208"/>
      </c:barChart>
      <c:catAx>
        <c:axId val="1996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4208"/>
        <c:crosses val="autoZero"/>
        <c:auto val="1"/>
        <c:lblAlgn val="ctr"/>
        <c:lblOffset val="100"/>
        <c:noMultiLvlLbl val="0"/>
      </c:catAx>
      <c:valAx>
        <c:axId val="19969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69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243072"/>
        <c:axId val="200244608"/>
      </c:barChart>
      <c:catAx>
        <c:axId val="2002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44608"/>
        <c:crosses val="autoZero"/>
        <c:auto val="1"/>
        <c:lblAlgn val="ctr"/>
        <c:lblOffset val="100"/>
        <c:noMultiLvlLbl val="0"/>
      </c:catAx>
      <c:valAx>
        <c:axId val="2002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24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231360"/>
        <c:axId val="201249536"/>
      </c:barChart>
      <c:catAx>
        <c:axId val="2012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49536"/>
        <c:crosses val="autoZero"/>
        <c:auto val="1"/>
        <c:lblAlgn val="ctr"/>
        <c:lblOffset val="100"/>
        <c:noMultiLvlLbl val="0"/>
      </c:catAx>
      <c:valAx>
        <c:axId val="20124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23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17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09856"/>
        <c:axId val="109211648"/>
      </c:barChart>
      <c:catAx>
        <c:axId val="10920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11648"/>
        <c:crosses val="autoZero"/>
        <c:auto val="1"/>
        <c:lblAlgn val="ctr"/>
        <c:lblOffset val="100"/>
        <c:noMultiLvlLbl val="0"/>
      </c:catAx>
      <c:valAx>
        <c:axId val="10921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0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471552"/>
        <c:axId val="206473088"/>
      </c:barChart>
      <c:catAx>
        <c:axId val="2064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73088"/>
        <c:crosses val="autoZero"/>
        <c:auto val="1"/>
        <c:lblAlgn val="ctr"/>
        <c:lblOffset val="100"/>
        <c:noMultiLvlLbl val="0"/>
      </c:catAx>
      <c:valAx>
        <c:axId val="20647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47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18880"/>
        <c:axId val="207420416"/>
      </c:barChart>
      <c:catAx>
        <c:axId val="2074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20416"/>
        <c:crosses val="autoZero"/>
        <c:auto val="1"/>
        <c:lblAlgn val="ctr"/>
        <c:lblOffset val="100"/>
        <c:noMultiLvlLbl val="0"/>
      </c:catAx>
      <c:valAx>
        <c:axId val="20742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1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169600"/>
        <c:axId val="208183680"/>
      </c:barChart>
      <c:catAx>
        <c:axId val="20816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83680"/>
        <c:crosses val="autoZero"/>
        <c:auto val="1"/>
        <c:lblAlgn val="ctr"/>
        <c:lblOffset val="100"/>
        <c:noMultiLvlLbl val="0"/>
      </c:catAx>
      <c:valAx>
        <c:axId val="20818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16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207296"/>
        <c:axId val="209208832"/>
      </c:barChart>
      <c:catAx>
        <c:axId val="2092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08832"/>
        <c:crosses val="autoZero"/>
        <c:auto val="1"/>
        <c:lblAlgn val="ctr"/>
        <c:lblOffset val="100"/>
        <c:noMultiLvlLbl val="0"/>
      </c:catAx>
      <c:valAx>
        <c:axId val="2092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703296"/>
        <c:axId val="209704832"/>
      </c:barChart>
      <c:catAx>
        <c:axId val="2097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704832"/>
        <c:crosses val="autoZero"/>
        <c:auto val="1"/>
        <c:lblAlgn val="ctr"/>
        <c:lblOffset val="100"/>
        <c:noMultiLvlLbl val="0"/>
      </c:catAx>
      <c:valAx>
        <c:axId val="2097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70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41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515456"/>
        <c:axId val="210516992"/>
      </c:barChart>
      <c:catAx>
        <c:axId val="2105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16992"/>
        <c:crosses val="autoZero"/>
        <c:auto val="1"/>
        <c:lblAlgn val="ctr"/>
        <c:lblOffset val="100"/>
        <c:noMultiLvlLbl val="0"/>
      </c:catAx>
      <c:valAx>
        <c:axId val="21051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1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41</c:v>
                </c:pt>
                <c:pt idx="1">
                  <c:v>7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094144"/>
        <c:axId val="211120512"/>
      </c:barChart>
      <c:catAx>
        <c:axId val="2110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20512"/>
        <c:crosses val="autoZero"/>
        <c:auto val="1"/>
        <c:lblAlgn val="ctr"/>
        <c:lblOffset val="100"/>
        <c:noMultiLvlLbl val="0"/>
      </c:catAx>
      <c:valAx>
        <c:axId val="21112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9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8</c:v>
                </c:pt>
                <c:pt idx="1">
                  <c:v>6</c:v>
                </c:pt>
                <c:pt idx="2">
                  <c:v>17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41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554304"/>
        <c:axId val="211555840"/>
      </c:barChart>
      <c:catAx>
        <c:axId val="211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55840"/>
        <c:crosses val="autoZero"/>
        <c:auto val="1"/>
        <c:lblAlgn val="ctr"/>
        <c:lblOffset val="100"/>
        <c:noMultiLvlLbl val="0"/>
      </c:catAx>
      <c:valAx>
        <c:axId val="2115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5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41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497536"/>
        <c:axId val="212499072"/>
      </c:barChart>
      <c:catAx>
        <c:axId val="2124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499072"/>
        <c:crosses val="autoZero"/>
        <c:auto val="1"/>
        <c:lblAlgn val="ctr"/>
        <c:lblOffset val="100"/>
        <c:noMultiLvlLbl val="0"/>
      </c:catAx>
      <c:valAx>
        <c:axId val="21249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4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41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998208"/>
        <c:axId val="214012288"/>
      </c:barChart>
      <c:catAx>
        <c:axId val="2139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12288"/>
        <c:crosses val="autoZero"/>
        <c:auto val="1"/>
        <c:lblAlgn val="ctr"/>
        <c:lblOffset val="100"/>
        <c:noMultiLvlLbl val="0"/>
      </c:catAx>
      <c:valAx>
        <c:axId val="21401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9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8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3</c:v>
                </c:pt>
                <c:pt idx="3">
                  <c:v>4</c:v>
                </c:pt>
                <c:pt idx="4">
                  <c:v>16</c:v>
                </c:pt>
                <c:pt idx="5">
                  <c:v>14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67360"/>
        <c:axId val="109573248"/>
      </c:barChart>
      <c:catAx>
        <c:axId val="1095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73248"/>
        <c:crosses val="autoZero"/>
        <c:auto val="1"/>
        <c:lblAlgn val="ctr"/>
        <c:lblOffset val="100"/>
        <c:noMultiLvlLbl val="0"/>
      </c:catAx>
      <c:valAx>
        <c:axId val="10957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7</c:v>
                </c:pt>
                <c:pt idx="1">
                  <c:v>10</c:v>
                </c:pt>
                <c:pt idx="2">
                  <c:v>16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4</c:v>
                </c:pt>
                <c:pt idx="3">
                  <c:v>7</c:v>
                </c:pt>
                <c:pt idx="4">
                  <c:v>15</c:v>
                </c:pt>
                <c:pt idx="5">
                  <c:v>12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08800"/>
        <c:axId val="109710336"/>
      </c:barChart>
      <c:catAx>
        <c:axId val="1097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10336"/>
        <c:crosses val="autoZero"/>
        <c:auto val="1"/>
        <c:lblAlgn val="ctr"/>
        <c:lblOffset val="100"/>
        <c:noMultiLvlLbl val="0"/>
      </c:catAx>
      <c:valAx>
        <c:axId val="10971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0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52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62912"/>
        <c:axId val="84672896"/>
      </c:barChart>
      <c:catAx>
        <c:axId val="846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2896"/>
        <c:crosses val="autoZero"/>
        <c:auto val="1"/>
        <c:lblAlgn val="ctr"/>
        <c:lblOffset val="100"/>
        <c:noMultiLvlLbl val="0"/>
      </c:catAx>
      <c:valAx>
        <c:axId val="8467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6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11</c:v>
                </c:pt>
                <c:pt idx="1">
                  <c:v>8</c:v>
                </c:pt>
                <c:pt idx="2">
                  <c:v>15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13</c:v>
                </c:pt>
                <c:pt idx="5">
                  <c:v>25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90176"/>
        <c:axId val="109891968"/>
      </c:barChart>
      <c:catAx>
        <c:axId val="1098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1968"/>
        <c:crosses val="autoZero"/>
        <c:auto val="1"/>
        <c:lblAlgn val="ctr"/>
        <c:lblOffset val="100"/>
        <c:noMultiLvlLbl val="0"/>
      </c:catAx>
      <c:valAx>
        <c:axId val="1098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68416"/>
        <c:axId val="110269952"/>
      </c:barChart>
      <c:catAx>
        <c:axId val="1102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69952"/>
        <c:crosses val="autoZero"/>
        <c:auto val="1"/>
        <c:lblAlgn val="ctr"/>
        <c:lblOffset val="100"/>
        <c:noMultiLvlLbl val="0"/>
      </c:catAx>
      <c:valAx>
        <c:axId val="11026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6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8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11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503104"/>
        <c:axId val="117504640"/>
      </c:barChart>
      <c:catAx>
        <c:axId val="1175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504640"/>
        <c:crosses val="autoZero"/>
        <c:auto val="1"/>
        <c:lblAlgn val="ctr"/>
        <c:lblOffset val="100"/>
        <c:noMultiLvlLbl val="0"/>
      </c:catAx>
      <c:valAx>
        <c:axId val="1175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50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4</c:v>
                </c:pt>
                <c:pt idx="1">
                  <c:v>43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04256"/>
        <c:axId val="84710144"/>
      </c:barChart>
      <c:catAx>
        <c:axId val="847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10144"/>
        <c:crosses val="autoZero"/>
        <c:auto val="1"/>
        <c:lblAlgn val="ctr"/>
        <c:lblOffset val="100"/>
        <c:noMultiLvlLbl val="0"/>
      </c:catAx>
      <c:valAx>
        <c:axId val="84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11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2</c:v>
                </c:pt>
                <c:pt idx="4">
                  <c:v>9</c:v>
                </c:pt>
                <c:pt idx="5">
                  <c:v>20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50848"/>
        <c:axId val="119164928"/>
      </c:barChart>
      <c:catAx>
        <c:axId val="1191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64928"/>
        <c:crosses val="autoZero"/>
        <c:auto val="1"/>
        <c:lblAlgn val="ctr"/>
        <c:lblOffset val="100"/>
        <c:noMultiLvlLbl val="0"/>
      </c:catAx>
      <c:valAx>
        <c:axId val="11916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5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8</c:v>
                </c:pt>
                <c:pt idx="5">
                  <c:v>23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897088"/>
        <c:axId val="119911168"/>
      </c:barChart>
      <c:catAx>
        <c:axId val="1198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11168"/>
        <c:crosses val="autoZero"/>
        <c:auto val="1"/>
        <c:lblAlgn val="ctr"/>
        <c:lblOffset val="100"/>
        <c:noMultiLvlLbl val="0"/>
      </c:catAx>
      <c:valAx>
        <c:axId val="11991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9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41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72928"/>
        <c:axId val="120174464"/>
      </c:barChart>
      <c:catAx>
        <c:axId val="1201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74464"/>
        <c:crosses val="autoZero"/>
        <c:auto val="1"/>
        <c:lblAlgn val="ctr"/>
        <c:lblOffset val="100"/>
        <c:noMultiLvlLbl val="0"/>
      </c:catAx>
      <c:valAx>
        <c:axId val="1201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72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18464"/>
        <c:axId val="120720000"/>
      </c:barChart>
      <c:catAx>
        <c:axId val="1207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0000"/>
        <c:crosses val="autoZero"/>
        <c:auto val="1"/>
        <c:lblAlgn val="ctr"/>
        <c:lblOffset val="100"/>
        <c:noMultiLvlLbl val="0"/>
      </c:catAx>
      <c:valAx>
        <c:axId val="1207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9</c:v>
                </c:pt>
                <c:pt idx="1">
                  <c:v>1</c:v>
                </c:pt>
                <c:pt idx="2">
                  <c:v>7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19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12128"/>
        <c:axId val="121249792"/>
      </c:barChart>
      <c:catAx>
        <c:axId val="1209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49792"/>
        <c:crosses val="autoZero"/>
        <c:auto val="1"/>
        <c:lblAlgn val="ctr"/>
        <c:lblOffset val="100"/>
        <c:noMultiLvlLbl val="0"/>
      </c:catAx>
      <c:valAx>
        <c:axId val="1212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1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11</c:v>
                </c:pt>
                <c:pt idx="3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19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10</c:v>
                </c:pt>
                <c:pt idx="5">
                  <c:v>15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42016"/>
        <c:axId val="121943552"/>
      </c:barChart>
      <c:catAx>
        <c:axId val="1219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43552"/>
        <c:crosses val="autoZero"/>
        <c:auto val="1"/>
        <c:lblAlgn val="ctr"/>
        <c:lblOffset val="100"/>
        <c:noMultiLvlLbl val="0"/>
      </c:catAx>
      <c:valAx>
        <c:axId val="12194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4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6</c:v>
                </c:pt>
                <c:pt idx="1">
                  <c:v>1</c:v>
                </c:pt>
                <c:pt idx="2">
                  <c:v>10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19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10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44576"/>
        <c:axId val="122346112"/>
      </c:barChart>
      <c:catAx>
        <c:axId val="1223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6112"/>
        <c:crosses val="autoZero"/>
        <c:auto val="1"/>
        <c:lblAlgn val="ctr"/>
        <c:lblOffset val="100"/>
        <c:noMultiLvlLbl val="0"/>
      </c:catAx>
      <c:valAx>
        <c:axId val="12234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4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10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43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31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07296"/>
        <c:axId val="123625472"/>
      </c:barChart>
      <c:catAx>
        <c:axId val="1236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25472"/>
        <c:crosses val="autoZero"/>
        <c:auto val="1"/>
        <c:lblAlgn val="ctr"/>
        <c:lblOffset val="100"/>
        <c:noMultiLvlLbl val="0"/>
      </c:catAx>
      <c:valAx>
        <c:axId val="12362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0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19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81408"/>
        <c:axId val="123687296"/>
      </c:barChart>
      <c:catAx>
        <c:axId val="1236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87296"/>
        <c:crosses val="autoZero"/>
        <c:auto val="1"/>
        <c:lblAlgn val="ctr"/>
        <c:lblOffset val="100"/>
        <c:noMultiLvlLbl val="0"/>
      </c:catAx>
      <c:valAx>
        <c:axId val="12368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8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13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19</c:v>
                </c:pt>
                <c:pt idx="1">
                  <c:v>8</c:v>
                </c:pt>
                <c:pt idx="2">
                  <c:v>0</c:v>
                </c:pt>
                <c:pt idx="3">
                  <c:v>3</c:v>
                </c:pt>
                <c:pt idx="4">
                  <c:v>10</c:v>
                </c:pt>
                <c:pt idx="5">
                  <c:v>15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117376"/>
        <c:axId val="124118912"/>
      </c:barChart>
      <c:catAx>
        <c:axId val="12411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8912"/>
        <c:crosses val="autoZero"/>
        <c:auto val="1"/>
        <c:lblAlgn val="ctr"/>
        <c:lblOffset val="100"/>
        <c:noMultiLvlLbl val="0"/>
      </c:catAx>
      <c:valAx>
        <c:axId val="12411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19</c:v>
                </c:pt>
                <c:pt idx="1">
                  <c:v>4</c:v>
                </c:pt>
                <c:pt idx="2">
                  <c:v>1</c:v>
                </c:pt>
                <c:pt idx="3">
                  <c:v>7</c:v>
                </c:pt>
                <c:pt idx="4">
                  <c:v>12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58880"/>
        <c:axId val="124460416"/>
      </c:barChart>
      <c:catAx>
        <c:axId val="1244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60416"/>
        <c:crosses val="autoZero"/>
        <c:auto val="1"/>
        <c:lblAlgn val="ctr"/>
        <c:lblOffset val="100"/>
        <c:noMultiLvlLbl val="0"/>
      </c:catAx>
      <c:valAx>
        <c:axId val="12446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8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12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52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483520"/>
        <c:axId val="85485056"/>
      </c:barChart>
      <c:catAx>
        <c:axId val="854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85056"/>
        <c:crosses val="autoZero"/>
        <c:auto val="1"/>
        <c:lblAlgn val="ctr"/>
        <c:lblOffset val="100"/>
        <c:noMultiLvlLbl val="0"/>
      </c:catAx>
      <c:valAx>
        <c:axId val="8548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48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19</c:v>
                </c:pt>
                <c:pt idx="1">
                  <c:v>5</c:v>
                </c:pt>
                <c:pt idx="2">
                  <c:v>2</c:v>
                </c:pt>
                <c:pt idx="3">
                  <c:v>6</c:v>
                </c:pt>
                <c:pt idx="4">
                  <c:v>10</c:v>
                </c:pt>
                <c:pt idx="5">
                  <c:v>9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878208"/>
        <c:axId val="124892288"/>
      </c:barChart>
      <c:catAx>
        <c:axId val="1248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92288"/>
        <c:crosses val="autoZero"/>
        <c:auto val="1"/>
        <c:lblAlgn val="ctr"/>
        <c:lblOffset val="100"/>
        <c:noMultiLvlLbl val="0"/>
      </c:catAx>
      <c:valAx>
        <c:axId val="12489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87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8</c:v>
                </c:pt>
                <c:pt idx="1">
                  <c:v>5</c:v>
                </c:pt>
                <c:pt idx="2">
                  <c:v>10</c:v>
                </c:pt>
                <c:pt idx="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416192"/>
        <c:axId val="125417728"/>
      </c:barChart>
      <c:catAx>
        <c:axId val="12541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7728"/>
        <c:crosses val="autoZero"/>
        <c:auto val="1"/>
        <c:lblAlgn val="ctr"/>
        <c:lblOffset val="100"/>
        <c:noMultiLvlLbl val="0"/>
      </c:catAx>
      <c:valAx>
        <c:axId val="125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6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314752"/>
        <c:axId val="126324736"/>
      </c:barChart>
      <c:catAx>
        <c:axId val="1263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24736"/>
        <c:crosses val="autoZero"/>
        <c:auto val="1"/>
        <c:lblAlgn val="ctr"/>
        <c:lblOffset val="100"/>
        <c:noMultiLvlLbl val="0"/>
      </c:catAx>
      <c:valAx>
        <c:axId val="12632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31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28544"/>
        <c:axId val="126830080"/>
      </c:barChart>
      <c:catAx>
        <c:axId val="126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30080"/>
        <c:crosses val="autoZero"/>
        <c:auto val="1"/>
        <c:lblAlgn val="ctr"/>
        <c:lblOffset val="100"/>
        <c:noMultiLvlLbl val="0"/>
      </c:catAx>
      <c:valAx>
        <c:axId val="12683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67648"/>
        <c:axId val="127069184"/>
      </c:barChart>
      <c:catAx>
        <c:axId val="1270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69184"/>
        <c:crosses val="autoZero"/>
        <c:auto val="1"/>
        <c:lblAlgn val="ctr"/>
        <c:lblOffset val="100"/>
        <c:noMultiLvlLbl val="0"/>
      </c:catAx>
      <c:valAx>
        <c:axId val="12706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6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70208"/>
        <c:axId val="127472000"/>
      </c:barChart>
      <c:catAx>
        <c:axId val="1274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2000"/>
        <c:crosses val="autoZero"/>
        <c:auto val="1"/>
        <c:lblAlgn val="ctr"/>
        <c:lblOffset val="100"/>
        <c:noMultiLvlLbl val="0"/>
      </c:catAx>
      <c:valAx>
        <c:axId val="12747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7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23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556992"/>
        <c:axId val="127558784"/>
      </c:barChart>
      <c:catAx>
        <c:axId val="12755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58784"/>
        <c:crosses val="autoZero"/>
        <c:auto val="1"/>
        <c:lblAlgn val="ctr"/>
        <c:lblOffset val="100"/>
        <c:noMultiLvlLbl val="0"/>
      </c:catAx>
      <c:valAx>
        <c:axId val="12755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55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23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12</c:v>
                </c:pt>
                <c:pt idx="5">
                  <c:v>14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55008"/>
        <c:axId val="127756544"/>
      </c:barChart>
      <c:catAx>
        <c:axId val="1277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56544"/>
        <c:crosses val="autoZero"/>
        <c:auto val="1"/>
        <c:lblAlgn val="ctr"/>
        <c:lblOffset val="100"/>
        <c:noMultiLvlLbl val="0"/>
      </c:catAx>
      <c:valAx>
        <c:axId val="12775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5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7E8496-4F70-4EF2-A941-6579912ABF8B}"/>
            </a:ext>
            <a:ext uri="{147F2762-F138-4A5C-976F-8EAC2B608ADB}">
              <a16:predDERef xmlns:a16="http://schemas.microsoft.com/office/drawing/2014/main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83D8115-A8B0-410A-BA89-380AD5DD4AC2}"/>
            </a:ext>
            <a:ext uri="{147F2762-F138-4A5C-976F-8EAC2B608ADB}">
              <a16:predDERef xmlns:a16="http://schemas.microsoft.com/office/drawing/2014/main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5D2AD77-8B49-43DE-BE10-DDE228795AA6}"/>
            </a:ext>
            <a:ext uri="{147F2762-F138-4A5C-976F-8EAC2B608ADB}">
              <a16:predDERef xmlns:a16="http://schemas.microsoft.com/office/drawing/2014/main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CC3BBDD-A8AC-4205-A5C5-25A24C5D7A82}"/>
            </a:ext>
            <a:ext uri="{147F2762-F138-4A5C-976F-8EAC2B608ADB}">
              <a16:predDERef xmlns:a16="http://schemas.microsoft.com/office/drawing/2014/main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A7C6385-D65E-4DD2-A399-49C744922DFA}"/>
            </a:ext>
            <a:ext uri="{147F2762-F138-4A5C-976F-8EAC2B608ADB}">
              <a16:predDERef xmlns:a16="http://schemas.microsoft.com/office/drawing/2014/main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CCE967D6-C1EE-4320-AE93-F8A6A259D27B}"/>
            </a:ext>
            <a:ext uri="{147F2762-F138-4A5C-976F-8EAC2B608ADB}">
              <a16:predDERef xmlns:a16="http://schemas.microsoft.com/office/drawing/2014/main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C5AD7BE-6EC3-4EFA-ABA4-D2616AF5344A}"/>
            </a:ext>
            <a:ext uri="{147F2762-F138-4A5C-976F-8EAC2B608ADB}">
              <a16:predDERef xmlns:a16="http://schemas.microsoft.com/office/drawing/2014/main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F68AC53A-6ED3-4644-8702-57C182D878A8}"/>
            </a:ext>
            <a:ext uri="{147F2762-F138-4A5C-976F-8EAC2B608ADB}">
              <a16:predDERef xmlns:a16="http://schemas.microsoft.com/office/drawing/2014/main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246A800-DB74-4A9E-AD76-63BC5D8BB20C}"/>
            </a:ext>
            <a:ext uri="{147F2762-F138-4A5C-976F-8EAC2B608ADB}">
              <a16:predDERef xmlns:a16="http://schemas.microsoft.com/office/drawing/2014/main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F93C43A8-85FC-4456-9852-CB77BA2A9BB6}"/>
            </a:ext>
            <a:ext uri="{147F2762-F138-4A5C-976F-8EAC2B608ADB}">
              <a16:predDERef xmlns:a16="http://schemas.microsoft.com/office/drawing/2014/main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C439111-F52C-436D-812F-C424523F3E2E}"/>
            </a:ext>
            <a:ext uri="{147F2762-F138-4A5C-976F-8EAC2B608ADB}">
              <a16:predDERef xmlns:a16="http://schemas.microsoft.com/office/drawing/2014/main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1D9A6D4-3489-4D56-8A84-47D8F1759795}"/>
            </a:ext>
            <a:ext uri="{147F2762-F138-4A5C-976F-8EAC2B608ADB}">
              <a16:predDERef xmlns:a16="http://schemas.microsoft.com/office/drawing/2014/main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8489374-5D35-4E9C-821A-55CB695329CE}"/>
            </a:ext>
            <a:ext uri="{147F2762-F138-4A5C-976F-8EAC2B608ADB}">
              <a16:predDERef xmlns:a16="http://schemas.microsoft.com/office/drawing/2014/main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02D2FA1-B02C-481C-BE56-46C709F3288E}"/>
            </a:ext>
            <a:ext uri="{147F2762-F138-4A5C-976F-8EAC2B608ADB}">
              <a16:predDERef xmlns:a16="http://schemas.microsoft.com/office/drawing/2014/main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AB6561B-8860-4D25-988F-09726D07DB3B}"/>
            </a:ext>
            <a:ext uri="{147F2762-F138-4A5C-976F-8EAC2B608ADB}">
              <a16:predDERef xmlns:a16="http://schemas.microsoft.com/office/drawing/2014/main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C5BBBA5-131E-4162-B8CB-7BE2944B3AEC}"/>
            </a:ext>
            <a:ext uri="{147F2762-F138-4A5C-976F-8EAC2B608ADB}">
              <a16:predDERef xmlns:a16="http://schemas.microsoft.com/office/drawing/2014/main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2F57DE4-4A4F-41B6-8694-E47AA890809D}"/>
            </a:ext>
            <a:ext uri="{147F2762-F138-4A5C-976F-8EAC2B608ADB}">
              <a16:predDERef xmlns:a16="http://schemas.microsoft.com/office/drawing/2014/main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5FCE472-6C20-4946-A0F9-740A5CEF6EFC}"/>
            </a:ext>
            <a:ext uri="{147F2762-F138-4A5C-976F-8EAC2B608ADB}">
              <a16:predDERef xmlns:a16="http://schemas.microsoft.com/office/drawing/2014/main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8AFC9DB-2146-4499-B1FD-5257DEEFBE29}"/>
            </a:ext>
            <a:ext uri="{147F2762-F138-4A5C-976F-8EAC2B608ADB}">
              <a16:predDERef xmlns:a16="http://schemas.microsoft.com/office/drawing/2014/main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B634DAD-46D7-47EF-A394-117080B9F465}"/>
            </a:ext>
            <a:ext uri="{147F2762-F138-4A5C-976F-8EAC2B608ADB}">
              <a16:predDERef xmlns:a16="http://schemas.microsoft.com/office/drawing/2014/main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30FDA0C-0561-43D8-8CD3-098E696FAC31}"/>
            </a:ext>
            <a:ext uri="{147F2762-F138-4A5C-976F-8EAC2B608ADB}">
              <a16:predDERef xmlns:a16="http://schemas.microsoft.com/office/drawing/2014/main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453DF9F-CDD5-421E-A881-C9DAD01E3CF1}"/>
            </a:ext>
            <a:ext uri="{147F2762-F138-4A5C-976F-8EAC2B608ADB}">
              <a16:predDERef xmlns:a16="http://schemas.microsoft.com/office/drawing/2014/main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9E79F61-0B39-48CE-A8CA-F792D6C772B6}"/>
            </a:ext>
            <a:ext uri="{147F2762-F138-4A5C-976F-8EAC2B608ADB}">
              <a16:predDERef xmlns:a16="http://schemas.microsoft.com/office/drawing/2014/main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6E1629D-26A1-4AAB-B48B-E412A74C2A28}"/>
            </a:ext>
            <a:ext uri="{147F2762-F138-4A5C-976F-8EAC2B608ADB}">
              <a16:predDERef xmlns:a16="http://schemas.microsoft.com/office/drawing/2014/main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65A3151-F483-4AD5-8254-A00BE6E67508}"/>
            </a:ext>
            <a:ext uri="{147F2762-F138-4A5C-976F-8EAC2B608ADB}">
              <a16:predDERef xmlns:a16="http://schemas.microsoft.com/office/drawing/2014/main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6E3DED4-09B3-4EFC-867E-AB9F5C17262E}"/>
            </a:ext>
            <a:ext uri="{147F2762-F138-4A5C-976F-8EAC2B608ADB}">
              <a16:predDERef xmlns:a16="http://schemas.microsoft.com/office/drawing/2014/main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C574363-9E72-4659-B290-38A2B207522E}"/>
            </a:ext>
            <a:ext uri="{147F2762-F138-4A5C-976F-8EAC2B608ADB}">
              <a16:predDERef xmlns:a16="http://schemas.microsoft.com/office/drawing/2014/main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5D435B5-4DC2-4CAA-995C-88DAED646FFE}"/>
            </a:ext>
            <a:ext uri="{147F2762-F138-4A5C-976F-8EAC2B608ADB}">
              <a16:predDERef xmlns:a16="http://schemas.microsoft.com/office/drawing/2014/main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5571586-8F7A-4C1B-81E3-A2E9360D2FEB}"/>
            </a:ext>
            <a:ext uri="{147F2762-F138-4A5C-976F-8EAC2B608ADB}">
              <a16:predDERef xmlns:a16="http://schemas.microsoft.com/office/drawing/2014/main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04A82917-2329-4772-BD4D-62D2EF82C438}"/>
            </a:ext>
            <a:ext uri="{147F2762-F138-4A5C-976F-8EAC2B608ADB}">
              <a16:predDERef xmlns:a16="http://schemas.microsoft.com/office/drawing/2014/main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C6E1390-C49E-4861-BF4B-E9A76E66717D}"/>
            </a:ext>
            <a:ext uri="{147F2762-F138-4A5C-976F-8EAC2B608ADB}">
              <a16:predDERef xmlns:a16="http://schemas.microsoft.com/office/drawing/2014/main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9A926ED-EF94-487E-AF26-39354C42122E}"/>
            </a:ext>
            <a:ext uri="{147F2762-F138-4A5C-976F-8EAC2B608ADB}">
              <a16:predDERef xmlns:a16="http://schemas.microsoft.com/office/drawing/2014/main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04F9ACA-B3BF-4D23-A10C-C700E72AD98D}"/>
            </a:ext>
            <a:ext uri="{147F2762-F138-4A5C-976F-8EAC2B608ADB}">
              <a16:predDERef xmlns:a16="http://schemas.microsoft.com/office/drawing/2014/main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F047E4C-5B43-4E1D-82EE-33A0D220D4B7}"/>
            </a:ext>
            <a:ext uri="{147F2762-F138-4A5C-976F-8EAC2B608ADB}">
              <a16:predDERef xmlns:a16="http://schemas.microsoft.com/office/drawing/2014/main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35722A7-1846-458D-A1CE-90019F866A9E}"/>
            </a:ext>
            <a:ext uri="{147F2762-F138-4A5C-976F-8EAC2B608ADB}">
              <a16:predDERef xmlns:a16="http://schemas.microsoft.com/office/drawing/2014/main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0BABCEA-C94A-43E8-9A85-A6B738BAEFAF}"/>
            </a:ext>
            <a:ext uri="{147F2762-F138-4A5C-976F-8EAC2B608ADB}">
              <a16:predDERef xmlns:a16="http://schemas.microsoft.com/office/drawing/2014/main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041BC0D-8998-44EE-9CD2-120263D0B5AC}"/>
            </a:ext>
            <a:ext uri="{147F2762-F138-4A5C-976F-8EAC2B608ADB}">
              <a16:predDERef xmlns:a16="http://schemas.microsoft.com/office/drawing/2014/main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D704EDF-8B84-4CB0-BC86-489B9660D6CF}"/>
            </a:ext>
            <a:ext uri="{147F2762-F138-4A5C-976F-8EAC2B608ADB}">
              <a16:predDERef xmlns:a16="http://schemas.microsoft.com/office/drawing/2014/main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2FC8669-7616-4A60-9C47-825BEF1C6CBC}"/>
            </a:ext>
            <a:ext uri="{147F2762-F138-4A5C-976F-8EAC2B608ADB}">
              <a16:predDERef xmlns:a16="http://schemas.microsoft.com/office/drawing/2014/main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1A9F66B-13A7-43FA-A703-4C4A8750FDD2}"/>
            </a:ext>
            <a:ext uri="{147F2762-F138-4A5C-976F-8EAC2B608ADB}">
              <a16:predDERef xmlns:a16="http://schemas.microsoft.com/office/drawing/2014/main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03E3CBB-9AA9-47EF-B7A7-86451D182040}"/>
            </a:ext>
            <a:ext uri="{147F2762-F138-4A5C-976F-8EAC2B608ADB}">
              <a16:predDERef xmlns:a16="http://schemas.microsoft.com/office/drawing/2014/main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95C165E6-AA89-4FCD-ADE5-5D0ABC108EF7}"/>
            </a:ext>
            <a:ext uri="{147F2762-F138-4A5C-976F-8EAC2B608ADB}">
              <a16:predDERef xmlns:a16="http://schemas.microsoft.com/office/drawing/2014/main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DBFB4F1-1448-4B7D-AFD8-CF742D2A8494}"/>
            </a:ext>
            <a:ext uri="{147F2762-F138-4A5C-976F-8EAC2B608ADB}">
              <a16:predDERef xmlns:a16="http://schemas.microsoft.com/office/drawing/2014/main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5BC9E3F-C528-48EC-ACD3-92A4888A4352}"/>
            </a:ext>
            <a:ext uri="{147F2762-F138-4A5C-976F-8EAC2B608ADB}">
              <a16:predDERef xmlns:a16="http://schemas.microsoft.com/office/drawing/2014/main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09B5513-D633-481C-9EC3-29D6B6309CA0}"/>
            </a:ext>
            <a:ext uri="{147F2762-F138-4A5C-976F-8EAC2B608ADB}">
              <a16:predDERef xmlns:a16="http://schemas.microsoft.com/office/drawing/2014/main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B715294-8E9C-465D-B68F-AA3B1258428F}"/>
            </a:ext>
            <a:ext uri="{147F2762-F138-4A5C-976F-8EAC2B608ADB}">
              <a16:predDERef xmlns:a16="http://schemas.microsoft.com/office/drawing/2014/main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26DCA7B-F683-4D2F-9FA4-F22B75A1CB5B}"/>
            </a:ext>
            <a:ext uri="{147F2762-F138-4A5C-976F-8EAC2B608ADB}">
              <a16:predDERef xmlns:a16="http://schemas.microsoft.com/office/drawing/2014/main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898457F8-8A0A-4AC4-9A16-0A1D095C429C}"/>
            </a:ext>
            <a:ext uri="{147F2762-F138-4A5C-976F-8EAC2B608ADB}">
              <a16:predDERef xmlns:a16="http://schemas.microsoft.com/office/drawing/2014/main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E9B341B-73AD-4CCC-870B-2723B6CD233E}"/>
            </a:ext>
            <a:ext uri="{147F2762-F138-4A5C-976F-8EAC2B608ADB}">
              <a16:predDERef xmlns:a16="http://schemas.microsoft.com/office/drawing/2014/main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2EC4825-2B6F-4FA4-8E1F-5F1E91CA05E8}"/>
            </a:ext>
            <a:ext uri="{147F2762-F138-4A5C-976F-8EAC2B608ADB}">
              <a16:predDERef xmlns:a16="http://schemas.microsoft.com/office/drawing/2014/main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311D2FC-D0CC-4D8E-AED9-FE277EC2B9AD}"/>
            </a:ext>
            <a:ext uri="{147F2762-F138-4A5C-976F-8EAC2B608ADB}">
              <a16:predDERef xmlns:a16="http://schemas.microsoft.com/office/drawing/2014/main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B3B0576B-92F1-4217-9A66-D261E740B9D1}"/>
            </a:ext>
            <a:ext uri="{147F2762-F138-4A5C-976F-8EAC2B608ADB}">
              <a16:predDERef xmlns:a16="http://schemas.microsoft.com/office/drawing/2014/main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0C30C2A-16A1-4227-8252-2DA8F652165D}"/>
            </a:ext>
            <a:ext uri="{147F2762-F138-4A5C-976F-8EAC2B608ADB}">
              <a16:predDERef xmlns:a16="http://schemas.microsoft.com/office/drawing/2014/main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20DC494-8577-4B2B-BE8C-3F6543B0A7A0}"/>
            </a:ext>
            <a:ext uri="{147F2762-F138-4A5C-976F-8EAC2B608ADB}">
              <a16:predDERef xmlns:a16="http://schemas.microsoft.com/office/drawing/2014/main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AB7DF31-B8C7-4237-8158-99EBCC8AA847}"/>
            </a:ext>
            <a:ext uri="{147F2762-F138-4A5C-976F-8EAC2B608ADB}">
              <a16:predDERef xmlns:a16="http://schemas.microsoft.com/office/drawing/2014/main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CA0BA85-37ED-4F4D-B1E8-8640D5702D3B}"/>
            </a:ext>
            <a:ext uri="{147F2762-F138-4A5C-976F-8EAC2B608ADB}">
              <a16:predDERef xmlns:a16="http://schemas.microsoft.com/office/drawing/2014/main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3D2234C-769F-4739-A289-813312415B73}"/>
            </a:ext>
            <a:ext uri="{147F2762-F138-4A5C-976F-8EAC2B608ADB}">
              <a16:predDERef xmlns:a16="http://schemas.microsoft.com/office/drawing/2014/main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7483C76-09B8-437A-BE02-314BB3B43F5F}"/>
            </a:ext>
            <a:ext uri="{147F2762-F138-4A5C-976F-8EAC2B608ADB}">
              <a16:predDERef xmlns:a16="http://schemas.microsoft.com/office/drawing/2014/main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C825247-EF7F-43FF-B675-E8F19A6DC9ED}"/>
            </a:ext>
            <a:ext uri="{147F2762-F138-4A5C-976F-8EAC2B608ADB}">
              <a16:predDERef xmlns:a16="http://schemas.microsoft.com/office/drawing/2014/main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3754B3B-F272-49BF-9A59-FAE245B76C79}"/>
            </a:ext>
            <a:ext uri="{147F2762-F138-4A5C-976F-8EAC2B608ADB}">
              <a16:predDERef xmlns:a16="http://schemas.microsoft.com/office/drawing/2014/main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EA5E1A3-64F1-4DDA-8A33-80BB42E9D295}"/>
            </a:ext>
            <a:ext uri="{147F2762-F138-4A5C-976F-8EAC2B608ADB}">
              <a16:predDERef xmlns:a16="http://schemas.microsoft.com/office/drawing/2014/main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C9CFA50-6ACC-42C2-B690-E145AE0437F0}"/>
            </a:ext>
            <a:ext uri="{147F2762-F138-4A5C-976F-8EAC2B608ADB}">
              <a16:predDERef xmlns:a16="http://schemas.microsoft.com/office/drawing/2014/main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1AEC422-3C2B-4B8B-9208-F17E66738D18}"/>
            </a:ext>
            <a:ext uri="{147F2762-F138-4A5C-976F-8EAC2B608ADB}">
              <a16:predDERef xmlns:a16="http://schemas.microsoft.com/office/drawing/2014/main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2C980FD-3B45-4EE7-A8A0-3BA7C7929915}"/>
            </a:ext>
            <a:ext uri="{147F2762-F138-4A5C-976F-8EAC2B608ADB}">
              <a16:predDERef xmlns:a16="http://schemas.microsoft.com/office/drawing/2014/main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6000F23-E1B1-4872-8708-1846FA9A507C}"/>
            </a:ext>
            <a:ext uri="{147F2762-F138-4A5C-976F-8EAC2B608ADB}">
              <a16:predDERef xmlns:a16="http://schemas.microsoft.com/office/drawing/2014/main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973B3DC-1CD5-4BD9-86CF-FBEDEF5808EE}"/>
            </a:ext>
            <a:ext uri="{147F2762-F138-4A5C-976F-8EAC2B608ADB}">
              <a16:predDERef xmlns:a16="http://schemas.microsoft.com/office/drawing/2014/main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E170E85-6A66-4DD4-9D2D-6ACCD63B024E}"/>
            </a:ext>
            <a:ext uri="{147F2762-F138-4A5C-976F-8EAC2B608ADB}">
              <a16:predDERef xmlns:a16="http://schemas.microsoft.com/office/drawing/2014/main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0238A15-A122-4062-8DAD-099DE41A4D81}"/>
            </a:ext>
            <a:ext uri="{147F2762-F138-4A5C-976F-8EAC2B608ADB}">
              <a16:predDERef xmlns:a16="http://schemas.microsoft.com/office/drawing/2014/main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F210709-1624-41C9-B937-5A35F5C6ECCF}"/>
            </a:ext>
            <a:ext uri="{147F2762-F138-4A5C-976F-8EAC2B608ADB}">
              <a16:predDERef xmlns:a16="http://schemas.microsoft.com/office/drawing/2014/main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09DADD2-70DD-48AF-8115-1130A8A630BC}"/>
            </a:ext>
            <a:ext uri="{147F2762-F138-4A5C-976F-8EAC2B608ADB}">
              <a16:predDERef xmlns:a16="http://schemas.microsoft.com/office/drawing/2014/main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63A54E9-FB07-488F-A748-06CE8EF51415}"/>
            </a:ext>
            <a:ext uri="{147F2762-F138-4A5C-976F-8EAC2B608ADB}">
              <a16:predDERef xmlns:a16="http://schemas.microsoft.com/office/drawing/2014/main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CD6CE0A5-E247-4462-9FBB-C3AA2651F66B}"/>
            </a:ext>
            <a:ext uri="{147F2762-F138-4A5C-976F-8EAC2B608ADB}">
              <a16:predDERef xmlns:a16="http://schemas.microsoft.com/office/drawing/2014/main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369CA68-9510-4D0D-A544-17B2ED912DFC}"/>
            </a:ext>
            <a:ext uri="{147F2762-F138-4A5C-976F-8EAC2B608ADB}">
              <a16:predDERef xmlns:a16="http://schemas.microsoft.com/office/drawing/2014/main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BCB16FB-8461-4912-8AF3-960B5A4419C3}"/>
            </a:ext>
            <a:ext uri="{147F2762-F138-4A5C-976F-8EAC2B608ADB}">
              <a16:predDERef xmlns:a16="http://schemas.microsoft.com/office/drawing/2014/main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EF70805-32C2-435E-8956-FC7C973FF7EB}"/>
            </a:ext>
            <a:ext uri="{147F2762-F138-4A5C-976F-8EAC2B608ADB}">
              <a16:predDERef xmlns:a16="http://schemas.microsoft.com/office/drawing/2014/main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BC17CAFA-4FD0-42D8-8C89-ED258F21E857}"/>
            </a:ext>
            <a:ext uri="{147F2762-F138-4A5C-976F-8EAC2B608ADB}">
              <a16:predDERef xmlns:a16="http://schemas.microsoft.com/office/drawing/2014/main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FA7305B-5221-4D8A-8354-5CC27E11185E}"/>
            </a:ext>
            <a:ext uri="{147F2762-F138-4A5C-976F-8EAC2B608ADB}">
              <a16:predDERef xmlns:a16="http://schemas.microsoft.com/office/drawing/2014/main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5DE2789-4E78-42EA-BC7D-0116B19CE062}"/>
            </a:ext>
            <a:ext uri="{147F2762-F138-4A5C-976F-8EAC2B608ADB}">
              <a16:predDERef xmlns:a16="http://schemas.microsoft.com/office/drawing/2014/main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52DA2B6-82B9-40A6-A0A7-753D0852BC67}"/>
            </a:ext>
            <a:ext uri="{147F2762-F138-4A5C-976F-8EAC2B608ADB}">
              <a16:predDERef xmlns:a16="http://schemas.microsoft.com/office/drawing/2014/main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74A65B9-BF7B-42A3-9F02-09210C910EBC}"/>
            </a:ext>
            <a:ext uri="{147F2762-F138-4A5C-976F-8EAC2B608ADB}">
              <a16:predDERef xmlns:a16="http://schemas.microsoft.com/office/drawing/2014/main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7A55B21-891E-4BA8-A26A-67F196E9E819}"/>
            </a:ext>
            <a:ext uri="{147F2762-F138-4A5C-976F-8EAC2B608ADB}">
              <a16:predDERef xmlns:a16="http://schemas.microsoft.com/office/drawing/2014/main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5A58CE6-807A-4589-B6E3-75AB7204B57A}"/>
            </a:ext>
            <a:ext uri="{147F2762-F138-4A5C-976F-8EAC2B608ADB}">
              <a16:predDERef xmlns:a16="http://schemas.microsoft.com/office/drawing/2014/main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57B3E71-2164-4F01-B101-99A04B56B8B9}"/>
            </a:ext>
            <a:ext uri="{147F2762-F138-4A5C-976F-8EAC2B608ADB}">
              <a16:predDERef xmlns:a16="http://schemas.microsoft.com/office/drawing/2014/main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5BCC8AA-77C2-416E-A647-FE916A43D1BF}"/>
            </a:ext>
            <a:ext uri="{147F2762-F138-4A5C-976F-8EAC2B608ADB}">
              <a16:predDERef xmlns:a16="http://schemas.microsoft.com/office/drawing/2014/main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DD62538-ABFD-487A-B659-02C776711733}"/>
            </a:ext>
            <a:ext uri="{147F2762-F138-4A5C-976F-8EAC2B608ADB}">
              <a16:predDERef xmlns:a16="http://schemas.microsoft.com/office/drawing/2014/main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9787E38-B134-4037-86A2-B90E9AADFA64}"/>
            </a:ext>
            <a:ext uri="{147F2762-F138-4A5C-976F-8EAC2B608ADB}">
              <a16:predDERef xmlns:a16="http://schemas.microsoft.com/office/drawing/2014/main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8D36F90-92D6-4317-84EF-71738F1D93E5}"/>
            </a:ext>
            <a:ext uri="{147F2762-F138-4A5C-976F-8EAC2B608ADB}">
              <a16:predDERef xmlns:a16="http://schemas.microsoft.com/office/drawing/2014/main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1E777DD-BE8D-45F3-AB1F-8DC963898486}"/>
            </a:ext>
            <a:ext uri="{147F2762-F138-4A5C-976F-8EAC2B608ADB}">
              <a16:predDERef xmlns:a16="http://schemas.microsoft.com/office/drawing/2014/main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1C86530-D76C-4D8F-A107-DD3FDF9C3A0F}"/>
            </a:ext>
            <a:ext uri="{147F2762-F138-4A5C-976F-8EAC2B608ADB}">
              <a16:predDERef xmlns:a16="http://schemas.microsoft.com/office/drawing/2014/main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913F476-9DDA-469F-AF38-CB24993658C5}"/>
            </a:ext>
            <a:ext uri="{147F2762-F138-4A5C-976F-8EAC2B608ADB}">
              <a16:predDERef xmlns:a16="http://schemas.microsoft.com/office/drawing/2014/main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BC92856-A6FC-4791-A5C7-11AC149340E3}"/>
            </a:ext>
            <a:ext uri="{147F2762-F138-4A5C-976F-8EAC2B608ADB}">
              <a16:predDERef xmlns:a16="http://schemas.microsoft.com/office/drawing/2014/main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A1DD2B3-324D-474D-9A8F-78E0F6A594F6}"/>
            </a:ext>
            <a:ext uri="{147F2762-F138-4A5C-976F-8EAC2B608ADB}">
              <a16:predDERef xmlns:a16="http://schemas.microsoft.com/office/drawing/2014/main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50AF377-1C97-40A0-8DDC-3E8EA7C27379}"/>
            </a:ext>
            <a:ext uri="{147F2762-F138-4A5C-976F-8EAC2B608ADB}">
              <a16:predDERef xmlns:a16="http://schemas.microsoft.com/office/drawing/2014/main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D7F68CB-0AA7-4E92-9B0C-46915F4584C7}"/>
            </a:ext>
            <a:ext uri="{147F2762-F138-4A5C-976F-8EAC2B608ADB}">
              <a16:predDERef xmlns:a16="http://schemas.microsoft.com/office/drawing/2014/main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59C5C3F-089C-4305-8C90-E84D5E51ABD5}"/>
            </a:ext>
            <a:ext uri="{147F2762-F138-4A5C-976F-8EAC2B608ADB}">
              <a16:predDERef xmlns:a16="http://schemas.microsoft.com/office/drawing/2014/main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C6FD4A37-E276-4077-94BD-64A48F002DFE}"/>
            </a:ext>
            <a:ext uri="{147F2762-F138-4A5C-976F-8EAC2B608ADB}">
              <a16:predDERef xmlns:a16="http://schemas.microsoft.com/office/drawing/2014/main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2E45318-99EA-4055-B558-34391042B872}"/>
            </a:ext>
            <a:ext uri="{147F2762-F138-4A5C-976F-8EAC2B608ADB}">
              <a16:predDERef xmlns:a16="http://schemas.microsoft.com/office/drawing/2014/main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9AD9FD8-386D-4794-90AA-6E44A1B5E5B1}"/>
            </a:ext>
            <a:ext uri="{147F2762-F138-4A5C-976F-8EAC2B608ADB}">
              <a16:predDERef xmlns:a16="http://schemas.microsoft.com/office/drawing/2014/main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E63008C-6C80-47CD-A2E5-70963AC0B156}"/>
            </a:ext>
            <a:ext uri="{147F2762-F138-4A5C-976F-8EAC2B608ADB}">
              <a16:predDERef xmlns:a16="http://schemas.microsoft.com/office/drawing/2014/main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FD3DABA-617F-4415-9E50-BA1C36FEA063}"/>
            </a:ext>
            <a:ext uri="{147F2762-F138-4A5C-976F-8EAC2B608ADB}">
              <a16:predDERef xmlns:a16="http://schemas.microsoft.com/office/drawing/2014/main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DAF2D6B-AF6D-48CE-ACF2-897BCEB0C720}"/>
            </a:ext>
            <a:ext uri="{147F2762-F138-4A5C-976F-8EAC2B608ADB}">
              <a16:predDERef xmlns:a16="http://schemas.microsoft.com/office/drawing/2014/main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71E8E4D-4E25-451D-B759-E5C3ED22ED5F}"/>
            </a:ext>
            <a:ext uri="{147F2762-F138-4A5C-976F-8EAC2B608ADB}">
              <a16:predDERef xmlns:a16="http://schemas.microsoft.com/office/drawing/2014/main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D61348B-EBFA-428D-9297-BBE017127004}"/>
            </a:ext>
            <a:ext uri="{147F2762-F138-4A5C-976F-8EAC2B608ADB}">
              <a16:predDERef xmlns:a16="http://schemas.microsoft.com/office/drawing/2014/main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D22C215-3DEB-4A11-BA8B-75DD72B75493}"/>
            </a:ext>
            <a:ext uri="{147F2762-F138-4A5C-976F-8EAC2B608ADB}">
              <a16:predDERef xmlns:a16="http://schemas.microsoft.com/office/drawing/2014/main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2C6801F-1554-4890-9522-69FF9138D3F2}"/>
            </a:ext>
            <a:ext uri="{147F2762-F138-4A5C-976F-8EAC2B608ADB}">
              <a16:predDERef xmlns:a16="http://schemas.microsoft.com/office/drawing/2014/main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F4DEFA53-A87F-4ED6-87A7-2B5EFC52AC57}"/>
            </a:ext>
            <a:ext uri="{147F2762-F138-4A5C-976F-8EAC2B608ADB}">
              <a16:predDERef xmlns:a16="http://schemas.microsoft.com/office/drawing/2014/main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F3D23AB-D1A1-4DDC-B501-724918E0A342}"/>
            </a:ext>
            <a:ext uri="{147F2762-F138-4A5C-976F-8EAC2B608ADB}">
              <a16:predDERef xmlns:a16="http://schemas.microsoft.com/office/drawing/2014/main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7C0AE11-05E2-443A-BA38-3F8E5BB85ACE}"/>
            </a:ext>
            <a:ext uri="{147F2762-F138-4A5C-976F-8EAC2B608ADB}">
              <a16:predDERef xmlns:a16="http://schemas.microsoft.com/office/drawing/2014/main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B0432AE-9E88-4DDC-B043-9CCB5C62516D}"/>
            </a:ext>
            <a:ext uri="{147F2762-F138-4A5C-976F-8EAC2B608ADB}">
              <a16:predDERef xmlns:a16="http://schemas.microsoft.com/office/drawing/2014/main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BB0E3C5-E939-46A6-B4E7-593D2982E315}"/>
            </a:ext>
            <a:ext uri="{147F2762-F138-4A5C-976F-8EAC2B608ADB}">
              <a16:predDERef xmlns:a16="http://schemas.microsoft.com/office/drawing/2014/main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701F67C-8D61-418A-A4F9-57061D1E1A9D}"/>
            </a:ext>
            <a:ext uri="{147F2762-F138-4A5C-976F-8EAC2B608ADB}">
              <a16:predDERef xmlns:a16="http://schemas.microsoft.com/office/drawing/2014/main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1B213D9-B75D-4350-A550-8137800DC8EA}"/>
            </a:ext>
            <a:ext uri="{147F2762-F138-4A5C-976F-8EAC2B608ADB}">
              <a16:predDERef xmlns:a16="http://schemas.microsoft.com/office/drawing/2014/main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FBCE367-2E03-4F9D-A9E8-3907B4ACB80A}"/>
            </a:ext>
            <a:ext uri="{147F2762-F138-4A5C-976F-8EAC2B608ADB}">
              <a16:predDERef xmlns:a16="http://schemas.microsoft.com/office/drawing/2014/main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B6D5CE6A-3C73-4C3F-A498-2F3A3201A9CF}"/>
            </a:ext>
            <a:ext uri="{147F2762-F138-4A5C-976F-8EAC2B608ADB}">
              <a16:predDERef xmlns:a16="http://schemas.microsoft.com/office/drawing/2014/main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9880A39-A314-4FBE-A08E-4FDB5336D2EE}"/>
            </a:ext>
            <a:ext uri="{147F2762-F138-4A5C-976F-8EAC2B608ADB}">
              <a16:predDERef xmlns:a16="http://schemas.microsoft.com/office/drawing/2014/main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89728366-F1AF-4A77-A600-52B3D0F2F779}"/>
            </a:ext>
            <a:ext uri="{147F2762-F138-4A5C-976F-8EAC2B608ADB}">
              <a16:predDERef xmlns:a16="http://schemas.microsoft.com/office/drawing/2014/main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9C6BFB2-4669-450C-902D-FE1A8908B2D6}"/>
            </a:ext>
            <a:ext uri="{147F2762-F138-4A5C-976F-8EAC2B608ADB}">
              <a16:predDERef xmlns:a16="http://schemas.microsoft.com/office/drawing/2014/main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8E75FD2E-B580-4F26-AF18-DE9046C7D1E9}"/>
            </a:ext>
            <a:ext uri="{147F2762-F138-4A5C-976F-8EAC2B608ADB}">
              <a16:predDERef xmlns:a16="http://schemas.microsoft.com/office/drawing/2014/main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8B967F0-61DB-423F-AFF1-593D41CA4458}"/>
            </a:ext>
            <a:ext uri="{147F2762-F138-4A5C-976F-8EAC2B608ADB}">
              <a16:predDERef xmlns:a16="http://schemas.microsoft.com/office/drawing/2014/main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D60E76B-A63B-4485-A2BA-CF0656E0C757}"/>
            </a:ext>
            <a:ext uri="{147F2762-F138-4A5C-976F-8EAC2B608ADB}">
              <a16:predDERef xmlns:a16="http://schemas.microsoft.com/office/drawing/2014/main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AAACCC9-80B8-4611-BC80-92BF00132FA1}"/>
            </a:ext>
            <a:ext uri="{147F2762-F138-4A5C-976F-8EAC2B608ADB}">
              <a16:predDERef xmlns:a16="http://schemas.microsoft.com/office/drawing/2014/main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9D069FA-2162-459A-9736-3C20D42DF465}"/>
            </a:ext>
            <a:ext uri="{147F2762-F138-4A5C-976F-8EAC2B608ADB}">
              <a16:predDERef xmlns:a16="http://schemas.microsoft.com/office/drawing/2014/main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DBE08FF-A5BD-4487-8AD0-7986A7F0A0F3}"/>
            </a:ext>
            <a:ext uri="{147F2762-F138-4A5C-976F-8EAC2B608ADB}">
              <a16:predDERef xmlns:a16="http://schemas.microsoft.com/office/drawing/2014/main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C73113D0-40E3-44A2-BCC7-7CBB72BC32E9}"/>
            </a:ext>
            <a:ext uri="{147F2762-F138-4A5C-976F-8EAC2B608ADB}">
              <a16:predDERef xmlns:a16="http://schemas.microsoft.com/office/drawing/2014/main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40106D0-95A1-4304-BF78-FE8315FA885B}"/>
            </a:ext>
            <a:ext uri="{147F2762-F138-4A5C-976F-8EAC2B608ADB}">
              <a16:predDERef xmlns:a16="http://schemas.microsoft.com/office/drawing/2014/main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5110C7F-7C79-4CAE-B219-C3864ED3F06A}"/>
            </a:ext>
            <a:ext uri="{147F2762-F138-4A5C-976F-8EAC2B608ADB}">
              <a16:predDERef xmlns:a16="http://schemas.microsoft.com/office/drawing/2014/main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DB6AC23-12F4-4AB0-8F8A-60084883726C}"/>
            </a:ext>
            <a:ext uri="{147F2762-F138-4A5C-976F-8EAC2B608ADB}">
              <a16:predDERef xmlns:a16="http://schemas.microsoft.com/office/drawing/2014/main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D1FC24D-F6AF-49CC-8C96-72E54051741F}"/>
            </a:ext>
            <a:ext uri="{147F2762-F138-4A5C-976F-8EAC2B608ADB}">
              <a16:predDERef xmlns:a16="http://schemas.microsoft.com/office/drawing/2014/main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88CC546-CAC1-4644-AA89-1C7F2105BE04}"/>
            </a:ext>
            <a:ext uri="{147F2762-F138-4A5C-976F-8EAC2B608ADB}">
              <a16:predDERef xmlns:a16="http://schemas.microsoft.com/office/drawing/2014/main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0628DC6-752E-4FAF-9087-A1202AC02EA8}"/>
            </a:ext>
            <a:ext uri="{147F2762-F138-4A5C-976F-8EAC2B608ADB}">
              <a16:predDERef xmlns:a16="http://schemas.microsoft.com/office/drawing/2014/main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1B4CBDE-2172-4670-B98E-E35343110B4D}"/>
            </a:ext>
            <a:ext uri="{147F2762-F138-4A5C-976F-8EAC2B608ADB}">
              <a16:predDERef xmlns:a16="http://schemas.microsoft.com/office/drawing/2014/main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F18DEF-71D0-49D2-A72A-C52D42D09082}"/>
            </a:ext>
            <a:ext uri="{147F2762-F138-4A5C-976F-8EAC2B608ADB}">
              <a16:predDERef xmlns:a16="http://schemas.microsoft.com/office/drawing/2014/main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5CD7D9-7CBB-4058-981F-66633473E299}"/>
            </a:ext>
            <a:ext uri="{147F2762-F138-4A5C-976F-8EAC2B608ADB}">
              <a16:predDERef xmlns:a16="http://schemas.microsoft.com/office/drawing/2014/main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6BC885C-6488-4DF1-A3B5-A96CC2B9FFC6}"/>
            </a:ext>
            <a:ext uri="{147F2762-F138-4A5C-976F-8EAC2B608ADB}">
              <a16:predDERef xmlns:a16="http://schemas.microsoft.com/office/drawing/2014/main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29CF3D9-45D5-442E-925F-13D71673B06C}"/>
            </a:ext>
            <a:ext uri="{147F2762-F138-4A5C-976F-8EAC2B608ADB}">
              <a16:predDERef xmlns:a16="http://schemas.microsoft.com/office/drawing/2014/main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3C96A02-E061-4B0D-B24F-C6B580552C7C}"/>
            </a:ext>
            <a:ext uri="{147F2762-F138-4A5C-976F-8EAC2B608ADB}">
              <a16:predDERef xmlns:a16="http://schemas.microsoft.com/office/drawing/2014/main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E21B638-354D-4472-AB7F-602058E45D99}"/>
            </a:ext>
            <a:ext uri="{147F2762-F138-4A5C-976F-8EAC2B608ADB}">
              <a16:predDERef xmlns:a16="http://schemas.microsoft.com/office/drawing/2014/main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5EFEB4E-06E9-4C77-B2F3-8224471A0F9A}"/>
            </a:ext>
            <a:ext uri="{147F2762-F138-4A5C-976F-8EAC2B608ADB}">
              <a16:predDERef xmlns:a16="http://schemas.microsoft.com/office/drawing/2014/main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FEBE228-DF12-4CF3-AD66-F15CC03E7C52}"/>
            </a:ext>
            <a:ext uri="{147F2762-F138-4A5C-976F-8EAC2B608ADB}">
              <a16:predDERef xmlns:a16="http://schemas.microsoft.com/office/drawing/2014/main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4DF89D4-A778-46C2-8E58-A46946988D3E}"/>
            </a:ext>
            <a:ext uri="{147F2762-F138-4A5C-976F-8EAC2B608ADB}">
              <a16:predDERef xmlns:a16="http://schemas.microsoft.com/office/drawing/2014/main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106890C-B70B-4CEE-9E5A-49B5B2827D2A}"/>
            </a:ext>
            <a:ext uri="{147F2762-F138-4A5C-976F-8EAC2B608ADB}">
              <a16:predDERef xmlns:a16="http://schemas.microsoft.com/office/drawing/2014/main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56BAABD-91DE-497C-80BF-DF5D9060490A}"/>
            </a:ext>
            <a:ext uri="{147F2762-F138-4A5C-976F-8EAC2B608ADB}">
              <a16:predDERef xmlns:a16="http://schemas.microsoft.com/office/drawing/2014/main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BACD77C0-22B0-457B-A964-51318DBF78AA}"/>
            </a:ext>
            <a:ext uri="{147F2762-F138-4A5C-976F-8EAC2B608ADB}">
              <a16:predDERef xmlns:a16="http://schemas.microsoft.com/office/drawing/2014/main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02A4AE-FCB7-4687-8D52-0F72D07CA393}"/>
            </a:ext>
            <a:ext uri="{147F2762-F138-4A5C-976F-8EAC2B608ADB}">
              <a16:predDERef xmlns:a16="http://schemas.microsoft.com/office/drawing/2014/main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41CACB7-EF44-453A-B5B6-E9B667255444}"/>
            </a:ext>
            <a:ext uri="{147F2762-F138-4A5C-976F-8EAC2B608ADB}">
              <a16:predDERef xmlns:a16="http://schemas.microsoft.com/office/drawing/2014/main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C17ADE3-C830-4EE7-AC30-17BC0E3C2CC7}"/>
            </a:ext>
            <a:ext uri="{147F2762-F138-4A5C-976F-8EAC2B608ADB}">
              <a16:predDERef xmlns:a16="http://schemas.microsoft.com/office/drawing/2014/main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D6EE127-4554-44CC-A2D3-1D0F02C701DE}"/>
            </a:ext>
            <a:ext uri="{147F2762-F138-4A5C-976F-8EAC2B608ADB}">
              <a16:predDERef xmlns:a16="http://schemas.microsoft.com/office/drawing/2014/main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6BCA200-F163-4FAC-ABB6-F9E1882C2AF0}"/>
            </a:ext>
            <a:ext uri="{147F2762-F138-4A5C-976F-8EAC2B608ADB}">
              <a16:predDERef xmlns:a16="http://schemas.microsoft.com/office/drawing/2014/main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50A8EE5-EEAC-484E-843C-CDE1AFD9C522}"/>
            </a:ext>
            <a:ext uri="{147F2762-F138-4A5C-976F-8EAC2B608ADB}">
              <a16:predDERef xmlns:a16="http://schemas.microsoft.com/office/drawing/2014/main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A1D4E49-F78B-4A04-BA5B-4DD4B7F72228}"/>
            </a:ext>
            <a:ext uri="{147F2762-F138-4A5C-976F-8EAC2B608ADB}">
              <a16:predDERef xmlns:a16="http://schemas.microsoft.com/office/drawing/2014/main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05E02C4A-B743-44C4-BE8C-DABA5E260AA3}"/>
            </a:ext>
            <a:ext uri="{147F2762-F138-4A5C-976F-8EAC2B608ADB}">
              <a16:predDERef xmlns:a16="http://schemas.microsoft.com/office/drawing/2014/main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8069969-4285-4B22-BD27-87309455EDAF}"/>
            </a:ext>
            <a:ext uri="{147F2762-F138-4A5C-976F-8EAC2B608ADB}">
              <a16:predDERef xmlns:a16="http://schemas.microsoft.com/office/drawing/2014/main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E348A90-6ED4-4BCB-A196-EA49DCD680C2}"/>
            </a:ext>
            <a:ext uri="{147F2762-F138-4A5C-976F-8EAC2B608ADB}">
              <a16:predDERef xmlns:a16="http://schemas.microsoft.com/office/drawing/2014/main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B0567D4-7B09-416C-BB32-C80F67EFF376}"/>
            </a:ext>
            <a:ext uri="{147F2762-F138-4A5C-976F-8EAC2B608ADB}">
              <a16:predDERef xmlns:a16="http://schemas.microsoft.com/office/drawing/2014/main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312983C-ADCA-4E1B-8C8E-AC8EB9CD68B8}"/>
            </a:ext>
            <a:ext uri="{147F2762-F138-4A5C-976F-8EAC2B608ADB}">
              <a16:predDERef xmlns:a16="http://schemas.microsoft.com/office/drawing/2014/main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D3F23E4-B31E-40D0-BC29-2CBC7364533D}"/>
            </a:ext>
            <a:ext uri="{147F2762-F138-4A5C-976F-8EAC2B608ADB}">
              <a16:predDERef xmlns:a16="http://schemas.microsoft.com/office/drawing/2014/main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BA717CC4-F28A-48BC-AB9F-B5EDC175FDD7}"/>
            </a:ext>
            <a:ext uri="{147F2762-F138-4A5C-976F-8EAC2B608ADB}">
              <a16:predDERef xmlns:a16="http://schemas.microsoft.com/office/drawing/2014/main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E59971F-7098-47B8-80BE-EF372945C642}"/>
            </a:ext>
            <a:ext uri="{147F2762-F138-4A5C-976F-8EAC2B608ADB}">
              <a16:predDERef xmlns:a16="http://schemas.microsoft.com/office/drawing/2014/main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4314679-59A0-42AF-80D2-A9A2C16CB852}"/>
            </a:ext>
            <a:ext uri="{147F2762-F138-4A5C-976F-8EAC2B608ADB}">
              <a16:predDERef xmlns:a16="http://schemas.microsoft.com/office/drawing/2014/main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FAA786-4846-4EF1-A86A-D88395E03E5F}"/>
            </a:ext>
            <a:ext uri="{147F2762-F138-4A5C-976F-8EAC2B608ADB}">
              <a16:predDERef xmlns:a16="http://schemas.microsoft.com/office/drawing/2014/main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B281B4D-3496-4232-ABCF-177FECF233BF}"/>
            </a:ext>
            <a:ext uri="{147F2762-F138-4A5C-976F-8EAC2B608ADB}">
              <a16:predDERef xmlns:a16="http://schemas.microsoft.com/office/drawing/2014/main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53CB72A-57A8-4CC7-811C-5555667AE557}"/>
            </a:ext>
            <a:ext uri="{147F2762-F138-4A5C-976F-8EAC2B608ADB}">
              <a16:predDERef xmlns:a16="http://schemas.microsoft.com/office/drawing/2014/main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5C2A16F-3CE4-4684-81B8-A98222FBBF99}"/>
            </a:ext>
            <a:ext uri="{147F2762-F138-4A5C-976F-8EAC2B608ADB}">
              <a16:predDERef xmlns:a16="http://schemas.microsoft.com/office/drawing/2014/main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278E989-3223-4390-A700-9B10C43B6113}"/>
            </a:ext>
            <a:ext uri="{147F2762-F138-4A5C-976F-8EAC2B608ADB}">
              <a16:predDERef xmlns:a16="http://schemas.microsoft.com/office/drawing/2014/main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E187386-7548-48C6-A6C6-DE5A8E0C5E2F}"/>
            </a:ext>
            <a:ext uri="{147F2762-F138-4A5C-976F-8EAC2B608ADB}">
              <a16:predDERef xmlns:a16="http://schemas.microsoft.com/office/drawing/2014/main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389C7DF-7630-46DD-BB8A-50364775041A}"/>
            </a:ext>
            <a:ext uri="{147F2762-F138-4A5C-976F-8EAC2B608ADB}">
              <a16:predDERef xmlns:a16="http://schemas.microsoft.com/office/drawing/2014/main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7433DDC-3844-4ECF-9304-2731755051FE}"/>
            </a:ext>
            <a:ext uri="{147F2762-F138-4A5C-976F-8EAC2B608ADB}">
              <a16:predDERef xmlns:a16="http://schemas.microsoft.com/office/drawing/2014/main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B774C1F-BFE6-45A9-9CB5-AA3E1E4CF180}"/>
            </a:ext>
            <a:ext uri="{147F2762-F138-4A5C-976F-8EAC2B608ADB}">
              <a16:predDERef xmlns:a16="http://schemas.microsoft.com/office/drawing/2014/main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4DECFD9-DBB0-4492-9E2C-BA773E1E502D}"/>
            </a:ext>
            <a:ext uri="{147F2762-F138-4A5C-976F-8EAC2B608ADB}">
              <a16:predDERef xmlns:a16="http://schemas.microsoft.com/office/drawing/2014/main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C3372BC-648B-4A02-AF81-854B7A2BAF38}"/>
            </a:ext>
            <a:ext uri="{147F2762-F138-4A5C-976F-8EAC2B608ADB}">
              <a16:predDERef xmlns:a16="http://schemas.microsoft.com/office/drawing/2014/main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42E6CA8-84BE-4C73-8D15-58A6165D50DF}"/>
            </a:ext>
            <a:ext uri="{147F2762-F138-4A5C-976F-8EAC2B608ADB}">
              <a16:predDERef xmlns:a16="http://schemas.microsoft.com/office/drawing/2014/main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367A69A-2B41-4A46-8172-4F081AEE5B3A}"/>
            </a:ext>
            <a:ext uri="{147F2762-F138-4A5C-976F-8EAC2B608ADB}">
              <a16:predDERef xmlns:a16="http://schemas.microsoft.com/office/drawing/2014/main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1E3346E7-AD98-4A48-8DBA-D228EA838CB9}"/>
            </a:ext>
            <a:ext uri="{147F2762-F138-4A5C-976F-8EAC2B608ADB}">
              <a16:predDERef xmlns:a16="http://schemas.microsoft.com/office/drawing/2014/main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5F7E446C-7603-4BC2-896D-707D10AA3D7D}"/>
            </a:ext>
            <a:ext uri="{147F2762-F138-4A5C-976F-8EAC2B608ADB}">
              <a16:predDERef xmlns:a16="http://schemas.microsoft.com/office/drawing/2014/main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FCE66CD7-A330-494F-A353-DE7F17A833D0}"/>
            </a:ext>
            <a:ext uri="{147F2762-F138-4A5C-976F-8EAC2B608ADB}">
              <a16:predDERef xmlns:a16="http://schemas.microsoft.com/office/drawing/2014/main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EA58864-B7CC-43F7-BC1E-9C723DBFE412}"/>
            </a:ext>
            <a:ext uri="{147F2762-F138-4A5C-976F-8EAC2B608ADB}">
              <a16:predDERef xmlns:a16="http://schemas.microsoft.com/office/drawing/2014/main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3BCD01C6-14BF-42BA-8ECF-C49606C30820}"/>
            </a:ext>
            <a:ext uri="{147F2762-F138-4A5C-976F-8EAC2B608ADB}">
              <a16:predDERef xmlns:a16="http://schemas.microsoft.com/office/drawing/2014/main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654DFA4-686A-47D2-8428-C8DDFF387952}"/>
            </a:ext>
            <a:ext uri="{147F2762-F138-4A5C-976F-8EAC2B608ADB}">
              <a16:predDERef xmlns:a16="http://schemas.microsoft.com/office/drawing/2014/main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F383C90-5ABE-4B32-841F-66EB402A6F31}"/>
            </a:ext>
            <a:ext uri="{147F2762-F138-4A5C-976F-8EAC2B608ADB}">
              <a16:predDERef xmlns:a16="http://schemas.microsoft.com/office/drawing/2014/main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C6808CB-0B02-4C6A-B3FF-977DCA504F48}"/>
            </a:ext>
            <a:ext uri="{147F2762-F138-4A5C-976F-8EAC2B608ADB}">
              <a16:predDERef xmlns:a16="http://schemas.microsoft.com/office/drawing/2014/main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43AEF2-357E-469B-A6E1-A04E9ABFEC8C}"/>
            </a:ext>
            <a:ext uri="{147F2762-F138-4A5C-976F-8EAC2B608ADB}">
              <a16:predDERef xmlns:a16="http://schemas.microsoft.com/office/drawing/2014/main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7ECD118-BC97-4F34-891B-8C4E9E7582B0}"/>
            </a:ext>
            <a:ext uri="{147F2762-F138-4A5C-976F-8EAC2B608ADB}">
              <a16:predDERef xmlns:a16="http://schemas.microsoft.com/office/drawing/2014/main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421668F-0DB3-4238-AA13-16CE63E8B5E0}"/>
            </a:ext>
            <a:ext uri="{147F2762-F138-4A5C-976F-8EAC2B608ADB}">
              <a16:predDERef xmlns:a16="http://schemas.microsoft.com/office/drawing/2014/main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897F429-4A67-4D1C-9ECF-34B6CB9253A7}"/>
            </a:ext>
            <a:ext uri="{147F2762-F138-4A5C-976F-8EAC2B608ADB}">
              <a16:predDERef xmlns:a16="http://schemas.microsoft.com/office/drawing/2014/main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9CE146D4-6572-4E65-8023-A43F80D6E24D}"/>
            </a:ext>
            <a:ext uri="{147F2762-F138-4A5C-976F-8EAC2B608ADB}">
              <a16:predDERef xmlns:a16="http://schemas.microsoft.com/office/drawing/2014/main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2342201-0A0E-43EB-A140-BC9B61D2762F}"/>
            </a:ext>
            <a:ext uri="{147F2762-F138-4A5C-976F-8EAC2B608ADB}">
              <a16:predDERef xmlns:a16="http://schemas.microsoft.com/office/drawing/2014/main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A1E8636-9B90-4F3D-BE98-DB2B4689BDFD}"/>
            </a:ext>
            <a:ext uri="{147F2762-F138-4A5C-976F-8EAC2B608ADB}">
              <a16:predDERef xmlns:a16="http://schemas.microsoft.com/office/drawing/2014/main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0FF12FF-ACC6-45ED-BE09-42B3D311EC44}"/>
            </a:ext>
            <a:ext uri="{147F2762-F138-4A5C-976F-8EAC2B608ADB}">
              <a16:predDERef xmlns:a16="http://schemas.microsoft.com/office/drawing/2014/main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618187F-F979-4B33-8205-FCFD9424F01B}"/>
            </a:ext>
            <a:ext uri="{147F2762-F138-4A5C-976F-8EAC2B608ADB}">
              <a16:predDERef xmlns:a16="http://schemas.microsoft.com/office/drawing/2014/main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EB708D27-1C87-4E4B-B3E4-3192B3F9E39D}"/>
            </a:ext>
            <a:ext uri="{147F2762-F138-4A5C-976F-8EAC2B608ADB}">
              <a16:predDERef xmlns:a16="http://schemas.microsoft.com/office/drawing/2014/main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B051067-EF81-478B-BD38-8D362F278CB8}"/>
            </a:ext>
            <a:ext uri="{147F2762-F138-4A5C-976F-8EAC2B608ADB}">
              <a16:predDERef xmlns:a16="http://schemas.microsoft.com/office/drawing/2014/main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0252B0B-0EA0-4D3C-869D-484081625DE0}"/>
            </a:ext>
            <a:ext uri="{147F2762-F138-4A5C-976F-8EAC2B608ADB}">
              <a16:predDERef xmlns:a16="http://schemas.microsoft.com/office/drawing/2014/main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F43D354-44C1-4281-87F8-79E758428E07}"/>
            </a:ext>
            <a:ext uri="{147F2762-F138-4A5C-976F-8EAC2B608ADB}">
              <a16:predDERef xmlns:a16="http://schemas.microsoft.com/office/drawing/2014/main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294739E8-8E69-4C65-8C55-F6D556C60B72}"/>
            </a:ext>
            <a:ext uri="{147F2762-F138-4A5C-976F-8EAC2B608ADB}">
              <a16:predDERef xmlns:a16="http://schemas.microsoft.com/office/drawing/2014/main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D9C1B9F7-BFE8-4C4A-9B64-D58D9A16629F}"/>
            </a:ext>
            <a:ext uri="{147F2762-F138-4A5C-976F-8EAC2B608ADB}">
              <a16:predDERef xmlns:a16="http://schemas.microsoft.com/office/drawing/2014/main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D81F04A-3CCD-41D2-B92A-61987C2F70E3}"/>
            </a:ext>
            <a:ext uri="{147F2762-F138-4A5C-976F-8EAC2B608ADB}">
              <a16:predDERef xmlns:a16="http://schemas.microsoft.com/office/drawing/2014/main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499BB67-71C2-4DBC-877E-9D3F0F3EFA5C}"/>
            </a:ext>
            <a:ext uri="{147F2762-F138-4A5C-976F-8EAC2B608ADB}">
              <a16:predDERef xmlns:a16="http://schemas.microsoft.com/office/drawing/2014/main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2759113-A522-4740-9C78-6B835753AF52}"/>
            </a:ext>
            <a:ext uri="{147F2762-F138-4A5C-976F-8EAC2B608ADB}">
              <a16:predDERef xmlns:a16="http://schemas.microsoft.com/office/drawing/2014/main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35A5F38-1533-4391-BE19-0A697771A7CC}"/>
            </a:ext>
            <a:ext uri="{147F2762-F138-4A5C-976F-8EAC2B608ADB}">
              <a16:predDERef xmlns:a16="http://schemas.microsoft.com/office/drawing/2014/main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7A83E2F-FC65-454D-B409-0F2C60595FF2}"/>
            </a:ext>
            <a:ext uri="{147F2762-F138-4A5C-976F-8EAC2B608ADB}">
              <a16:predDERef xmlns:a16="http://schemas.microsoft.com/office/drawing/2014/main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A4110A5D-C530-4B34-B9C6-6C02DDF5E1C0}"/>
            </a:ext>
            <a:ext uri="{147F2762-F138-4A5C-976F-8EAC2B608ADB}">
              <a16:predDERef xmlns:a16="http://schemas.microsoft.com/office/drawing/2014/main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AB774B7A-AD93-4794-A927-3EFF6C8BE388}"/>
            </a:ext>
            <a:ext uri="{147F2762-F138-4A5C-976F-8EAC2B608ADB}">
              <a16:predDERef xmlns:a16="http://schemas.microsoft.com/office/drawing/2014/main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9F7160F4-685B-4CCD-B529-4D0D5372BE60}"/>
            </a:ext>
            <a:ext uri="{147F2762-F138-4A5C-976F-8EAC2B608ADB}">
              <a16:predDERef xmlns:a16="http://schemas.microsoft.com/office/drawing/2014/main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E35F3EA-39F5-4A2A-9897-D54BB4BD732E}"/>
            </a:ext>
            <a:ext uri="{147F2762-F138-4A5C-976F-8EAC2B608ADB}">
              <a16:predDERef xmlns:a16="http://schemas.microsoft.com/office/drawing/2014/main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8C8FC2A2-411A-43AE-95E4-8DF63D490F48}"/>
            </a:ext>
            <a:ext uri="{147F2762-F138-4A5C-976F-8EAC2B608ADB}">
              <a16:predDERef xmlns:a16="http://schemas.microsoft.com/office/drawing/2014/main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316D390-9722-488A-9AAF-DF8521ECB0CA}"/>
            </a:ext>
            <a:ext uri="{147F2762-F138-4A5C-976F-8EAC2B608ADB}">
              <a16:predDERef xmlns:a16="http://schemas.microsoft.com/office/drawing/2014/main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B7A95FC-953D-4FBF-A686-0CABD28C8E81}"/>
            </a:ext>
            <a:ext uri="{147F2762-F138-4A5C-976F-8EAC2B608ADB}">
              <a16:predDERef xmlns:a16="http://schemas.microsoft.com/office/drawing/2014/main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3CBA1606-B32D-4B0D-B459-E42C19BF5A22}"/>
            </a:ext>
            <a:ext uri="{147F2762-F138-4A5C-976F-8EAC2B608ADB}">
              <a16:predDERef xmlns:a16="http://schemas.microsoft.com/office/drawing/2014/main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81B858B-71A6-43FB-9AE2-716CC6F23D30}"/>
            </a:ext>
            <a:ext uri="{147F2762-F138-4A5C-976F-8EAC2B608ADB}">
              <a16:predDERef xmlns:a16="http://schemas.microsoft.com/office/drawing/2014/main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F124654-E6CB-41E6-ABE1-E9665D675D28}"/>
            </a:ext>
            <a:ext uri="{147F2762-F138-4A5C-976F-8EAC2B608ADB}">
              <a16:predDERef xmlns:a16="http://schemas.microsoft.com/office/drawing/2014/main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8740070D-5658-4097-A7B4-0A86A77116FF}"/>
            </a:ext>
            <a:ext uri="{147F2762-F138-4A5C-976F-8EAC2B608ADB}">
              <a16:predDERef xmlns:a16="http://schemas.microsoft.com/office/drawing/2014/main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79E91799-B7D4-4F93-B0A8-D93C8D809353}"/>
            </a:ext>
            <a:ext uri="{147F2762-F138-4A5C-976F-8EAC2B608ADB}">
              <a16:predDERef xmlns:a16="http://schemas.microsoft.com/office/drawing/2014/main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EED7AE7D-A8DC-4C96-ABDC-0ED4BA737417}"/>
            </a:ext>
            <a:ext uri="{147F2762-F138-4A5C-976F-8EAC2B608ADB}">
              <a16:predDERef xmlns:a16="http://schemas.microsoft.com/office/drawing/2014/main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1A4E1319-C8D3-4E57-B78D-559F7D402A0C}"/>
            </a:ext>
            <a:ext uri="{147F2762-F138-4A5C-976F-8EAC2B608ADB}">
              <a16:predDERef xmlns:a16="http://schemas.microsoft.com/office/drawing/2014/main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89C940F-670E-4639-8114-CA69B7193819}"/>
            </a:ext>
            <a:ext uri="{147F2762-F138-4A5C-976F-8EAC2B608ADB}">
              <a16:predDERef xmlns:a16="http://schemas.microsoft.com/office/drawing/2014/main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6E6D1B6D-48F5-4D76-9048-C318662528D5}"/>
            </a:ext>
            <a:ext uri="{147F2762-F138-4A5C-976F-8EAC2B608ADB}">
              <a16:predDERef xmlns:a16="http://schemas.microsoft.com/office/drawing/2014/main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70891912-1E51-4189-98F5-D49A634C5925}"/>
            </a:ext>
            <a:ext uri="{147F2762-F138-4A5C-976F-8EAC2B608ADB}">
              <a16:predDERef xmlns:a16="http://schemas.microsoft.com/office/drawing/2014/main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9536C09-6C76-4A81-92E2-9A10D9A37306}"/>
            </a:ext>
            <a:ext uri="{147F2762-F138-4A5C-976F-8EAC2B608ADB}">
              <a16:predDERef xmlns:a16="http://schemas.microsoft.com/office/drawing/2014/main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96FDDFE2-78D0-45FB-BCA1-CB6C0E9BBDD4}"/>
            </a:ext>
            <a:ext uri="{147F2762-F138-4A5C-976F-8EAC2B608ADB}">
              <a16:predDERef xmlns:a16="http://schemas.microsoft.com/office/drawing/2014/main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8118A479-7B1A-4FAA-B390-1252CB695242}"/>
            </a:ext>
            <a:ext uri="{147F2762-F138-4A5C-976F-8EAC2B608ADB}">
              <a16:predDERef xmlns:a16="http://schemas.microsoft.com/office/drawing/2014/main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85DABAA-37CE-4C4B-A443-626917F069C4}"/>
            </a:ext>
            <a:ext uri="{147F2762-F138-4A5C-976F-8EAC2B608ADB}">
              <a16:predDERef xmlns:a16="http://schemas.microsoft.com/office/drawing/2014/main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4B1CB095-4D21-4C21-A943-F549CB93BB19}"/>
            </a:ext>
            <a:ext uri="{147F2762-F138-4A5C-976F-8EAC2B608ADB}">
              <a16:predDERef xmlns:a16="http://schemas.microsoft.com/office/drawing/2014/main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906C1240-C551-4803-B8BF-6C2469F78E5F}"/>
            </a:ext>
            <a:ext uri="{147F2762-F138-4A5C-976F-8EAC2B608ADB}">
              <a16:predDERef xmlns:a16="http://schemas.microsoft.com/office/drawing/2014/main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F13209A-1EF2-4A3F-94A7-131629EFF521}"/>
            </a:ext>
            <a:ext uri="{147F2762-F138-4A5C-976F-8EAC2B608ADB}">
              <a16:predDERef xmlns:a16="http://schemas.microsoft.com/office/drawing/2014/main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8D7052D-BB5E-402C-8D09-99C75FAC149A}"/>
            </a:ext>
            <a:ext uri="{147F2762-F138-4A5C-976F-8EAC2B608ADB}">
              <a16:predDERef xmlns:a16="http://schemas.microsoft.com/office/drawing/2014/main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A7E4B96-7A9B-4BDE-B375-952C2571225C}"/>
            </a:ext>
            <a:ext uri="{147F2762-F138-4A5C-976F-8EAC2B608ADB}">
              <a16:predDERef xmlns:a16="http://schemas.microsoft.com/office/drawing/2014/main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20D88100-7071-49A5-BE9D-5CB04EDBFF6B}"/>
            </a:ext>
            <a:ext uri="{147F2762-F138-4A5C-976F-8EAC2B608ADB}">
              <a16:predDERef xmlns:a16="http://schemas.microsoft.com/office/drawing/2014/main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B8681002-779E-4241-87DC-4662A390F3CF}"/>
            </a:ext>
            <a:ext uri="{147F2762-F138-4A5C-976F-8EAC2B608ADB}">
              <a16:predDERef xmlns:a16="http://schemas.microsoft.com/office/drawing/2014/main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52F6CEA7-E70D-492F-9AA7-8C9916B44357}"/>
            </a:ext>
            <a:ext uri="{147F2762-F138-4A5C-976F-8EAC2B608ADB}">
              <a16:predDERef xmlns:a16="http://schemas.microsoft.com/office/drawing/2014/main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D137CD19-8F0D-4265-B5C7-CD6769F9534B}"/>
            </a:ext>
            <a:ext uri="{147F2762-F138-4A5C-976F-8EAC2B608ADB}">
              <a16:predDERef xmlns:a16="http://schemas.microsoft.com/office/drawing/2014/main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60240745-4761-4D72-BF61-D6D3F93C9FEC}"/>
            </a:ext>
            <a:ext uri="{147F2762-F138-4A5C-976F-8EAC2B608ADB}">
              <a16:predDERef xmlns:a16="http://schemas.microsoft.com/office/drawing/2014/main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sp4" displayName="Resp4" ref="A1:EH1368" totalsRowShown="0" headerRowDxfId="148" dataDxfId="147">
  <autoFilter ref="A1:EH1368" xr:uid="{00000000-0009-0000-0100-000001000000}"/>
  <sortState xmlns:xlrd2="http://schemas.microsoft.com/office/spreadsheetml/2017/richdata2" ref="A2:EH1368">
    <sortCondition ref="B1:B1368"/>
  </sortState>
  <tableColumns count="138">
    <tableColumn id="2" xr3:uid="{00000000-0010-0000-0000-000002000000}" name="Vínculo" dataDxfId="146"/>
    <tableColumn id="5" xr3:uid="{00000000-0010-0000-0000-000005000000}" name="Setor" dataDxfId="145"/>
    <tableColumn id="6" xr3:uid="{00000000-0010-0000-0000-000006000000}" name="4.01" dataDxfId="144"/>
    <tableColumn id="7" xr3:uid="{00000000-0010-0000-0000-000007000000}" name="4.02" dataDxfId="143"/>
    <tableColumn id="8" xr3:uid="{00000000-0010-0000-0000-000008000000}" name="4.03" dataDxfId="142"/>
    <tableColumn id="9" xr3:uid="{00000000-0010-0000-0000-000009000000}" name="4.04" dataDxfId="141"/>
    <tableColumn id="10" xr3:uid="{00000000-0010-0000-0000-00000A000000}" name="4.05" dataDxfId="140"/>
    <tableColumn id="11" xr3:uid="{00000000-0010-0000-0000-00000B000000}" name="4.06" dataDxfId="139"/>
    <tableColumn id="12" xr3:uid="{00000000-0010-0000-0000-00000C000000}" name="4.07" dataDxfId="138"/>
    <tableColumn id="13" xr3:uid="{00000000-0010-0000-0000-00000D000000}" name="4.08" dataDxfId="137"/>
    <tableColumn id="14" xr3:uid="{00000000-0010-0000-0000-00000E000000}" name="4.09" dataDxfId="136"/>
    <tableColumn id="15" xr3:uid="{00000000-0010-0000-0000-00000F000000}" name="4.10" dataDxfId="135"/>
    <tableColumn id="16" xr3:uid="{00000000-0010-0000-0000-000010000000}" name="4.11" dataDxfId="134"/>
    <tableColumn id="17" xr3:uid="{00000000-0010-0000-0000-000011000000}" name="4.12" dataDxfId="133"/>
    <tableColumn id="18" xr3:uid="{00000000-0010-0000-0000-000012000000}" name="4.13" dataDxfId="132"/>
    <tableColumn id="19" xr3:uid="{00000000-0010-0000-0000-000013000000}" name="4.14" dataDxfId="131"/>
    <tableColumn id="20" xr3:uid="{00000000-0010-0000-0000-000014000000}" name="4.15" dataDxfId="130"/>
    <tableColumn id="21" xr3:uid="{00000000-0010-0000-0000-000015000000}" name="4.16" dataDxfId="129"/>
    <tableColumn id="22" xr3:uid="{00000000-0010-0000-0000-000016000000}" name="4.17" dataDxfId="128"/>
    <tableColumn id="23" xr3:uid="{00000000-0010-0000-0000-000017000000}" name="4.18" dataDxfId="127"/>
    <tableColumn id="24" xr3:uid="{00000000-0010-0000-0000-000018000000}" name="4.19" dataDxfId="126"/>
    <tableColumn id="25" xr3:uid="{00000000-0010-0000-0000-000019000000}" name="4.20" dataDxfId="125"/>
    <tableColumn id="26" xr3:uid="{00000000-0010-0000-0000-00001A000000}" name="4.21" dataDxfId="124"/>
    <tableColumn id="27" xr3:uid="{00000000-0010-0000-0000-00001B000000}" name="4.22" dataDxfId="123"/>
    <tableColumn id="28" xr3:uid="{00000000-0010-0000-0000-00001C000000}" name="4.23" dataDxfId="122"/>
    <tableColumn id="29" xr3:uid="{00000000-0010-0000-0000-00001D000000}" name="4.24" dataDxfId="121"/>
    <tableColumn id="30" xr3:uid="{00000000-0010-0000-0000-00001E000000}" name="4.25" dataDxfId="120"/>
    <tableColumn id="31" xr3:uid="{00000000-0010-0000-0000-00001F000000}" name="4.26" dataDxfId="119"/>
    <tableColumn id="32" xr3:uid="{00000000-0010-0000-0000-000020000000}" name="4.27" dataDxfId="118"/>
    <tableColumn id="33" xr3:uid="{00000000-0010-0000-0000-000021000000}" name="4.28" dataDxfId="117"/>
    <tableColumn id="34" xr3:uid="{00000000-0010-0000-0000-000022000000}" name="4.29" dataDxfId="116"/>
    <tableColumn id="35" xr3:uid="{00000000-0010-0000-0000-000023000000}" name="4.30" dataDxfId="115"/>
    <tableColumn id="36" xr3:uid="{00000000-0010-0000-0000-000024000000}" name="4.31" dataDxfId="114"/>
    <tableColumn id="37" xr3:uid="{00000000-0010-0000-0000-000025000000}" name="4.32" dataDxfId="113"/>
    <tableColumn id="38" xr3:uid="{00000000-0010-0000-0000-000026000000}" name="4.33" dataDxfId="112"/>
    <tableColumn id="39" xr3:uid="{00000000-0010-0000-0000-000027000000}" name="4.34" dataDxfId="111"/>
    <tableColumn id="40" xr3:uid="{00000000-0010-0000-0000-000028000000}" name="4.35" dataDxfId="110"/>
    <tableColumn id="41" xr3:uid="{00000000-0010-0000-0000-000029000000}" name="4.36" dataDxfId="109"/>
    <tableColumn id="42" xr3:uid="{00000000-0010-0000-0000-00002A000000}" name="4.37" dataDxfId="108"/>
    <tableColumn id="43" xr3:uid="{00000000-0010-0000-0000-00002B000000}" name="4.38" dataDxfId="107"/>
    <tableColumn id="44" xr3:uid="{00000000-0010-0000-0000-00002C000000}" name="4.39" dataDxfId="106"/>
    <tableColumn id="45" xr3:uid="{00000000-0010-0000-0000-00002D000000}" name="4.40" dataDxfId="105"/>
    <tableColumn id="46" xr3:uid="{00000000-0010-0000-0000-00002E000000}" name="4.41" dataDxfId="104"/>
    <tableColumn id="47" xr3:uid="{00000000-0010-0000-0000-00002F000000}" name="4.42" dataDxfId="103"/>
    <tableColumn id="48" xr3:uid="{00000000-0010-0000-0000-000030000000}" name="4.43" dataDxfId="102"/>
    <tableColumn id="49" xr3:uid="{00000000-0010-0000-0000-000031000000}" name="4.44" dataDxfId="101"/>
    <tableColumn id="50" xr3:uid="{00000000-0010-0000-0000-000032000000}" name="4.45" dataDxfId="100"/>
    <tableColumn id="51" xr3:uid="{00000000-0010-0000-0000-000033000000}" name="4.46" dataDxfId="99"/>
    <tableColumn id="52" xr3:uid="{00000000-0010-0000-0000-000034000000}" name="4.47" dataDxfId="98"/>
    <tableColumn id="53" xr3:uid="{00000000-0010-0000-0000-000035000000}" name="4.48" dataDxfId="97"/>
    <tableColumn id="54" xr3:uid="{00000000-0010-0000-0000-000036000000}" name="4.49" dataDxfId="96"/>
    <tableColumn id="55" xr3:uid="{00000000-0010-0000-0000-000037000000}" name="4.50" dataDxfId="95"/>
    <tableColumn id="56" xr3:uid="{00000000-0010-0000-0000-000038000000}" name="4.51" dataDxfId="94"/>
    <tableColumn id="57" xr3:uid="{00000000-0010-0000-0000-000039000000}" name="4.52" dataDxfId="93"/>
    <tableColumn id="58" xr3:uid="{00000000-0010-0000-0000-00003A000000}" name="4.53" dataDxfId="92"/>
    <tableColumn id="59" xr3:uid="{00000000-0010-0000-0000-00003B000000}" name="4.54" dataDxfId="91"/>
    <tableColumn id="60" xr3:uid="{00000000-0010-0000-0000-00003C000000}" name="4.55" dataDxfId="90"/>
    <tableColumn id="61" xr3:uid="{00000000-0010-0000-0000-00003D000000}" name="4.56" dataDxfId="89"/>
    <tableColumn id="62" xr3:uid="{00000000-0010-0000-0000-00003E000000}" name="4.57" dataDxfId="88"/>
    <tableColumn id="63" xr3:uid="{00000000-0010-0000-0000-00003F000000}" name="4.58" dataDxfId="87"/>
    <tableColumn id="64" xr3:uid="{00000000-0010-0000-0000-000040000000}" name="4.59" dataDxfId="86"/>
    <tableColumn id="65" xr3:uid="{00000000-0010-0000-0000-000041000000}" name="4.60" dataDxfId="85"/>
    <tableColumn id="66" xr3:uid="{00000000-0010-0000-0000-000042000000}" name="4.61" dataDxfId="84"/>
    <tableColumn id="67" xr3:uid="{00000000-0010-0000-0000-000043000000}" name="4.62" dataDxfId="83"/>
    <tableColumn id="68" xr3:uid="{00000000-0010-0000-0000-000044000000}" name="4.63" dataDxfId="82"/>
    <tableColumn id="69" xr3:uid="{00000000-0010-0000-0000-000045000000}" name="4.64" dataDxfId="81"/>
    <tableColumn id="70" xr3:uid="{00000000-0010-0000-0000-000046000000}" name="4.65" dataDxfId="80"/>
    <tableColumn id="71" xr3:uid="{00000000-0010-0000-0000-000047000000}" name="4.66" dataDxfId="79"/>
    <tableColumn id="72" xr3:uid="{00000000-0010-0000-0000-000048000000}" name="4.67" dataDxfId="78"/>
    <tableColumn id="73" xr3:uid="{00000000-0010-0000-0000-000049000000}" name="4.68" dataDxfId="77"/>
    <tableColumn id="74" xr3:uid="{00000000-0010-0000-0000-00004A000000}" name="4.69" dataDxfId="76"/>
    <tableColumn id="75" xr3:uid="{00000000-0010-0000-0000-00004B000000}" name="4.70" dataDxfId="75"/>
    <tableColumn id="76" xr3:uid="{00000000-0010-0000-0000-00004C000000}" name="4.71" dataDxfId="74"/>
    <tableColumn id="77" xr3:uid="{00000000-0010-0000-0000-00004D000000}" name="4.72" dataDxfId="73"/>
    <tableColumn id="78" xr3:uid="{00000000-0010-0000-0000-00004E000000}" name="4.73" dataDxfId="72"/>
    <tableColumn id="79" xr3:uid="{00000000-0010-0000-0000-00004F000000}" name="4.74" dataDxfId="71"/>
    <tableColumn id="80" xr3:uid="{00000000-0010-0000-0000-000050000000}" name="4.75" dataDxfId="70"/>
    <tableColumn id="81" xr3:uid="{00000000-0010-0000-0000-000051000000}" name="4.76" dataDxfId="69"/>
    <tableColumn id="82" xr3:uid="{00000000-0010-0000-0000-000052000000}" name="4.77" dataDxfId="68"/>
    <tableColumn id="83" xr3:uid="{00000000-0010-0000-0000-000053000000}" name="4.78" dataDxfId="67"/>
    <tableColumn id="84" xr3:uid="{00000000-0010-0000-0000-000054000000}" name="4.79" dataDxfId="66"/>
    <tableColumn id="85" xr3:uid="{00000000-0010-0000-0000-000055000000}" name="4.80" dataDxfId="65"/>
    <tableColumn id="86" xr3:uid="{00000000-0010-0000-0000-000056000000}" name="4.81" dataDxfId="64"/>
    <tableColumn id="87" xr3:uid="{00000000-0010-0000-0000-000057000000}" name="4.82" dataDxfId="63"/>
    <tableColumn id="88" xr3:uid="{00000000-0010-0000-0000-000058000000}" name="4.83" dataDxfId="62"/>
    <tableColumn id="89" xr3:uid="{00000000-0010-0000-0000-000059000000}" name="4.84" dataDxfId="61"/>
    <tableColumn id="90" xr3:uid="{00000000-0010-0000-0000-00005A000000}" name="4.85" dataDxfId="60"/>
    <tableColumn id="91" xr3:uid="{00000000-0010-0000-0000-00005B000000}" name="4.86" dataDxfId="59"/>
    <tableColumn id="92" xr3:uid="{00000000-0010-0000-0000-00005C000000}" name="4.87" dataDxfId="58"/>
    <tableColumn id="93" xr3:uid="{00000000-0010-0000-0000-00005D000000}" name="4.88" dataDxfId="57"/>
    <tableColumn id="94" xr3:uid="{00000000-0010-0000-0000-00005E000000}" name="4.89" dataDxfId="56"/>
    <tableColumn id="95" xr3:uid="{00000000-0010-0000-0000-00005F000000}" name="4.90" dataDxfId="55"/>
    <tableColumn id="96" xr3:uid="{00000000-0010-0000-0000-000060000000}" name="4.91" dataDxfId="54"/>
    <tableColumn id="97" xr3:uid="{00000000-0010-0000-0000-000061000000}" name="4.92" dataDxfId="53"/>
    <tableColumn id="98" xr3:uid="{00000000-0010-0000-0000-000062000000}" name="4.93" dataDxfId="52"/>
    <tableColumn id="99" xr3:uid="{00000000-0010-0000-0000-000063000000}" name="4.94" dataDxfId="51"/>
    <tableColumn id="100" xr3:uid="{00000000-0010-0000-0000-000064000000}" name="4.95" dataDxfId="50"/>
    <tableColumn id="101" xr3:uid="{00000000-0010-0000-0000-000065000000}" name="4.96" dataDxfId="49"/>
    <tableColumn id="102" xr3:uid="{00000000-0010-0000-0000-000066000000}" name="4.97" dataDxfId="48"/>
    <tableColumn id="103" xr3:uid="{00000000-0010-0000-0000-000067000000}" name="4.98" dataDxfId="47"/>
    <tableColumn id="104" xr3:uid="{00000000-0010-0000-0000-000068000000}" name="4.99" dataDxfId="46"/>
    <tableColumn id="105" xr3:uid="{00000000-0010-0000-0000-000069000000}" name="4.100" dataDxfId="45"/>
    <tableColumn id="106" xr3:uid="{00000000-0010-0000-0000-00006A000000}" name="4.101" dataDxfId="44"/>
    <tableColumn id="107" xr3:uid="{00000000-0010-0000-0000-00006B000000}" name="4.102" dataDxfId="43"/>
    <tableColumn id="108" xr3:uid="{00000000-0010-0000-0000-00006C000000}" name="4.103" dataDxfId="42"/>
    <tableColumn id="109" xr3:uid="{00000000-0010-0000-0000-00006D000000}" name="4.104" dataDxfId="41"/>
    <tableColumn id="110" xr3:uid="{00000000-0010-0000-0000-00006E000000}" name="4.105" dataDxfId="40"/>
    <tableColumn id="111" xr3:uid="{00000000-0010-0000-0000-00006F000000}" name="4.106" dataDxfId="39"/>
    <tableColumn id="112" xr3:uid="{00000000-0010-0000-0000-000070000000}" name="4.107" dataDxfId="38"/>
    <tableColumn id="113" xr3:uid="{00000000-0010-0000-0000-000071000000}" name="4.108" dataDxfId="37"/>
    <tableColumn id="114" xr3:uid="{00000000-0010-0000-0000-000072000000}" name="4.109" dataDxfId="36"/>
    <tableColumn id="115" xr3:uid="{00000000-0010-0000-0000-000073000000}" name="4.110" dataDxfId="35"/>
    <tableColumn id="116" xr3:uid="{00000000-0010-0000-0000-000074000000}" name="4.111" dataDxfId="34"/>
    <tableColumn id="117" xr3:uid="{00000000-0010-0000-0000-000075000000}" name="4.112" dataDxfId="33"/>
    <tableColumn id="118" xr3:uid="{00000000-0010-0000-0000-000076000000}" name="4.113" dataDxfId="32"/>
    <tableColumn id="119" xr3:uid="{00000000-0010-0000-0000-000077000000}" name="4.114" dataDxfId="31"/>
    <tableColumn id="120" xr3:uid="{00000000-0010-0000-0000-000078000000}" name="4.115" dataDxfId="30"/>
    <tableColumn id="121" xr3:uid="{00000000-0010-0000-0000-000079000000}" name="4.116" dataDxfId="29"/>
    <tableColumn id="122" xr3:uid="{00000000-0010-0000-0000-00007A000000}" name="4.117" dataDxfId="28"/>
    <tableColumn id="123" xr3:uid="{00000000-0010-0000-0000-00007B000000}" name="4.118" dataDxfId="27"/>
    <tableColumn id="124" xr3:uid="{00000000-0010-0000-0000-00007C000000}" name="4.119" dataDxfId="26"/>
    <tableColumn id="125" xr3:uid="{00000000-0010-0000-0000-00007D000000}" name="4.120" dataDxfId="25"/>
    <tableColumn id="126" xr3:uid="{00000000-0010-0000-0000-00007E000000}" name="4.121" dataDxfId="24"/>
    <tableColumn id="127" xr3:uid="{00000000-0010-0000-0000-00007F000000}" name="4.122" dataDxfId="23"/>
    <tableColumn id="128" xr3:uid="{00000000-0010-0000-0000-000080000000}" name="4.123" dataDxfId="22"/>
    <tableColumn id="129" xr3:uid="{00000000-0010-0000-0000-000081000000}" name="4.124" dataDxfId="21"/>
    <tableColumn id="130" xr3:uid="{00000000-0010-0000-0000-000082000000}" name="4.125" dataDxfId="20"/>
    <tableColumn id="131" xr3:uid="{00000000-0010-0000-0000-000083000000}" name="4.126" dataDxfId="19"/>
    <tableColumn id="132" xr3:uid="{00000000-0010-0000-0000-000084000000}" name="4.127" dataDxfId="18"/>
    <tableColumn id="133" xr3:uid="{00000000-0010-0000-0000-000085000000}" name="4.128" dataDxfId="17"/>
    <tableColumn id="134" xr3:uid="{00000000-0010-0000-0000-000086000000}" name="4.129" dataDxfId="16"/>
    <tableColumn id="135" xr3:uid="{00000000-0010-0000-0000-000087000000}" name="4.130" dataDxfId="15"/>
    <tableColumn id="136" xr3:uid="{00000000-0010-0000-0000-000088000000}" name="4.131" dataDxfId="14"/>
    <tableColumn id="137" xr3:uid="{00000000-0010-0000-0000-000089000000}" name="4.132" dataDxfId="13"/>
    <tableColumn id="138" xr3:uid="{00000000-0010-0000-0000-00008A000000}" name="4.133" dataDxfId="12"/>
    <tableColumn id="139" xr3:uid="{00000000-0010-0000-0000-00008B000000}" name="4.134" dataDxfId="11"/>
    <tableColumn id="140" xr3:uid="{00000000-0010-0000-0000-00008C000000}" name="4.135" dataDxfId="10"/>
    <tableColumn id="141" xr3:uid="{00000000-0010-0000-0000-00008D000000}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Eixo4" displayName="Eixo4" ref="A1:E138" totalsRowShown="0" headerRowDxfId="8" dataDxfId="6" headerRowBorderDxfId="7" tableBorderDxfId="5">
  <autoFilter ref="A1:E138" xr:uid="{00000000-0009-0000-0100-000002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4"/>
  <sheetViews>
    <sheetView showGridLines="0" zoomScale="80" zoomScaleNormal="80" workbookViewId="0">
      <selection activeCell="C26" sqref="C26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0</v>
      </c>
      <c r="C15" s="57">
        <v>158</v>
      </c>
      <c r="D15" s="58">
        <f>ROUND(B15/C15*100,3)</f>
        <v>0</v>
      </c>
    </row>
    <row r="16" spans="1:13" x14ac:dyDescent="0.2">
      <c r="A16" s="59" t="s">
        <v>17</v>
      </c>
      <c r="B16" s="57">
        <f>COUNTIF(Resp4[Vínculo],A16)</f>
        <v>60</v>
      </c>
      <c r="C16" s="57">
        <v>441</v>
      </c>
      <c r="D16" s="58">
        <f t="shared" ref="D16:D17" si="0">ROUND(B16/C16*100,3)</f>
        <v>13.605</v>
      </c>
    </row>
    <row r="17" spans="1:10" x14ac:dyDescent="0.2">
      <c r="A17" s="60" t="s">
        <v>18</v>
      </c>
      <c r="B17" s="57">
        <f>SUM(B15:B16)</f>
        <v>60</v>
      </c>
      <c r="C17" s="57">
        <f>SUM(C15:C16)</f>
        <v>599</v>
      </c>
      <c r="D17" s="58">
        <f t="shared" si="0"/>
        <v>10.016999999999999</v>
      </c>
    </row>
    <row r="18" spans="1:10" x14ac:dyDescent=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/>
      <c r="I18" s="103"/>
      <c r="J18" s="103"/>
    </row>
    <row r="19" spans="1:10" x14ac:dyDescent="0.2">
      <c r="A19" s="52"/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 x14ac:dyDescent="0.2">
      <c r="A20" s="52"/>
      <c r="B20" s="103"/>
      <c r="C20" s="103"/>
      <c r="D20" s="103"/>
      <c r="E20" s="103"/>
      <c r="F20" s="103"/>
      <c r="G20" s="103"/>
      <c r="H20" s="103"/>
      <c r="I20" s="103"/>
      <c r="J20" s="103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COUNTIFS(Resp4[Vínculo],"tecnico",Resp4[4.04],B8)</f>
        <v>0</v>
      </c>
      <c r="D8" s="4">
        <f>COUNTIFS(Resp4[Vínculo],"docente",Resp4[4.04],B8)</f>
        <v>5</v>
      </c>
      <c r="E8" s="4">
        <f>COUNTIF(Resp4[4.04],B8)</f>
        <v>5</v>
      </c>
      <c r="F8" s="4">
        <f t="shared" si="0"/>
        <v>8.33</v>
      </c>
      <c r="G8" s="3">
        <f t="shared" si="1"/>
        <v>9.6150000000000002</v>
      </c>
    </row>
    <row r="9" spans="1:7" x14ac:dyDescent="0.25">
      <c r="B9" s="2" t="s">
        <v>204</v>
      </c>
      <c r="C9" s="4">
        <f>COUNTIFS(Resp4[Vínculo],"tecnico",Resp4[4.04],B9)</f>
        <v>0</v>
      </c>
      <c r="D9" s="4">
        <f>COUNTIFS(Resp4[Vínculo],"docente",Resp4[4.04],B9)</f>
        <v>8</v>
      </c>
      <c r="E9" s="4">
        <f>COUNTIF(Resp4[4.04],B9)</f>
        <v>8</v>
      </c>
      <c r="F9" s="4">
        <f t="shared" si="0"/>
        <v>13.33</v>
      </c>
      <c r="G9" s="3">
        <f t="shared" si="1"/>
        <v>15.385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8</v>
      </c>
      <c r="E10" s="4">
        <f>COUNTIF(Resp4[4.04],B10)</f>
        <v>8</v>
      </c>
      <c r="F10" s="4">
        <f t="shared" si="0"/>
        <v>13.33</v>
      </c>
      <c r="G10" s="3">
        <f t="shared" si="1"/>
        <v>15.385</v>
      </c>
    </row>
    <row r="11" spans="1:7" x14ac:dyDescent="0.25">
      <c r="B11" s="2" t="s">
        <v>195</v>
      </c>
      <c r="C11" s="4">
        <f>COUNTIFS(Resp4[Vínculo],"tecnico",Resp4[4.04],B11)</f>
        <v>0</v>
      </c>
      <c r="D11" s="4">
        <f>COUNTIFS(Resp4[Vínculo],"docente",Resp4[4.04],B11)</f>
        <v>18</v>
      </c>
      <c r="E11" s="4">
        <f>COUNTIF(Resp4[4.04],B11)</f>
        <v>18</v>
      </c>
      <c r="F11" s="4">
        <f t="shared" si="0"/>
        <v>30</v>
      </c>
      <c r="G11" s="3">
        <f t="shared" si="1"/>
        <v>34.615000000000002</v>
      </c>
    </row>
    <row r="12" spans="1:7" x14ac:dyDescent="0.25">
      <c r="B12" s="7" t="s">
        <v>196</v>
      </c>
      <c r="C12" s="4">
        <f>COUNTIFS(Resp4[Vínculo],"tecnico",Resp4[4.04],B12)</f>
        <v>0</v>
      </c>
      <c r="D12" s="4">
        <f>COUNTIFS(Resp4[Vínculo],"docente",Resp4[4.04],B12)</f>
        <v>13</v>
      </c>
      <c r="E12" s="4">
        <f>COUNTIF(Resp4[4.04],B12)</f>
        <v>13</v>
      </c>
      <c r="F12" s="22">
        <f t="shared" si="0"/>
        <v>21.67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13</v>
      </c>
      <c r="E25" s="15">
        <f>ROUND(D25/SUM(D$25:D$28)*100,3)</f>
        <v>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59.615000000000002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COUNTIFS(Resp4[Vínculo],"tecnico",Resp4[4.103],B9)</f>
        <v>0</v>
      </c>
      <c r="D9" s="4">
        <f>COUNTIFS(Resp4[Vínculo],"docente",Resp4[4.103],B9)</f>
        <v>2</v>
      </c>
      <c r="E9" s="4">
        <f>COUNTIF(Resp4[4.103],B9)</f>
        <v>2</v>
      </c>
      <c r="F9" s="4">
        <f t="shared" si="0"/>
        <v>3.33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1</v>
      </c>
      <c r="E10" s="4">
        <f>COUNTIF(Resp4[4.103],B10)</f>
        <v>1</v>
      </c>
      <c r="F10" s="4">
        <f t="shared" si="0"/>
        <v>1.67</v>
      </c>
      <c r="G10" s="3">
        <f t="shared" si="1"/>
        <v>3.125</v>
      </c>
    </row>
    <row r="11" spans="1:7" x14ac:dyDescent="0.25">
      <c r="B11" s="2" t="s">
        <v>195</v>
      </c>
      <c r="C11" s="4">
        <f>COUNTIFS(Resp4[Vínculo],"tecnico",Resp4[4.103],B11)</f>
        <v>0</v>
      </c>
      <c r="D11" s="4">
        <f>COUNTIFS(Resp4[Vínculo],"docente",Resp4[4.103],B11)</f>
        <v>14</v>
      </c>
      <c r="E11" s="4">
        <f>COUNTIF(Resp4[4.103],B11)</f>
        <v>14</v>
      </c>
      <c r="F11" s="4">
        <f t="shared" si="0"/>
        <v>23.33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COUNTIFS(Resp4[Vínculo],"tecnico",Resp4[4.103],B12)</f>
        <v>0</v>
      </c>
      <c r="D12" s="4">
        <f>COUNTIFS(Resp4[Vínculo],"docente",Resp4[4.103],B12)</f>
        <v>15</v>
      </c>
      <c r="E12" s="4">
        <f>COUNTIF(Resp4[4.103],B12)</f>
        <v>15</v>
      </c>
      <c r="F12" s="22">
        <f t="shared" si="0"/>
        <v>25</v>
      </c>
      <c r="G12" s="3">
        <f t="shared" si="1"/>
        <v>46.875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3.125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90.625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COUNTIFS(Resp4[Vínculo],"tecnico",Resp4[4.104],B7)</f>
        <v>0</v>
      </c>
      <c r="D7" s="4">
        <f>COUNTIFS(Resp4[Vínculo],"docente",Resp4[4.104],B7)</f>
        <v>4</v>
      </c>
      <c r="E7" s="4">
        <f>COUNTIF(Resp4[4.104],B7)</f>
        <v>4</v>
      </c>
      <c r="F7" s="15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COUNTIFS(Resp4[Vínculo],"tecnico",Resp4[4.104],B8)</f>
        <v>0</v>
      </c>
      <c r="D8" s="4">
        <f>COUNTIFS(Resp4[Vínculo],"docente",Resp4[4.104],B8)</f>
        <v>1</v>
      </c>
      <c r="E8" s="4">
        <f>COUNTIF(Resp4[4.104],B8)</f>
        <v>1</v>
      </c>
      <c r="F8" s="15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5</v>
      </c>
      <c r="E10" s="4">
        <f>COUNTIF(Resp4[4.104],B10)</f>
        <v>5</v>
      </c>
      <c r="F10" s="15">
        <f t="shared" si="0"/>
        <v>8.33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COUNTIFS(Resp4[Vínculo],"tecnico",Resp4[4.104],B11)</f>
        <v>0</v>
      </c>
      <c r="D11" s="4">
        <f>COUNTIFS(Resp4[Vínculo],"docente",Resp4[4.104],B11)</f>
        <v>12</v>
      </c>
      <c r="E11" s="4">
        <f>COUNTIF(Resp4[4.104],B11)</f>
        <v>12</v>
      </c>
      <c r="F11" s="15">
        <f t="shared" si="0"/>
        <v>20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COUNTIFS(Resp4[Vínculo],"tecnico",Resp4[4.104],B12)</f>
        <v>0</v>
      </c>
      <c r="D12" s="4">
        <f>COUNTIFS(Resp4[Vínculo],"docente",Resp4[4.104],B12)</f>
        <v>10</v>
      </c>
      <c r="E12" s="4">
        <f>COUNTIF(Resp4[4.104],B12)</f>
        <v>10</v>
      </c>
      <c r="F12" s="19">
        <f t="shared" si="0"/>
        <v>16.670000000000002</v>
      </c>
      <c r="G12" s="3">
        <f t="shared" si="1"/>
        <v>31.25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15.625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68.75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COUNTIFS(Resp4[Vínculo],"tecnico",Resp4[4.105],B7)</f>
        <v>0</v>
      </c>
      <c r="D7" s="4">
        <f>COUNTIFS(Resp4[Vínculo],"docente",Resp4[4.105],B7)</f>
        <v>4</v>
      </c>
      <c r="E7" s="4">
        <f>COUNTIF(Resp4[4.105],B7)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COUNTIFS(Resp4[Vínculo],"tecnico",Resp4[4.105],B8)</f>
        <v>0</v>
      </c>
      <c r="D8" s="4">
        <f>COUNTIFS(Resp4[Vínculo],"docente",Resp4[4.105],B8)</f>
        <v>1</v>
      </c>
      <c r="E8" s="4">
        <f>COUNTIF(Resp4[4.105],B8)</f>
        <v>1</v>
      </c>
      <c r="F8" s="4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6</v>
      </c>
      <c r="E10" s="4">
        <f>COUNTIF(Resp4[4.105],B10)</f>
        <v>6</v>
      </c>
      <c r="F10" s="4">
        <f t="shared" si="0"/>
        <v>10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COUNTIFS(Resp4[Vínculo],"tecnico",Resp4[4.105],B11)</f>
        <v>0</v>
      </c>
      <c r="D11" s="4">
        <f>COUNTIFS(Resp4[Vínculo],"docente",Resp4[4.105],B11)</f>
        <v>12</v>
      </c>
      <c r="E11" s="4">
        <f>COUNTIF(Resp4[4.105],B11)</f>
        <v>12</v>
      </c>
      <c r="F11" s="4">
        <f t="shared" si="0"/>
        <v>20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COUNTIFS(Resp4[Vínculo],"tecnico",Resp4[4.105],B12)</f>
        <v>0</v>
      </c>
      <c r="D12" s="4">
        <f>COUNTIFS(Resp4[Vínculo],"docente",Resp4[4.105],B12)</f>
        <v>9</v>
      </c>
      <c r="E12" s="4">
        <f>COUNTIF(Resp4[4.105],B12)</f>
        <v>9</v>
      </c>
      <c r="F12" s="22">
        <f t="shared" si="0"/>
        <v>15</v>
      </c>
      <c r="G12" s="3">
        <f t="shared" si="1"/>
        <v>28.125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65.625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COUNTIFS(Resp4[Vínculo],"tecnico",Resp4[4.106],B7)</f>
        <v>0</v>
      </c>
      <c r="D7" s="4">
        <f>COUNTIFS(Resp4[Vínculo],"docente",Resp4[4.106],B7)</f>
        <v>4</v>
      </c>
      <c r="E7" s="4">
        <f>COUNTIF(Resp4[4.106],B7)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COUNTIFS(Resp4[Vínculo],"tecnico",Resp4[4.106],B9)</f>
        <v>0</v>
      </c>
      <c r="D9" s="4">
        <f>COUNTIFS(Resp4[Vínculo],"docente",Resp4[4.106],B9)</f>
        <v>0</v>
      </c>
      <c r="E9" s="4">
        <f>COUNTIF(Resp4[4.106],B9)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6</v>
      </c>
      <c r="E10" s="4">
        <f>COUNTIF(Resp4[4.106],B10)</f>
        <v>6</v>
      </c>
      <c r="F10" s="4">
        <f t="shared" si="0"/>
        <v>10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COUNTIFS(Resp4[Vínculo],"tecnico",Resp4[4.106],B11)</f>
        <v>0</v>
      </c>
      <c r="D11" s="4">
        <f>COUNTIFS(Resp4[Vínculo],"docente",Resp4[4.106],B11)</f>
        <v>11</v>
      </c>
      <c r="E11" s="4">
        <f>COUNTIF(Resp4[4.106],B11)</f>
        <v>11</v>
      </c>
      <c r="F11" s="4">
        <f t="shared" si="0"/>
        <v>18.329999999999998</v>
      </c>
      <c r="G11" s="3">
        <f t="shared" si="1"/>
        <v>34.375</v>
      </c>
    </row>
    <row r="12" spans="1:7" x14ac:dyDescent="0.25">
      <c r="B12" s="7" t="s">
        <v>196</v>
      </c>
      <c r="C12" s="4">
        <f>COUNTIFS(Resp4[Vínculo],"tecnico",Resp4[4.106],B12)</f>
        <v>0</v>
      </c>
      <c r="D12" s="4">
        <f>COUNTIFS(Resp4[Vínculo],"docente",Resp4[4.106],B12)</f>
        <v>11</v>
      </c>
      <c r="E12" s="4">
        <f>COUNTIF(Resp4[4.106],B12)</f>
        <v>11</v>
      </c>
      <c r="F12" s="22">
        <f t="shared" si="0"/>
        <v>18.329999999999998</v>
      </c>
      <c r="G12" s="3">
        <f t="shared" si="1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68.75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COUNTIFS(Resp4[Vínculo],"tecnico",Resp4[4.107],B7)</f>
        <v>0</v>
      </c>
      <c r="D7" s="4">
        <f>COUNTIFS(Resp4[Vínculo],"docente",Resp4[4.107],B7)</f>
        <v>4</v>
      </c>
      <c r="E7" s="4">
        <f>COUNTIF(Resp4[4.107],B7)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COUNTIFS(Resp4[Vínculo],"tecnico",Resp4[4.107],B9)</f>
        <v>0</v>
      </c>
      <c r="D9" s="4">
        <f>COUNTIFS(Resp4[Vínculo],"docente",Resp4[4.107],B9)</f>
        <v>0</v>
      </c>
      <c r="E9" s="4">
        <f>COUNTIF(Resp4[4.107],B9)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7</v>
      </c>
      <c r="E10" s="4">
        <f>COUNTIF(Resp4[4.107],B10)</f>
        <v>7</v>
      </c>
      <c r="F10" s="4">
        <f t="shared" si="0"/>
        <v>11.67</v>
      </c>
      <c r="G10" s="3">
        <f t="shared" si="1"/>
        <v>21.875</v>
      </c>
    </row>
    <row r="11" spans="1:7" x14ac:dyDescent="0.25">
      <c r="B11" s="2" t="s">
        <v>195</v>
      </c>
      <c r="C11" s="4">
        <f>COUNTIFS(Resp4[Vínculo],"tecnico",Resp4[4.107],B11)</f>
        <v>0</v>
      </c>
      <c r="D11" s="4">
        <f>COUNTIFS(Resp4[Vínculo],"docente",Resp4[4.107],B11)</f>
        <v>9</v>
      </c>
      <c r="E11" s="4">
        <f>COUNTIF(Resp4[4.107],B11)</f>
        <v>9</v>
      </c>
      <c r="F11" s="4">
        <f t="shared" si="0"/>
        <v>15</v>
      </c>
      <c r="G11" s="3">
        <f t="shared" si="1"/>
        <v>28.125</v>
      </c>
    </row>
    <row r="12" spans="1:7" x14ac:dyDescent="0.25">
      <c r="B12" s="7" t="s">
        <v>196</v>
      </c>
      <c r="C12" s="4">
        <f>COUNTIFS(Resp4[Vínculo],"tecnico",Resp4[4.107],B12)</f>
        <v>0</v>
      </c>
      <c r="D12" s="4">
        <f>COUNTIFS(Resp4[Vínculo],"docente",Resp4[4.107],B12)</f>
        <v>12</v>
      </c>
      <c r="E12" s="4">
        <f>COUNTIF(Resp4[4.107],B12)</f>
        <v>12</v>
      </c>
      <c r="F12" s="22">
        <f t="shared" si="0"/>
        <v>20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21.875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65.625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COUNTIFS(Resp4[Vínculo],"tecnico",Resp4[4.108],B7)</f>
        <v>0</v>
      </c>
      <c r="D7" s="4">
        <f>COUNTIFS(Resp4[Vínculo],"docente",Resp4[4.108],B7)</f>
        <v>4</v>
      </c>
      <c r="E7" s="4">
        <f>COUNTIF(Resp4[4.108],B7)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7</v>
      </c>
      <c r="E10" s="4">
        <f>COUNTIF(Resp4[4.108],B10)</f>
        <v>7</v>
      </c>
      <c r="F10" s="4">
        <f t="shared" si="0"/>
        <v>11.67</v>
      </c>
      <c r="G10" s="3">
        <f t="shared" si="1"/>
        <v>21.875</v>
      </c>
    </row>
    <row r="11" spans="1:7" x14ac:dyDescent="0.25">
      <c r="B11" s="2" t="s">
        <v>195</v>
      </c>
      <c r="C11" s="4">
        <f>COUNTIFS(Resp4[Vínculo],"tecnico",Resp4[4.108],B11)</f>
        <v>0</v>
      </c>
      <c r="D11" s="4">
        <f>COUNTIFS(Resp4[Vínculo],"docente",Resp4[4.108],B11)</f>
        <v>9</v>
      </c>
      <c r="E11" s="4">
        <f>COUNTIF(Resp4[4.108],B11)</f>
        <v>9</v>
      </c>
      <c r="F11" s="4">
        <f t="shared" si="0"/>
        <v>15</v>
      </c>
      <c r="G11" s="3">
        <f t="shared" si="1"/>
        <v>28.125</v>
      </c>
    </row>
    <row r="12" spans="1:7" x14ac:dyDescent="0.25">
      <c r="B12" s="7" t="s">
        <v>196</v>
      </c>
      <c r="C12" s="4">
        <f>COUNTIFS(Resp4[Vínculo],"tecnico",Resp4[4.108],B12)</f>
        <v>0</v>
      </c>
      <c r="D12" s="4">
        <f>COUNTIFS(Resp4[Vínculo],"docente",Resp4[4.108],B12)</f>
        <v>12</v>
      </c>
      <c r="E12" s="4">
        <f>COUNTIF(Resp4[4.108],B12)</f>
        <v>12</v>
      </c>
      <c r="F12" s="22">
        <f t="shared" si="0"/>
        <v>20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21.875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65.625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COUNTIFS(Resp4[Vínculo],"tecnico",Resp4[4.109],B7)</f>
        <v>0</v>
      </c>
      <c r="D7" s="4">
        <f>COUNTIFS(Resp4[Vínculo],"docente",Resp4[4.109],B7)</f>
        <v>4</v>
      </c>
      <c r="E7" s="4">
        <f>COUNTIF(Resp4[4.109],B7)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COUNTIFS(Resp4[Vínculo],"tecnico",Resp4[4.109],B9)</f>
        <v>0</v>
      </c>
      <c r="D9" s="4">
        <f>COUNTIFS(Resp4[Vínculo],"docente",Resp4[4.109],B9)</f>
        <v>1</v>
      </c>
      <c r="E9" s="4">
        <f>COUNTIF(Resp4[4.109],B9)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COUNTIFS(Resp4[Vínculo],"tecnico",Resp4[4.109],B10)</f>
        <v>0</v>
      </c>
      <c r="D10" s="4">
        <f>COUNTIFS(Resp4[Vínculo],"docente",Resp4[4.109],B10)</f>
        <v>4</v>
      </c>
      <c r="E10" s="4">
        <f>COUNTIF(Resp4[4.109],B10)</f>
        <v>4</v>
      </c>
      <c r="F10" s="4">
        <f t="shared" si="0"/>
        <v>6.67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COUNTIFS(Resp4[Vínculo],"tecnico",Resp4[4.109],B11)</f>
        <v>0</v>
      </c>
      <c r="D11" s="4">
        <f>COUNTIFS(Resp4[Vínculo],"docente",Resp4[4.109],B11)</f>
        <v>12</v>
      </c>
      <c r="E11" s="4">
        <f>COUNTIF(Resp4[4.109],B11)</f>
        <v>12</v>
      </c>
      <c r="F11" s="4">
        <f t="shared" si="0"/>
        <v>20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COUNTIFS(Resp4[Vínculo],"tecnico",Resp4[4.109],B12)</f>
        <v>0</v>
      </c>
      <c r="D12" s="4">
        <f>COUNTIFS(Resp4[Vínculo],"docente",Resp4[4.109],B12)</f>
        <v>11</v>
      </c>
      <c r="E12" s="4">
        <f>COUNTIF(Resp4[4.109],B12)</f>
        <v>11</v>
      </c>
      <c r="F12" s="22">
        <f t="shared" si="0"/>
        <v>18.329999999999998</v>
      </c>
      <c r="G12" s="3">
        <f t="shared" si="1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71.875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COUNTIFS(Resp4[Vínculo],"tecnico",Resp4[4.110],B7)</f>
        <v>0</v>
      </c>
      <c r="D7" s="4">
        <f>COUNTIFS(Resp4[Vínculo],"docente",Resp4[4.110],B7)</f>
        <v>4</v>
      </c>
      <c r="E7" s="4">
        <f>COUNTIF(Resp4[4.110],B7)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COUNTIFS(Resp4[Vínculo],"tecnico",Resp4[4.110],B8)</f>
        <v>0</v>
      </c>
      <c r="D8" s="4">
        <f>COUNTIFS(Resp4[Vínculo],"docente",Resp4[4.110],B8)</f>
        <v>1</v>
      </c>
      <c r="E8" s="4">
        <f>COUNTIF(Resp4[4.110],B8)</f>
        <v>1</v>
      </c>
      <c r="F8" s="4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COUNTIFS(Resp4[Vínculo],"tecnico",Resp4[4.110],B9)</f>
        <v>0</v>
      </c>
      <c r="D9" s="4">
        <f>COUNTIFS(Resp4[Vínculo],"docente",Resp4[4.110],B9)</f>
        <v>1</v>
      </c>
      <c r="E9" s="4">
        <f>COUNTIF(Resp4[4.110],B9)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5</v>
      </c>
      <c r="E10" s="4">
        <f>COUNTIF(Resp4[4.110],B10)</f>
        <v>5</v>
      </c>
      <c r="F10" s="4">
        <f t="shared" si="0"/>
        <v>8.33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COUNTIFS(Resp4[Vínculo],"tecnico",Resp4[4.110],B11)</f>
        <v>0</v>
      </c>
      <c r="D11" s="4">
        <f>COUNTIFS(Resp4[Vínculo],"docente",Resp4[4.110],B11)</f>
        <v>15</v>
      </c>
      <c r="E11" s="4">
        <f>COUNTIF(Resp4[4.110],B11)</f>
        <v>15</v>
      </c>
      <c r="F11" s="4">
        <f t="shared" si="0"/>
        <v>25</v>
      </c>
      <c r="G11" s="3">
        <f t="shared" si="1"/>
        <v>46.875</v>
      </c>
    </row>
    <row r="12" spans="1:7" x14ac:dyDescent="0.25">
      <c r="B12" s="7" t="s">
        <v>196</v>
      </c>
      <c r="C12" s="4">
        <f>COUNTIFS(Resp4[Vínculo],"tecnico",Resp4[4.110],B12)</f>
        <v>0</v>
      </c>
      <c r="D12" s="4">
        <f>COUNTIFS(Resp4[Vínculo],"docente",Resp4[4.110],B12)</f>
        <v>6</v>
      </c>
      <c r="E12" s="4">
        <f>COUNTIF(Resp4[4.110],B12)</f>
        <v>6</v>
      </c>
      <c r="F12" s="22">
        <f t="shared" si="0"/>
        <v>10</v>
      </c>
      <c r="G12" s="3">
        <f t="shared" si="1"/>
        <v>18.75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15.625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65.625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COUNTIFS(Resp4[Vínculo],"tecnico",Resp4[4.111],B7)</f>
        <v>0</v>
      </c>
      <c r="D7" s="4">
        <f>COUNTIFS(Resp4[Vínculo],"docente",Resp4[4.111],B7)</f>
        <v>4</v>
      </c>
      <c r="E7" s="4">
        <f>COUNTIF(Resp4[4.111],B7)</f>
        <v>4</v>
      </c>
      <c r="F7" s="4">
        <f t="shared" ref="F7:F13" si="0">ROUND($E7/E$13*100,2)</f>
        <v>6.67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COUNTIFS(Resp4[Vínculo],"tecnico",Resp4[4.111],B8)</f>
        <v>0</v>
      </c>
      <c r="D8" s="4">
        <f>COUNTIFS(Resp4[Vínculo],"docente",Resp4[4.111],B8)</f>
        <v>1</v>
      </c>
      <c r="E8" s="4">
        <f>COUNTIF(Resp4[4.111],B8)</f>
        <v>1</v>
      </c>
      <c r="F8" s="4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COUNTIFS(Resp4[Vínculo],"tecnico",Resp4[4.111],B9)</f>
        <v>0</v>
      </c>
      <c r="D9" s="4">
        <f>COUNTIFS(Resp4[Vínculo],"docente",Resp4[4.111],B9)</f>
        <v>1</v>
      </c>
      <c r="E9" s="4">
        <f>COUNTIF(Resp4[4.111],B9)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6</v>
      </c>
      <c r="E10" s="4">
        <f>COUNTIF(Resp4[4.111],B10)</f>
        <v>6</v>
      </c>
      <c r="F10" s="4">
        <f t="shared" si="0"/>
        <v>10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COUNTIFS(Resp4[Vínculo],"tecnico",Resp4[4.111],B11)</f>
        <v>0</v>
      </c>
      <c r="D11" s="4">
        <f>COUNTIFS(Resp4[Vínculo],"docente",Resp4[4.111],B11)</f>
        <v>13</v>
      </c>
      <c r="E11" s="4">
        <f>COUNTIF(Resp4[4.111],B11)</f>
        <v>13</v>
      </c>
      <c r="F11" s="4">
        <f t="shared" si="0"/>
        <v>21.67</v>
      </c>
      <c r="G11" s="3">
        <f t="shared" si="1"/>
        <v>40.625</v>
      </c>
    </row>
    <row r="12" spans="1:7" x14ac:dyDescent="0.25">
      <c r="B12" s="7" t="s">
        <v>196</v>
      </c>
      <c r="C12" s="4">
        <f>COUNTIFS(Resp4[Vínculo],"tecnico",Resp4[4.111],B12)</f>
        <v>0</v>
      </c>
      <c r="D12" s="4">
        <f>COUNTIFS(Resp4[Vínculo],"docente",Resp4[4.111],B12)</f>
        <v>7</v>
      </c>
      <c r="E12" s="4">
        <f>COUNTIF(Resp4[4.111],B12)</f>
        <v>7</v>
      </c>
      <c r="F12" s="22">
        <f t="shared" si="0"/>
        <v>11.67</v>
      </c>
      <c r="G12" s="3">
        <f t="shared" si="1"/>
        <v>21.875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3">
        <f>ROUND($E6/E$13*100,2)</f>
        <v>46.67</v>
      </c>
    </row>
    <row r="7" spans="1:7" x14ac:dyDescent="0.25">
      <c r="B7" s="2" t="s">
        <v>201</v>
      </c>
      <c r="C7" s="4">
        <f>COUNTIFS(Resp4[Vínculo],"tecnico",Resp4[4.112],B7)</f>
        <v>0</v>
      </c>
      <c r="D7" s="4">
        <f>COUNTIFS(Resp4[Vínculo],"docente",Resp4[4.112],B7)</f>
        <v>8</v>
      </c>
      <c r="E7" s="4">
        <f>COUNTIF(Resp4[4.112],B7)</f>
        <v>8</v>
      </c>
      <c r="F7" s="3">
        <f t="shared" ref="F7:F13" si="0">ROUND($E7/E$13*100,2)</f>
        <v>13.33</v>
      </c>
      <c r="G7" s="3">
        <f t="shared" ref="G7:G12" si="1">ROUND($E7/SUM($E$7:$E$12)*100,3)</f>
        <v>25</v>
      </c>
    </row>
    <row r="8" spans="1:7" x14ac:dyDescent="0.25">
      <c r="B8" s="2" t="s">
        <v>207</v>
      </c>
      <c r="C8" s="4">
        <f>COUNTIFS(Resp4[Vínculo],"tecnico",Resp4[4.112],B8)</f>
        <v>0</v>
      </c>
      <c r="D8" s="4">
        <f>COUNTIFS(Resp4[Vínculo],"docente",Resp4[4.112],B8)</f>
        <v>1</v>
      </c>
      <c r="E8" s="4">
        <f>COUNTIF(Resp4[4.112],B8)</f>
        <v>1</v>
      </c>
      <c r="F8" s="3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COUNTIFS(Resp4[Vínculo],"tecnico",Resp4[4.112],B9)</f>
        <v>0</v>
      </c>
      <c r="D9" s="4">
        <f>COUNTIFS(Resp4[Vínculo],"docente",Resp4[4.112],B9)</f>
        <v>1</v>
      </c>
      <c r="E9" s="4">
        <f>COUNTIF(Resp4[4.112],B9)</f>
        <v>1</v>
      </c>
      <c r="F9" s="3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COUNTIFS(Resp4[Vínculo],"tecnico",Resp4[4.112],B10)</f>
        <v>0</v>
      </c>
      <c r="D10" s="4">
        <f>COUNTIFS(Resp4[Vínculo],"docente",Resp4[4.112],B10)</f>
        <v>4</v>
      </c>
      <c r="E10" s="4">
        <f>COUNTIF(Resp4[4.112],B10)</f>
        <v>4</v>
      </c>
      <c r="F10" s="3">
        <f t="shared" si="0"/>
        <v>6.67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COUNTIFS(Resp4[Vínculo],"tecnico",Resp4[4.112],B11)</f>
        <v>0</v>
      </c>
      <c r="D11" s="4">
        <f>COUNTIFS(Resp4[Vínculo],"docente",Resp4[4.112],B11)</f>
        <v>12</v>
      </c>
      <c r="E11" s="4">
        <f>COUNTIF(Resp4[4.112],B11)</f>
        <v>12</v>
      </c>
      <c r="F11" s="3">
        <f t="shared" si="0"/>
        <v>20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COUNTIFS(Resp4[Vínculo],"tecnico",Resp4[4.112],B12)</f>
        <v>0</v>
      </c>
      <c r="D12" s="4">
        <f>COUNTIFS(Resp4[Vínculo],"docente",Resp4[4.112],B12)</f>
        <v>6</v>
      </c>
      <c r="E12" s="4">
        <f>COUNTIF(Resp4[4.112],B12)</f>
        <v>6</v>
      </c>
      <c r="F12" s="24">
        <f t="shared" si="0"/>
        <v>10</v>
      </c>
      <c r="G12" s="3">
        <f t="shared" si="1"/>
        <v>18.75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8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56.25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COUNTIFS(Resp4[Vínculo],"tecnico",Resp4[4.05],B7)</f>
        <v>0</v>
      </c>
      <c r="D7" s="4">
        <f>COUNTIFS(Resp4[Vínculo],"docente",Resp4[4.05],B7)</f>
        <v>10</v>
      </c>
      <c r="E7" s="4">
        <f>COUNTIF(Resp4[4.05],B7)</f>
        <v>10</v>
      </c>
      <c r="F7" s="4">
        <f t="shared" ref="F7:F13" si="0">ROUND($E7/E$13*100,2)</f>
        <v>16.670000000000002</v>
      </c>
      <c r="G7" s="3">
        <f t="shared" ref="G7:G12" si="1">ROUND($E7/SUM($E$7:$E$12)*100,3)</f>
        <v>19.231000000000002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COUNTIFS(Resp4[Vínculo],"docente",Resp4[4.05],B8)</f>
        <v>4</v>
      </c>
      <c r="E8" s="4">
        <f>COUNTIF(Resp4[4.05],B8)</f>
        <v>4</v>
      </c>
      <c r="F8" s="4">
        <f t="shared" si="0"/>
        <v>6.67</v>
      </c>
      <c r="G8" s="3">
        <f t="shared" si="1"/>
        <v>7.6920000000000002</v>
      </c>
    </row>
    <row r="9" spans="1:7" x14ac:dyDescent="0.25">
      <c r="B9" s="2" t="s">
        <v>204</v>
      </c>
      <c r="C9" s="4">
        <f>COUNTIFS(Resp4[Vínculo],"tecnico",Resp4[4.02],B$9)</f>
        <v>0</v>
      </c>
      <c r="D9" s="4">
        <f>COUNTIFS(Resp4[Vínculo],"docente",Resp4[4.05],B9)</f>
        <v>4</v>
      </c>
      <c r="E9" s="4">
        <f>COUNTIF(Resp4[4.05],B9)</f>
        <v>4</v>
      </c>
      <c r="F9" s="4">
        <f t="shared" si="0"/>
        <v>6.67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8</v>
      </c>
      <c r="E10" s="4">
        <f>COUNTIF(Resp4[4.05],B10)</f>
        <v>8</v>
      </c>
      <c r="F10" s="4">
        <f t="shared" si="0"/>
        <v>13.33</v>
      </c>
      <c r="G10" s="3">
        <f t="shared" si="1"/>
        <v>15.385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COUNTIFS(Resp4[Vínculo],"docente",Resp4[4.05],B11)</f>
        <v>14</v>
      </c>
      <c r="E11" s="4">
        <f>COUNTIF(Resp4[4.05],B11)</f>
        <v>14</v>
      </c>
      <c r="F11" s="4">
        <f t="shared" si="0"/>
        <v>23.33</v>
      </c>
      <c r="G11" s="3">
        <f t="shared" si="1"/>
        <v>26.922999999999998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COUNTIFS(Resp4[Vínculo],"docente",Resp4[4.05],B12)</f>
        <v>12</v>
      </c>
      <c r="E12" s="4">
        <f>COUNTIF(Resp4[4.05],B12)</f>
        <v>12</v>
      </c>
      <c r="F12" s="22">
        <f t="shared" si="0"/>
        <v>20</v>
      </c>
      <c r="G12" s="3">
        <f t="shared" si="1"/>
        <v>23.077000000000002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10</v>
      </c>
      <c r="E26" s="15">
        <f>ROUND(D26/SUM(D$25:D$28)*100,3)</f>
        <v>19.231000000000002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COUNTIFS(Resp4[Vínculo],"tecnico",Resp4[4.114],B7)</f>
        <v>0</v>
      </c>
      <c r="D7" s="4">
        <f>COUNTIFS(Resp4[Vínculo],"docente",Resp4[4.114],B7)</f>
        <v>16</v>
      </c>
      <c r="E7" s="2">
        <f>COUNTIF(Resp4[4.114],B7)</f>
        <v>16</v>
      </c>
      <c r="F7" s="15">
        <f t="shared" ref="F7:F9" si="0">ROUND($E7/E$9*100,2)</f>
        <v>26.67</v>
      </c>
      <c r="G7" s="4">
        <f>ROUND($E7/SUM($E$7:$E$8)*100,2)</f>
        <v>26.67</v>
      </c>
      <c r="H7" s="2"/>
    </row>
    <row r="8" spans="1:8" x14ac:dyDescent="0.25">
      <c r="A8" s="2"/>
      <c r="B8" s="2" t="s">
        <v>199</v>
      </c>
      <c r="C8" s="4">
        <f>COUNTIFS(Resp4[Vínculo],"tecnico",Resp4[4.114],B8)</f>
        <v>0</v>
      </c>
      <c r="D8" s="4">
        <f>COUNTIFS(Resp4[Vínculo],"docente",Resp4[4.114],B8)</f>
        <v>44</v>
      </c>
      <c r="E8" s="2">
        <f>COUNTIF(Resp4[4.114],B8)</f>
        <v>44</v>
      </c>
      <c r="F8" s="19">
        <f t="shared" si="0"/>
        <v>73.33</v>
      </c>
      <c r="G8" s="4">
        <f>ROUND($E8/SUM($E$7:$E$8)*100,2)</f>
        <v>73.33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COUNTIFS(Resp4[Vínculo],"tecnico",Resp4[4.115],B8)</f>
        <v>0</v>
      </c>
      <c r="D8" s="4">
        <f>COUNTIFS(Resp4[Vínculo],"docente",Resp4[4.115],B8)</f>
        <v>1</v>
      </c>
      <c r="E8" s="4">
        <f>COUNTIF(Resp4[4.115],B8)</f>
        <v>1</v>
      </c>
      <c r="F8" s="3">
        <f t="shared" si="0"/>
        <v>1.67</v>
      </c>
      <c r="G8" s="3">
        <f t="shared" si="1"/>
        <v>6.25</v>
      </c>
    </row>
    <row r="9" spans="1:7" x14ac:dyDescent="0.25">
      <c r="B9" s="2" t="s">
        <v>204</v>
      </c>
      <c r="C9" s="4">
        <f>COUNTIFS(Resp4[Vínculo],"tecnico",Resp4[4.115],B9)</f>
        <v>0</v>
      </c>
      <c r="D9" s="4">
        <f>COUNTIFS(Resp4[Vínculo],"docente",Resp4[4.115],B9)</f>
        <v>1</v>
      </c>
      <c r="E9" s="4">
        <f>COUNTIF(Resp4[4.115],B9)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4</v>
      </c>
      <c r="E10" s="4">
        <f>COUNTIF(Resp4[4.115],B10)</f>
        <v>4</v>
      </c>
      <c r="F10" s="3">
        <f t="shared" si="0"/>
        <v>6.67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COUNTIFS(Resp4[Vínculo],"tecnico",Resp4[4.115],B11)</f>
        <v>0</v>
      </c>
      <c r="D11" s="4">
        <f>COUNTIFS(Resp4[Vínculo],"docente",Resp4[4.115],B11)</f>
        <v>4</v>
      </c>
      <c r="E11" s="4">
        <f>COUNTIF(Resp4[4.115],B11)</f>
        <v>4</v>
      </c>
      <c r="F11" s="3">
        <f t="shared" si="0"/>
        <v>6.67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COUNTIFS(Resp4[Vínculo],"tecnico",Resp4[4.115],B12)</f>
        <v>0</v>
      </c>
      <c r="D12" s="4">
        <f>COUNTIFS(Resp4[Vínculo],"docente",Resp4[4.115],B12)</f>
        <v>6</v>
      </c>
      <c r="E12" s="4">
        <f>COUNTIF(Resp4[4.115],B12)</f>
        <v>6</v>
      </c>
      <c r="F12" s="24">
        <f t="shared" si="0"/>
        <v>10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COUNTIFS(Resp4[Vínculo],"tecnico",Resp4[4.116],B7)</f>
        <v>0</v>
      </c>
      <c r="D7" s="4">
        <f>COUNTIFS(Resp4[Vínculo],"docente",Resp4[4.116],B7)</f>
        <v>1</v>
      </c>
      <c r="E7" s="4">
        <f>COUNTIF(Resp4[4.116],B7)</f>
        <v>1</v>
      </c>
      <c r="F7" s="3">
        <f t="shared" ref="F7:F13" si="0">ROUND($E7/E$13*100,2)</f>
        <v>1.67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COUNTIFS(Resp4[Vínculo],"tecnico",Resp4[4.116],B8)</f>
        <v>0</v>
      </c>
      <c r="D8" s="4">
        <f>COUNTIFS(Resp4[Vínculo],"docente",Resp4[4.116],B8)</f>
        <v>1</v>
      </c>
      <c r="E8" s="4">
        <f>COUNTIF(Resp4[4.116],B8)</f>
        <v>1</v>
      </c>
      <c r="F8" s="3">
        <f t="shared" si="0"/>
        <v>1.67</v>
      </c>
      <c r="G8" s="3">
        <f t="shared" si="1"/>
        <v>6.25</v>
      </c>
    </row>
    <row r="9" spans="1:7" x14ac:dyDescent="0.25">
      <c r="B9" s="2" t="s">
        <v>204</v>
      </c>
      <c r="C9" s="4">
        <f>COUNTIFS(Resp4[Vínculo],"tecnico",Resp4[4.116],B9)</f>
        <v>0</v>
      </c>
      <c r="D9" s="4">
        <f>COUNTIFS(Resp4[Vínculo],"docente",Resp4[4.116],B9)</f>
        <v>1</v>
      </c>
      <c r="E9" s="4">
        <f>COUNTIF(Resp4[4.116],B9)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2</v>
      </c>
      <c r="E10" s="4">
        <f>COUNTIF(Resp4[4.116],B10)</f>
        <v>2</v>
      </c>
      <c r="F10" s="3">
        <f t="shared" si="0"/>
        <v>3.33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COUNTIFS(Resp4[Vínculo],"tecnico",Resp4[4.116],B11)</f>
        <v>0</v>
      </c>
      <c r="D11" s="4">
        <f>COUNTIFS(Resp4[Vínculo],"docente",Resp4[4.116],B11)</f>
        <v>5</v>
      </c>
      <c r="E11" s="4">
        <f>COUNTIF(Resp4[4.116],B11)</f>
        <v>5</v>
      </c>
      <c r="F11" s="3">
        <f t="shared" si="0"/>
        <v>8.33</v>
      </c>
      <c r="G11" s="3">
        <f t="shared" si="1"/>
        <v>31.25</v>
      </c>
    </row>
    <row r="12" spans="1:7" x14ac:dyDescent="0.25">
      <c r="B12" s="7" t="s">
        <v>196</v>
      </c>
      <c r="C12" s="4">
        <f>COUNTIFS(Resp4[Vínculo],"tecnico",Resp4[4.116],B12)</f>
        <v>0</v>
      </c>
      <c r="D12" s="4">
        <f>COUNTIFS(Resp4[Vínculo],"docente",Resp4[4.116],B12)</f>
        <v>6</v>
      </c>
      <c r="E12" s="4">
        <f>COUNTIF(Resp4[4.116],B12)</f>
        <v>6</v>
      </c>
      <c r="F12" s="24">
        <f t="shared" si="0"/>
        <v>10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68.75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COUNTIFS(Resp4[Vínculo],"tecnico",Resp4[4.117],B7)</f>
        <v>0</v>
      </c>
      <c r="D7" s="4">
        <f>COUNTIFS(Resp4[Vínculo],"docente",Resp4[4.117],B7)</f>
        <v>2</v>
      </c>
      <c r="E7" s="4">
        <f>COUNTIF(Resp4[4.117],B7)</f>
        <v>2</v>
      </c>
      <c r="F7" s="3">
        <f t="shared" ref="F7:F13" si="0">ROUND($E7/E$13*100,2)</f>
        <v>3.33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COUNTIFS(Resp4[Vínculo],"tecnico",Resp4[4.117],B9)</f>
        <v>0</v>
      </c>
      <c r="D9" s="4">
        <f>COUNTIFS(Resp4[Vínculo],"docente",Resp4[4.117],B9)</f>
        <v>2</v>
      </c>
      <c r="E9" s="4">
        <f>COUNTIF(Resp4[4.117],B9)</f>
        <v>2</v>
      </c>
      <c r="F9" s="3">
        <f t="shared" si="0"/>
        <v>3.33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5</v>
      </c>
      <c r="E10" s="4">
        <f>COUNTIF(Resp4[4.117],B10)</f>
        <v>5</v>
      </c>
      <c r="F10" s="3">
        <f t="shared" si="0"/>
        <v>8.33</v>
      </c>
      <c r="G10" s="3">
        <f t="shared" si="1"/>
        <v>31.25</v>
      </c>
    </row>
    <row r="11" spans="1:7" x14ac:dyDescent="0.25">
      <c r="B11" s="2" t="s">
        <v>195</v>
      </c>
      <c r="C11" s="4">
        <f>COUNTIFS(Resp4[Vínculo],"tecnico",Resp4[4.117],B11)</f>
        <v>0</v>
      </c>
      <c r="D11" s="4">
        <f>COUNTIFS(Resp4[Vínculo],"docente",Resp4[4.117],B11)</f>
        <v>3</v>
      </c>
      <c r="E11" s="4">
        <f>COUNTIF(Resp4[4.117],B11)</f>
        <v>3</v>
      </c>
      <c r="F11" s="3">
        <f t="shared" si="0"/>
        <v>5</v>
      </c>
      <c r="G11" s="3">
        <f t="shared" si="1"/>
        <v>18.75</v>
      </c>
    </row>
    <row r="12" spans="1:7" x14ac:dyDescent="0.25">
      <c r="B12" s="7" t="s">
        <v>196</v>
      </c>
      <c r="C12" s="4">
        <f>COUNTIFS(Resp4[Vínculo],"tecnico",Resp4[4.117],B12)</f>
        <v>0</v>
      </c>
      <c r="D12" s="4">
        <f>COUNTIFS(Resp4[Vínculo],"docente",Resp4[4.117],B12)</f>
        <v>4</v>
      </c>
      <c r="E12" s="4">
        <f>COUNTIF(Resp4[4.117],B12)</f>
        <v>4</v>
      </c>
      <c r="F12" s="24">
        <f t="shared" si="0"/>
        <v>6.67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12.5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31.25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43.75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COUNTIFS(Resp4[Vínculo],"tecnico",Resp4[4.118],B7)</f>
        <v>0</v>
      </c>
      <c r="D7" s="4">
        <f>COUNTIFS(Resp4[Vínculo],"docente",Resp4[4.118],B7)</f>
        <v>1</v>
      </c>
      <c r="E7" s="4">
        <f>COUNTIF(Resp4[4.118],B7)</f>
        <v>1</v>
      </c>
      <c r="F7" s="3">
        <f t="shared" ref="F7:F13" si="0">ROUND($E7/E$13*100,2)</f>
        <v>1.67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COUNTIFS(Resp4[Vínculo],"tecnico",Resp4[4.118],B9)</f>
        <v>0</v>
      </c>
      <c r="D9" s="4">
        <f>COUNTIFS(Resp4[Vínculo],"docente",Resp4[4.118],B9)</f>
        <v>1</v>
      </c>
      <c r="E9" s="4">
        <f>COUNTIF(Resp4[4.118],B9)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4</v>
      </c>
      <c r="E10" s="4">
        <f>COUNTIF(Resp4[4.118],B10)</f>
        <v>4</v>
      </c>
      <c r="F10" s="3">
        <f t="shared" si="0"/>
        <v>6.67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COUNTIFS(Resp4[Vínculo],"tecnico",Resp4[4.118],B11)</f>
        <v>0</v>
      </c>
      <c r="D11" s="4">
        <f>COUNTIFS(Resp4[Vínculo],"docente",Resp4[4.118],B11)</f>
        <v>6</v>
      </c>
      <c r="E11" s="4">
        <f>COUNTIF(Resp4[4.118],B11)</f>
        <v>6</v>
      </c>
      <c r="F11" s="3">
        <f t="shared" si="0"/>
        <v>10</v>
      </c>
      <c r="G11" s="3">
        <f t="shared" si="1"/>
        <v>37.5</v>
      </c>
    </row>
    <row r="12" spans="1:7" x14ac:dyDescent="0.25">
      <c r="B12" s="7" t="s">
        <v>196</v>
      </c>
      <c r="C12" s="4">
        <f>COUNTIFS(Resp4[Vínculo],"tecnico",Resp4[4.118],B12)</f>
        <v>0</v>
      </c>
      <c r="D12" s="4">
        <f>COUNTIFS(Resp4[Vínculo],"docente",Resp4[4.118],B12)</f>
        <v>4</v>
      </c>
      <c r="E12" s="4">
        <f>COUNTIF(Resp4[4.118],B12)</f>
        <v>4</v>
      </c>
      <c r="F12" s="24">
        <f t="shared" si="0"/>
        <v>6.67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3</v>
      </c>
      <c r="E10" s="4">
        <f>COUNTIF(Resp4[4.119],B10)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COUNTIFS(Resp4[Vínculo],"tecnico",Resp4[4.119],B11)</f>
        <v>0</v>
      </c>
      <c r="D11" s="4">
        <f>COUNTIFS(Resp4[Vínculo],"docente",Resp4[4.119],B11)</f>
        <v>5</v>
      </c>
      <c r="E11" s="4">
        <f>COUNTIF(Resp4[4.119],B11)</f>
        <v>5</v>
      </c>
      <c r="F11" s="3">
        <f t="shared" si="0"/>
        <v>8.33</v>
      </c>
      <c r="G11" s="3">
        <f t="shared" si="1"/>
        <v>31.25</v>
      </c>
    </row>
    <row r="12" spans="1:7" x14ac:dyDescent="0.25">
      <c r="B12" s="7" t="s">
        <v>196</v>
      </c>
      <c r="C12" s="4">
        <f>COUNTIFS(Resp4[Vínculo],"tecnico",Resp4[4.119],B12)</f>
        <v>0</v>
      </c>
      <c r="D12" s="4">
        <f>COUNTIFS(Resp4[Vínculo],"docente",Resp4[4.119],B12)</f>
        <v>8</v>
      </c>
      <c r="E12" s="4">
        <f>COUNTIF(Resp4[4.119],B12)</f>
        <v>8</v>
      </c>
      <c r="F12" s="24">
        <f t="shared" si="0"/>
        <v>13.33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COUNTIFS(Resp4[Vínculo],"tecnico",Resp4[4.120],B7)</f>
        <v>0</v>
      </c>
      <c r="D7" s="4">
        <f>COUNTIFS(Resp4[Vínculo],"docente",Resp4[4.120],B7)</f>
        <v>3</v>
      </c>
      <c r="E7" s="4">
        <f>COUNTIF(Resp4[4.120],B7)</f>
        <v>3</v>
      </c>
      <c r="F7" s="3">
        <f t="shared" ref="F7:F13" si="0">ROUND($E7/E$13*100,2)</f>
        <v>5</v>
      </c>
      <c r="G7" s="3">
        <f t="shared" ref="G7:G12" si="1">ROUND($E7/SUM($E$7:$E$12)*100,3)</f>
        <v>18.75</v>
      </c>
    </row>
    <row r="8" spans="1:7" x14ac:dyDescent="0.25">
      <c r="B8" s="2" t="s">
        <v>207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3</v>
      </c>
      <c r="E10" s="4">
        <f>COUNTIF(Resp4[4.120],B10)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COUNTIFS(Resp4[Vínculo],"tecnico",Resp4[4.120],B11)</f>
        <v>0</v>
      </c>
      <c r="D11" s="4">
        <f>COUNTIFS(Resp4[Vínculo],"docente",Resp4[4.120],B11)</f>
        <v>3</v>
      </c>
      <c r="E11" s="4">
        <f>COUNTIF(Resp4[4.120],B11)</f>
        <v>3</v>
      </c>
      <c r="F11" s="3">
        <f t="shared" si="0"/>
        <v>5</v>
      </c>
      <c r="G11" s="3">
        <f t="shared" si="1"/>
        <v>18.75</v>
      </c>
    </row>
    <row r="12" spans="1:7" x14ac:dyDescent="0.25">
      <c r="B12" s="7" t="s">
        <v>196</v>
      </c>
      <c r="C12" s="4">
        <f>COUNTIFS(Resp4[Vínculo],"tecnico",Resp4[4.120],B12)</f>
        <v>0</v>
      </c>
      <c r="D12" s="4">
        <f>COUNTIFS(Resp4[Vínculo],"docente",Resp4[4.120],B12)</f>
        <v>7</v>
      </c>
      <c r="E12" s="4">
        <f>COUNTIF(Resp4[4.120],B12)</f>
        <v>7</v>
      </c>
      <c r="F12" s="24">
        <f t="shared" si="0"/>
        <v>11.67</v>
      </c>
      <c r="G12" s="3">
        <f t="shared" si="1"/>
        <v>43.75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3</v>
      </c>
      <c r="E26" s="15">
        <f>ROUND(D26/SUM(D$25:D$28)*100,3)</f>
        <v>18.75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COUNTIFS(Resp4[Vínculo],"tecnico",Resp4[4.121],B7)</f>
        <v>0</v>
      </c>
      <c r="D7" s="4">
        <f>COUNTIFS(Resp4[Vínculo],"docente",Resp4[4.121],B7)</f>
        <v>2</v>
      </c>
      <c r="E7" s="4">
        <f>COUNTIF(Resp4[4.121],B7)</f>
        <v>2</v>
      </c>
      <c r="F7" s="3">
        <f t="shared" ref="F7:F13" si="0">ROUND($E7/E$13*100,2)</f>
        <v>3.33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COUNTIFS(Resp4[Vínculo],"tecnico",Resp4[4.121],B8)</f>
        <v>0</v>
      </c>
      <c r="D8" s="4">
        <f>COUNTIFS(Resp4[Vínculo],"docente",Resp4[4.121],B8)</f>
        <v>2</v>
      </c>
      <c r="E8" s="4">
        <f>COUNTIF(Resp4[4.121],B8)</f>
        <v>2</v>
      </c>
      <c r="F8" s="3">
        <f t="shared" si="0"/>
        <v>3.33</v>
      </c>
      <c r="G8" s="3">
        <f t="shared" si="1"/>
        <v>12.5</v>
      </c>
    </row>
    <row r="9" spans="1:7" x14ac:dyDescent="0.25">
      <c r="B9" s="2" t="s">
        <v>204</v>
      </c>
      <c r="C9" s="4">
        <f>COUNTIFS(Resp4[Vínculo],"tecnico",Resp4[4.121],B9)</f>
        <v>0</v>
      </c>
      <c r="D9" s="4">
        <f>COUNTIFS(Resp4[Vínculo],"docente",Resp4[4.121],B9)</f>
        <v>1</v>
      </c>
      <c r="E9" s="4">
        <f>COUNTIF(Resp4[4.121],B9)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3</v>
      </c>
      <c r="E10" s="4">
        <f>COUNTIF(Resp4[4.121],B10)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COUNTIFS(Resp4[Vínculo],"tecnico",Resp4[4.121],B11)</f>
        <v>0</v>
      </c>
      <c r="D11" s="4">
        <f>COUNTIFS(Resp4[Vínculo],"docente",Resp4[4.121],B11)</f>
        <v>1</v>
      </c>
      <c r="E11" s="4">
        <f>COUNTIF(Resp4[4.121],B11)</f>
        <v>1</v>
      </c>
      <c r="F11" s="3">
        <f t="shared" si="0"/>
        <v>1.67</v>
      </c>
      <c r="G11" s="3">
        <f t="shared" si="1"/>
        <v>6.25</v>
      </c>
    </row>
    <row r="12" spans="1:7" x14ac:dyDescent="0.25">
      <c r="B12" s="7" t="s">
        <v>196</v>
      </c>
      <c r="C12" s="4">
        <f>COUNTIFS(Resp4[Vínculo],"tecnico",Resp4[4.121],B12)</f>
        <v>0</v>
      </c>
      <c r="D12" s="4">
        <f>COUNTIFS(Resp4[Vínculo],"docente",Resp4[4.121],B12)</f>
        <v>7</v>
      </c>
      <c r="E12" s="4">
        <f>COUNTIF(Resp4[4.121],B12)</f>
        <v>7</v>
      </c>
      <c r="F12" s="24">
        <f t="shared" si="0"/>
        <v>11.67</v>
      </c>
      <c r="G12" s="3">
        <f t="shared" si="1"/>
        <v>43.75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18.75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12.5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COUNTIFS(Resp4[Vínculo],"tecnico",Resp4[4.122],B9)</f>
        <v>0</v>
      </c>
      <c r="D9" s="4">
        <f>COUNTIFS(Resp4[Vínculo],"docente",Resp4[4.122],B9)</f>
        <v>1</v>
      </c>
      <c r="E9" s="4">
        <f>COUNTIF(Resp4[4.122],B9)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3</v>
      </c>
      <c r="E10" s="4">
        <f>COUNTIF(Resp4[4.122],B10)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COUNTIFS(Resp4[Vínculo],"tecnico",Resp4[4.122],B11)</f>
        <v>0</v>
      </c>
      <c r="D11" s="4">
        <f>COUNTIFS(Resp4[Vínculo],"docente",Resp4[4.122],B11)</f>
        <v>2</v>
      </c>
      <c r="E11" s="4">
        <f>COUNTIF(Resp4[4.122],B11)</f>
        <v>2</v>
      </c>
      <c r="F11" s="3">
        <f t="shared" si="0"/>
        <v>3.33</v>
      </c>
      <c r="G11" s="3">
        <f t="shared" si="1"/>
        <v>12.5</v>
      </c>
    </row>
    <row r="12" spans="1:7" x14ac:dyDescent="0.25">
      <c r="B12" s="7" t="s">
        <v>196</v>
      </c>
      <c r="C12" s="4">
        <f>COUNTIFS(Resp4[Vínculo],"tecnico",Resp4[4.122],B12)</f>
        <v>0</v>
      </c>
      <c r="D12" s="4">
        <f>COUNTIFS(Resp4[Vínculo],"docente",Resp4[4.122],B12)</f>
        <v>10</v>
      </c>
      <c r="E12" s="4">
        <f>COUNTIF(Resp4[4.122],B12)</f>
        <v>10</v>
      </c>
      <c r="F12" s="24">
        <f t="shared" si="0"/>
        <v>16.670000000000002</v>
      </c>
      <c r="G12" s="3">
        <f t="shared" si="1"/>
        <v>62.5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COUNTIFS(Resp4[Vínculo],"tecnico",Resp4[4.123],B9)</f>
        <v>0</v>
      </c>
      <c r="D9" s="4">
        <f>COUNTIFS(Resp4[Vínculo],"docente",Resp4[4.123],B9)</f>
        <v>1</v>
      </c>
      <c r="E9" s="4">
        <f>COUNTIF(Resp4[4.123],B9)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3</v>
      </c>
      <c r="E10" s="4">
        <f>COUNTIF(Resp4[4.123],B10)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COUNTIFS(Resp4[Vínculo],"tecnico",Resp4[4.123],B11)</f>
        <v>0</v>
      </c>
      <c r="D11" s="4">
        <f>COUNTIFS(Resp4[Vínculo],"docente",Resp4[4.123],B11)</f>
        <v>4</v>
      </c>
      <c r="E11" s="4">
        <f>COUNTIF(Resp4[4.123],B11)</f>
        <v>4</v>
      </c>
      <c r="F11" s="3">
        <f t="shared" si="0"/>
        <v>6.67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COUNTIFS(Resp4[Vínculo],"tecnico",Resp4[4.123],B12)</f>
        <v>0</v>
      </c>
      <c r="D12" s="4">
        <f>COUNTIFS(Resp4[Vínculo],"docente",Resp4[4.123],B12)</f>
        <v>8</v>
      </c>
      <c r="E12" s="4">
        <f>COUNTIF(Resp4[4.123],B12)</f>
        <v>8</v>
      </c>
      <c r="F12" s="24">
        <f t="shared" si="0"/>
        <v>13.33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COUNTIFS(Resp4[Vínculo],"tecnico",Resp4[4.06],B7)</f>
        <v>0</v>
      </c>
      <c r="D7" s="4">
        <f>COUNTIFS(Resp4[Vínculo],"docente",Resp4[4.06],B7)</f>
        <v>6</v>
      </c>
      <c r="E7" s="4">
        <f>COUNTIF(Resp4[4.06],B7)</f>
        <v>6</v>
      </c>
      <c r="F7" s="4">
        <f t="shared" ref="F7:F13" si="0">ROUND($E7/E$13*100,2)</f>
        <v>10</v>
      </c>
      <c r="G7" s="3">
        <f t="shared" ref="G7:G12" si="1">ROUND($E7/SUM($E$7:$E$12)*100,3)</f>
        <v>11.538</v>
      </c>
    </row>
    <row r="8" spans="1:7" x14ac:dyDescent="0.25">
      <c r="B8" s="2" t="s">
        <v>207</v>
      </c>
      <c r="C8" s="4">
        <f>COUNTIFS(Resp4[Vínculo],"tecnico",Resp4[4.06],B8)</f>
        <v>0</v>
      </c>
      <c r="D8" s="4">
        <f>COUNTIFS(Resp4[Vínculo],"docente",Resp4[4.06],B8)</f>
        <v>2</v>
      </c>
      <c r="E8" s="4">
        <f>COUNTIF(Resp4[4.06],B8)</f>
        <v>2</v>
      </c>
      <c r="F8" s="4">
        <f t="shared" si="0"/>
        <v>3.33</v>
      </c>
      <c r="G8" s="3">
        <f t="shared" si="1"/>
        <v>3.8460000000000001</v>
      </c>
    </row>
    <row r="9" spans="1:7" x14ac:dyDescent="0.25">
      <c r="B9" s="2" t="s">
        <v>204</v>
      </c>
      <c r="C9" s="4">
        <f>COUNTIFS(Resp4[Vínculo],"tecnico",Resp4[4.06],B9)</f>
        <v>0</v>
      </c>
      <c r="D9" s="4">
        <f>COUNTIFS(Resp4[Vínculo],"docente",Resp4[4.06],B9)</f>
        <v>5</v>
      </c>
      <c r="E9" s="4">
        <f>COUNTIF(Resp4[4.06],B9)</f>
        <v>5</v>
      </c>
      <c r="F9" s="4">
        <f t="shared" si="0"/>
        <v>8.33</v>
      </c>
      <c r="G9" s="3">
        <f t="shared" si="1"/>
        <v>9.6150000000000002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9</v>
      </c>
      <c r="E10" s="4">
        <f>COUNTIF(Resp4[4.06],B10)</f>
        <v>9</v>
      </c>
      <c r="F10" s="4">
        <f t="shared" si="0"/>
        <v>15</v>
      </c>
      <c r="G10" s="3">
        <f t="shared" si="1"/>
        <v>17.308</v>
      </c>
    </row>
    <row r="11" spans="1:7" x14ac:dyDescent="0.25">
      <c r="B11" s="2" t="s">
        <v>195</v>
      </c>
      <c r="C11" s="4">
        <f>COUNTIFS(Resp4[Vínculo],"tecnico",Resp4[4.06],B11)</f>
        <v>0</v>
      </c>
      <c r="D11" s="4">
        <f>COUNTIFS(Resp4[Vínculo],"docente",Resp4[4.06],B11)</f>
        <v>18</v>
      </c>
      <c r="E11" s="4">
        <f>COUNTIF(Resp4[4.06],B11)</f>
        <v>18</v>
      </c>
      <c r="F11" s="4">
        <f t="shared" si="0"/>
        <v>30</v>
      </c>
      <c r="G11" s="3">
        <f t="shared" si="1"/>
        <v>34.615000000000002</v>
      </c>
    </row>
    <row r="12" spans="1:7" x14ac:dyDescent="0.25">
      <c r="B12" s="7" t="s">
        <v>196</v>
      </c>
      <c r="C12" s="4">
        <f>COUNTIFS(Resp4[Vínculo],"tecnico",Resp4[4.06],B12)</f>
        <v>0</v>
      </c>
      <c r="D12" s="4">
        <f>COUNTIFS(Resp4[Vínculo],"docente",Resp4[4.06],B12)</f>
        <v>12</v>
      </c>
      <c r="E12" s="4">
        <f>COUNTIF(Resp4[4.06],B12)</f>
        <v>12</v>
      </c>
      <c r="F12" s="22">
        <f t="shared" si="0"/>
        <v>20</v>
      </c>
      <c r="G12" s="3">
        <f t="shared" si="1"/>
        <v>23.077000000000002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13.462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11.538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17.308</v>
      </c>
    </row>
    <row r="28" spans="2:7" x14ac:dyDescent="0.25">
      <c r="B28" s="32" t="s">
        <v>33</v>
      </c>
      <c r="C28" s="32" t="s">
        <v>32</v>
      </c>
      <c r="D28" s="18">
        <f>SUM(D11:D12)</f>
        <v>30</v>
      </c>
      <c r="E28" s="19">
        <f>ROUND(D28/SUM(D$25:D$28)*100,3)</f>
        <v>57.692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4</v>
      </c>
      <c r="E10" s="4">
        <f>COUNTIF(Resp4[4.124],B10)</f>
        <v>4</v>
      </c>
      <c r="F10" s="3">
        <f t="shared" si="0"/>
        <v>6.67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COUNTIFS(Resp4[Vínculo],"tecnico",Resp4[4.124],B11)</f>
        <v>0</v>
      </c>
      <c r="D11" s="4">
        <f>COUNTIFS(Resp4[Vínculo],"docente",Resp4[4.124],B11)</f>
        <v>4</v>
      </c>
      <c r="E11" s="4">
        <f>COUNTIF(Resp4[4.124],B11)</f>
        <v>4</v>
      </c>
      <c r="F11" s="3">
        <f t="shared" si="0"/>
        <v>6.67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COUNTIFS(Resp4[Vínculo],"tecnico",Resp4[4.124],B12)</f>
        <v>0</v>
      </c>
      <c r="D12" s="4">
        <f>COUNTIFS(Resp4[Vínculo],"docente",Resp4[4.124],B12)</f>
        <v>8</v>
      </c>
      <c r="E12" s="4">
        <f>COUNTIF(Resp4[4.124],B12)</f>
        <v>8</v>
      </c>
      <c r="F12" s="24">
        <f t="shared" si="0"/>
        <v>13.33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1</v>
      </c>
      <c r="E10" s="4">
        <f>COUNTIF(Resp4[4.125],B10)</f>
        <v>1</v>
      </c>
      <c r="F10" s="3">
        <f t="shared" si="0"/>
        <v>1.67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COUNTIFS(Resp4[Vínculo],"tecnico",Resp4[4.125],B11)</f>
        <v>0</v>
      </c>
      <c r="D11" s="4">
        <f>COUNTIFS(Resp4[Vínculo],"docente",Resp4[4.125],B11)</f>
        <v>4</v>
      </c>
      <c r="E11" s="4">
        <f>COUNTIF(Resp4[4.125],B11)</f>
        <v>4</v>
      </c>
      <c r="F11" s="3">
        <f t="shared" si="0"/>
        <v>6.67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COUNTIFS(Resp4[Vínculo],"tecnico",Resp4[4.125],B12)</f>
        <v>0</v>
      </c>
      <c r="D12" s="4">
        <f>COUNTIFS(Resp4[Vínculo],"docente",Resp4[4.125],B12)</f>
        <v>11</v>
      </c>
      <c r="E12" s="4">
        <f>COUNTIF(Resp4[4.125],B12)</f>
        <v>11</v>
      </c>
      <c r="F12" s="24">
        <f t="shared" si="0"/>
        <v>18.329999999999998</v>
      </c>
      <c r="G12" s="3">
        <f t="shared" si="1"/>
        <v>68.75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93.75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3</v>
      </c>
      <c r="E10" s="4">
        <f>COUNTIF(Resp4[4.126],B10)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COUNTIFS(Resp4[Vínculo],"tecnico",Resp4[4.126],B11)</f>
        <v>0</v>
      </c>
      <c r="D11" s="4">
        <f>COUNTIFS(Resp4[Vínculo],"docente",Resp4[4.126],B11)</f>
        <v>3</v>
      </c>
      <c r="E11" s="4">
        <f>COUNTIF(Resp4[4.126],B11)</f>
        <v>3</v>
      </c>
      <c r="F11" s="3">
        <f t="shared" si="0"/>
        <v>5</v>
      </c>
      <c r="G11" s="3">
        <f t="shared" si="1"/>
        <v>18.75</v>
      </c>
    </row>
    <row r="12" spans="1:7" x14ac:dyDescent="0.25">
      <c r="B12" s="7" t="s">
        <v>196</v>
      </c>
      <c r="C12" s="4">
        <f>COUNTIFS(Resp4[Vínculo],"tecnico",Resp4[4.126],B12)</f>
        <v>0</v>
      </c>
      <c r="D12" s="4">
        <f>COUNTIFS(Resp4[Vínculo],"docente",Resp4[4.126],B12)</f>
        <v>10</v>
      </c>
      <c r="E12" s="4">
        <f>COUNTIF(Resp4[4.126],B12)</f>
        <v>10</v>
      </c>
      <c r="F12" s="24">
        <f t="shared" si="0"/>
        <v>16.670000000000002</v>
      </c>
      <c r="G12" s="3">
        <f t="shared" si="1"/>
        <v>62.5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3</v>
      </c>
      <c r="E10" s="4">
        <f>COUNTIF(Resp4[4.127],B10)</f>
        <v>3</v>
      </c>
      <c r="F10" s="3">
        <f t="shared" si="0"/>
        <v>5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COUNTIFS(Resp4[Vínculo],"tecnico",Resp4[4.127],B11)</f>
        <v>0</v>
      </c>
      <c r="D11" s="4">
        <f>COUNTIFS(Resp4[Vínculo],"docente",Resp4[4.127],B11)</f>
        <v>4</v>
      </c>
      <c r="E11" s="4">
        <f>COUNTIF(Resp4[4.127],B11)</f>
        <v>4</v>
      </c>
      <c r="F11" s="3">
        <f t="shared" si="0"/>
        <v>6.67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COUNTIFS(Resp4[Vínculo],"tecnico",Resp4[4.127],B12)</f>
        <v>0</v>
      </c>
      <c r="D12" s="4">
        <f>COUNTIFS(Resp4[Vínculo],"docente",Resp4[4.127],B12)</f>
        <v>9</v>
      </c>
      <c r="E12" s="4">
        <f>COUNTIF(Resp4[4.127],B12)</f>
        <v>9</v>
      </c>
      <c r="F12" s="24">
        <f t="shared" si="0"/>
        <v>15</v>
      </c>
      <c r="G12" s="3">
        <f t="shared" si="1"/>
        <v>56.25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44</v>
      </c>
      <c r="E6" s="4">
        <f>E13-SUM(E7:E12)</f>
        <v>44</v>
      </c>
      <c r="F6" s="3">
        <f>ROUND($E6/E$13*100,2)</f>
        <v>73.33</v>
      </c>
    </row>
    <row r="7" spans="1:7" x14ac:dyDescent="0.25">
      <c r="B7" s="2" t="s">
        <v>201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COUNTIFS(Resp4[Vínculo],"tecnico",Resp4[4.128],B9)</f>
        <v>0</v>
      </c>
      <c r="D9" s="4">
        <f>COUNTIFS(Resp4[Vínculo],"docente",Resp4[4.128],B9)</f>
        <v>1</v>
      </c>
      <c r="E9" s="4">
        <f>COUNTIF(Resp4[4.128],B9)</f>
        <v>1</v>
      </c>
      <c r="F9" s="3">
        <f t="shared" si="0"/>
        <v>1.67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1</v>
      </c>
      <c r="E10" s="4">
        <f>COUNTIF(Resp4[4.128],B10)</f>
        <v>1</v>
      </c>
      <c r="F10" s="3">
        <f t="shared" si="0"/>
        <v>1.67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COUNTIFS(Resp4[Vínculo],"tecnico",Resp4[4.128],B11)</f>
        <v>0</v>
      </c>
      <c r="D11" s="4">
        <f>COUNTIFS(Resp4[Vínculo],"docente",Resp4[4.128],B11)</f>
        <v>5</v>
      </c>
      <c r="E11" s="4">
        <f>COUNTIF(Resp4[4.128],B11)</f>
        <v>5</v>
      </c>
      <c r="F11" s="3">
        <f t="shared" si="0"/>
        <v>8.33</v>
      </c>
      <c r="G11" s="3">
        <f t="shared" si="1"/>
        <v>31.25</v>
      </c>
    </row>
    <row r="12" spans="1:7" x14ac:dyDescent="0.25">
      <c r="B12" s="7" t="s">
        <v>196</v>
      </c>
      <c r="C12" s="4">
        <f>COUNTIFS(Resp4[Vínculo],"tecnico",Resp4[4.128],B12)</f>
        <v>0</v>
      </c>
      <c r="D12" s="4">
        <f>COUNTIFS(Resp4[Vínculo],"docente",Resp4[4.128],B12)</f>
        <v>9</v>
      </c>
      <c r="E12" s="4">
        <f>COUNTIF(Resp4[4.128],B12)</f>
        <v>9</v>
      </c>
      <c r="F12" s="24">
        <f t="shared" si="0"/>
        <v>15</v>
      </c>
      <c r="G12" s="3">
        <f t="shared" si="1"/>
        <v>56.25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87.5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COUNTIFS(Resp4[Vínculo],"tecnico",Resp4[4.130],B7)</f>
        <v>0</v>
      </c>
      <c r="D7" s="4">
        <f>COUNTIFS(Resp4[Vínculo],"docente",Resp4[4.130],B7)</f>
        <v>19</v>
      </c>
      <c r="E7" s="2">
        <f>COUNTIF(Resp4[4.130],B7)</f>
        <v>19</v>
      </c>
      <c r="F7" s="4">
        <f t="shared" ref="F7:F9" si="0">ROUND($E7/E$9*100,2)</f>
        <v>31.67</v>
      </c>
      <c r="G7" s="4">
        <f>ROUND($E7/SUM($E$7:$E$8)*100,2)</f>
        <v>31.67</v>
      </c>
      <c r="H7" s="2"/>
    </row>
    <row r="8" spans="1:8" x14ac:dyDescent="0.25">
      <c r="A8" s="2"/>
      <c r="B8" s="2" t="s">
        <v>199</v>
      </c>
      <c r="C8" s="4">
        <f>COUNTIFS(Resp4[Vínculo],"tecnico",Resp4[4.130],B8)</f>
        <v>0</v>
      </c>
      <c r="D8" s="4">
        <f>COUNTIFS(Resp4[Vínculo],"docente",Resp4[4.130],B8)</f>
        <v>41</v>
      </c>
      <c r="E8" s="2">
        <f>COUNTIF(Resp4[4.130],B8)</f>
        <v>41</v>
      </c>
      <c r="F8" s="22">
        <f t="shared" si="0"/>
        <v>68.33</v>
      </c>
      <c r="G8" s="4">
        <f>ROUND($E8/SUM($E$7:$E$8)*100,2)</f>
        <v>68.33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COUNTIFS(Resp4[Vínculo],"tecnico",Resp4[4.131],B7)</f>
        <v>0</v>
      </c>
      <c r="D7" s="4">
        <f>COUNTIFS(Resp4[Vínculo],"docente",Resp4[4.131],B7)</f>
        <v>1</v>
      </c>
      <c r="E7" s="4">
        <f>COUNTIF(Resp4[4.131],B7)</f>
        <v>1</v>
      </c>
      <c r="F7" s="3">
        <f t="shared" ref="F7:F13" si="0">ROUND($E7/E$13*100,2)</f>
        <v>1.67</v>
      </c>
      <c r="G7" s="3">
        <f t="shared" ref="G7:G12" si="1">ROUND($E7/SUM($E$7:$E$12)*100,3)</f>
        <v>5.2629999999999999</v>
      </c>
    </row>
    <row r="8" spans="1:7" x14ac:dyDescent="0.25">
      <c r="B8" s="2" t="s">
        <v>207</v>
      </c>
      <c r="C8" s="4">
        <f>COUNTIFS(Resp4[Vínculo],"tecnico",Resp4[4.131],B8)</f>
        <v>0</v>
      </c>
      <c r="D8" s="4">
        <f>COUNTIFS(Resp4[Vínculo],"docente",Resp4[4.131],B8)</f>
        <v>1</v>
      </c>
      <c r="E8" s="4">
        <f>COUNTIF(Resp4[4.131],B8)</f>
        <v>1</v>
      </c>
      <c r="F8" s="3">
        <f t="shared" si="0"/>
        <v>1.67</v>
      </c>
      <c r="G8" s="3">
        <f t="shared" si="1"/>
        <v>5.2629999999999999</v>
      </c>
    </row>
    <row r="9" spans="1:7" x14ac:dyDescent="0.25">
      <c r="B9" s="2" t="s">
        <v>204</v>
      </c>
      <c r="C9" s="4">
        <f>COUNTIFS(Resp4[Vínculo],"tecnico",Resp4[4.131],B9)</f>
        <v>0</v>
      </c>
      <c r="D9" s="4">
        <f>COUNTIFS(Resp4[Vínculo],"docente",Resp4[4.131],B9)</f>
        <v>7</v>
      </c>
      <c r="E9" s="4">
        <f>COUNTIF(Resp4[4.131],B9)</f>
        <v>7</v>
      </c>
      <c r="F9" s="3">
        <f t="shared" si="0"/>
        <v>11.67</v>
      </c>
      <c r="G9" s="3">
        <f t="shared" si="1"/>
        <v>36.841999999999999</v>
      </c>
    </row>
    <row r="10" spans="1:7" x14ac:dyDescent="0.25">
      <c r="B10" s="2" t="s">
        <v>30</v>
      </c>
      <c r="C10" s="4">
        <f>COUNTIFS(Resp4[Vínculo],"tecnico",Resp4[4.131],B10)</f>
        <v>0</v>
      </c>
      <c r="D10" s="4">
        <f>COUNTIFS(Resp4[Vínculo],"docente",Resp4[4.131],B10)</f>
        <v>4</v>
      </c>
      <c r="E10" s="4">
        <f>COUNTIF(Resp4[4.131],B10)</f>
        <v>4</v>
      </c>
      <c r="F10" s="3">
        <f t="shared" si="0"/>
        <v>6.67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COUNTIFS(Resp4[Vínculo],"tecnico",Resp4[4.131],B11)</f>
        <v>0</v>
      </c>
      <c r="D11" s="4">
        <f>COUNTIFS(Resp4[Vínculo],"docente",Resp4[4.131],B11)</f>
        <v>4</v>
      </c>
      <c r="E11" s="4">
        <f>COUNTIF(Resp4[4.131],B11)</f>
        <v>4</v>
      </c>
      <c r="F11" s="3">
        <f t="shared" si="0"/>
        <v>6.67</v>
      </c>
      <c r="G11" s="3">
        <f t="shared" si="1"/>
        <v>21.053000000000001</v>
      </c>
    </row>
    <row r="12" spans="1:7" x14ac:dyDescent="0.25">
      <c r="B12" s="7" t="s">
        <v>196</v>
      </c>
      <c r="C12" s="4">
        <f>COUNTIFS(Resp4[Vínculo],"tecnico",Resp4[4.131],B12)</f>
        <v>0</v>
      </c>
      <c r="D12" s="4">
        <f>COUNTIFS(Resp4[Vínculo],"docente",Resp4[4.131],B12)</f>
        <v>2</v>
      </c>
      <c r="E12" s="4">
        <f>COUNTIF(Resp4[4.131],B12)</f>
        <v>2</v>
      </c>
      <c r="F12" s="24">
        <f t="shared" si="0"/>
        <v>3.33</v>
      </c>
      <c r="G12" s="3">
        <f t="shared" si="1"/>
        <v>10.526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42.104999999999997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31.579000000000001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COUNTIFS(Resp4[Vínculo],"tecnico",Resp4[4.132],B7)</f>
        <v>0</v>
      </c>
      <c r="D7" s="4">
        <f>COUNTIFS(Resp4[Vínculo],"docente",Resp4[4.132],B7)</f>
        <v>3</v>
      </c>
      <c r="E7" s="4">
        <f>COUNTIF(Resp4[4.132],B7)</f>
        <v>3</v>
      </c>
      <c r="F7" s="3">
        <f t="shared" ref="F7:F13" si="0">ROUND($E7/E$13*100,2)</f>
        <v>5</v>
      </c>
      <c r="G7" s="3">
        <f t="shared" ref="G7:G12" si="1">ROUND($E7/SUM($E$7:$E$12)*100,3)</f>
        <v>15.789</v>
      </c>
    </row>
    <row r="8" spans="1:7" x14ac:dyDescent="0.25">
      <c r="B8" s="2" t="s">
        <v>207</v>
      </c>
      <c r="C8" s="4">
        <f>COUNTIFS(Resp4[Vínculo],"tecnico",Resp4[4.132],B8)</f>
        <v>0</v>
      </c>
      <c r="D8" s="4">
        <f>COUNTIFS(Resp4[Vínculo],"docente",Resp4[4.132],B8)</f>
        <v>1</v>
      </c>
      <c r="E8" s="4">
        <f>COUNTIF(Resp4[4.132],B8)</f>
        <v>1</v>
      </c>
      <c r="F8" s="3">
        <f t="shared" si="0"/>
        <v>1.67</v>
      </c>
      <c r="G8" s="3">
        <f t="shared" si="1"/>
        <v>5.2629999999999999</v>
      </c>
    </row>
    <row r="9" spans="1:7" x14ac:dyDescent="0.25">
      <c r="B9" s="2" t="s">
        <v>204</v>
      </c>
      <c r="C9" s="4">
        <f>COUNTIFS(Resp4[Vínculo],"tecnico",Resp4[4.132],B9)</f>
        <v>0</v>
      </c>
      <c r="D9" s="4">
        <f>COUNTIFS(Resp4[Vínculo],"docente",Resp4[4.132],B9)</f>
        <v>7</v>
      </c>
      <c r="E9" s="4">
        <f>COUNTIF(Resp4[4.132],B9)</f>
        <v>7</v>
      </c>
      <c r="F9" s="3">
        <f t="shared" si="0"/>
        <v>11.67</v>
      </c>
      <c r="G9" s="3">
        <f t="shared" si="1"/>
        <v>36.841999999999999</v>
      </c>
    </row>
    <row r="10" spans="1:7" x14ac:dyDescent="0.25">
      <c r="B10" s="2" t="s">
        <v>30</v>
      </c>
      <c r="C10" s="4">
        <f>COUNTIFS(Resp4[Vínculo],"tecnico",Resp4[4.132],B10)</f>
        <v>0</v>
      </c>
      <c r="D10" s="4">
        <f>COUNTIFS(Resp4[Vínculo],"docente",Resp4[4.132],B10)</f>
        <v>1</v>
      </c>
      <c r="E10" s="4">
        <f>COUNTIF(Resp4[4.132],B10)</f>
        <v>1</v>
      </c>
      <c r="F10" s="3">
        <f t="shared" si="0"/>
        <v>1.67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COUNTIFS(Resp4[Vínculo],"tecnico",Resp4[4.132],B11)</f>
        <v>0</v>
      </c>
      <c r="D11" s="4">
        <f>COUNTIFS(Resp4[Vínculo],"docente",Resp4[4.132],B11)</f>
        <v>5</v>
      </c>
      <c r="E11" s="4">
        <f>COUNTIF(Resp4[4.132],B11)</f>
        <v>5</v>
      </c>
      <c r="F11" s="3">
        <f t="shared" si="0"/>
        <v>8.33</v>
      </c>
      <c r="G11" s="3">
        <f t="shared" si="1"/>
        <v>26.315999999999999</v>
      </c>
    </row>
    <row r="12" spans="1:7" x14ac:dyDescent="0.25">
      <c r="B12" s="7" t="s">
        <v>196</v>
      </c>
      <c r="C12" s="4">
        <f>COUNTIFS(Resp4[Vínculo],"tecnico",Resp4[4.132],B12)</f>
        <v>0</v>
      </c>
      <c r="D12" s="4">
        <f>COUNTIFS(Resp4[Vínculo],"docente",Resp4[4.132],B12)</f>
        <v>2</v>
      </c>
      <c r="E12" s="4">
        <f>COUNTIF(Resp4[4.132],B12)</f>
        <v>2</v>
      </c>
      <c r="F12" s="24">
        <f t="shared" si="0"/>
        <v>3.33</v>
      </c>
      <c r="G12" s="3">
        <f t="shared" si="1"/>
        <v>10.526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42.104999999999997</v>
      </c>
    </row>
    <row r="26" spans="2:7" x14ac:dyDescent="0.25">
      <c r="B26" s="16" t="s">
        <v>201</v>
      </c>
      <c r="C26" s="16" t="s">
        <v>23</v>
      </c>
      <c r="D26" s="14">
        <f>D7</f>
        <v>3</v>
      </c>
      <c r="E26" s="15">
        <f>ROUND(D26/SUM(D$25:D$28)*100,3)</f>
        <v>15.789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36.841999999999999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COUNTIFS(Resp4[Vínculo],"tecnico",Resp4[4.133],B7)</f>
        <v>0</v>
      </c>
      <c r="D7" s="4">
        <f>COUNTIFS(Resp4[Vínculo],"docente",Resp4[4.133],B7)</f>
        <v>7</v>
      </c>
      <c r="E7" s="4">
        <f>COUNTIF(Resp4[4.133],B7)</f>
        <v>7</v>
      </c>
      <c r="F7" s="3">
        <f t="shared" ref="F7:F13" si="0">ROUND($E7/E$13*100,2)</f>
        <v>11.67</v>
      </c>
      <c r="G7" s="3">
        <f t="shared" ref="G7:G12" si="1">ROUND($E7/SUM($E$7:$E$12)*100,3)</f>
        <v>36.841999999999999</v>
      </c>
    </row>
    <row r="8" spans="1:7" x14ac:dyDescent="0.25">
      <c r="B8" s="2" t="s">
        <v>207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COUNTIFS(Resp4[Vínculo],"tecnico",Resp4[4.133],B9)</f>
        <v>0</v>
      </c>
      <c r="D9" s="4">
        <f>COUNTIFS(Resp4[Vínculo],"docente",Resp4[4.133],B9)</f>
        <v>2</v>
      </c>
      <c r="E9" s="4">
        <f>COUNTIF(Resp4[4.133],B9)</f>
        <v>2</v>
      </c>
      <c r="F9" s="3">
        <f t="shared" si="0"/>
        <v>3.33</v>
      </c>
      <c r="G9" s="3">
        <f t="shared" si="1"/>
        <v>10.526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3</v>
      </c>
      <c r="E10" s="4">
        <f>COUNTIF(Resp4[4.133],B10)</f>
        <v>3</v>
      </c>
      <c r="F10" s="3">
        <f t="shared" si="0"/>
        <v>5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COUNTIFS(Resp4[Vínculo],"tecnico",Resp4[4.133],B11)</f>
        <v>0</v>
      </c>
      <c r="D11" s="4">
        <f>COUNTIFS(Resp4[Vínculo],"docente",Resp4[4.133],B11)</f>
        <v>4</v>
      </c>
      <c r="E11" s="4">
        <f>COUNTIF(Resp4[4.133],B11)</f>
        <v>4</v>
      </c>
      <c r="F11" s="3">
        <f t="shared" si="0"/>
        <v>6.67</v>
      </c>
      <c r="G11" s="3">
        <f t="shared" si="1"/>
        <v>21.053000000000001</v>
      </c>
    </row>
    <row r="12" spans="1:7" x14ac:dyDescent="0.25">
      <c r="B12" s="7" t="s">
        <v>196</v>
      </c>
      <c r="C12" s="4">
        <f>COUNTIFS(Resp4[Vínculo],"tecnico",Resp4[4.133],B12)</f>
        <v>0</v>
      </c>
      <c r="D12" s="4">
        <f>COUNTIFS(Resp4[Vínculo],"docente",Resp4[4.133],B12)</f>
        <v>3</v>
      </c>
      <c r="E12" s="4">
        <f>COUNTIF(Resp4[4.133],B12)</f>
        <v>3</v>
      </c>
      <c r="F12" s="24">
        <f t="shared" si="0"/>
        <v>5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7</v>
      </c>
      <c r="E26" s="15">
        <f>ROUND(D26/SUM(D$25:D$28)*100,3)</f>
        <v>36.841999999999999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36.841999999999999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COUNTIFS(Resp4[Vínculo],"tecnico",Resp4[4.134],B7)</f>
        <v>0</v>
      </c>
      <c r="D7" s="4">
        <f>COUNTIFS(Resp4[Vínculo],"docente",Resp4[4.134],B7)</f>
        <v>5</v>
      </c>
      <c r="E7" s="4">
        <f>COUNTIF(Resp4[4.134],B7)</f>
        <v>5</v>
      </c>
      <c r="F7" s="3">
        <f t="shared" ref="F7:F12" si="0">ROUND($E7/E$13*100,2)</f>
        <v>8.33</v>
      </c>
      <c r="G7" s="3">
        <f t="shared" ref="G7:G12" si="1">ROUND($E7/SUM($E$7:$E$12)*100,3)</f>
        <v>26.315999999999999</v>
      </c>
    </row>
    <row r="8" spans="1:7" x14ac:dyDescent="0.25">
      <c r="B8" s="2" t="s">
        <v>207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COUNTIFS(Resp4[Vínculo],"tecnico",Resp4[4.134],B9)</f>
        <v>0</v>
      </c>
      <c r="D9" s="4">
        <f>COUNTIFS(Resp4[Vínculo],"docente",Resp4[4.134],B9)</f>
        <v>4</v>
      </c>
      <c r="E9" s="4">
        <f>COUNTIF(Resp4[4.134],B9)</f>
        <v>4</v>
      </c>
      <c r="F9" s="3">
        <f t="shared" si="0"/>
        <v>6.67</v>
      </c>
      <c r="G9" s="3">
        <f t="shared" si="1"/>
        <v>21.053000000000001</v>
      </c>
    </row>
    <row r="10" spans="1:7" x14ac:dyDescent="0.25">
      <c r="B10" s="2" t="s">
        <v>30</v>
      </c>
      <c r="C10" s="4">
        <f>COUNTIFS(Resp4[Vínculo],"tecnico",Resp4[4.134],B10)</f>
        <v>0</v>
      </c>
      <c r="D10" s="4">
        <f>COUNTIFS(Resp4[Vínculo],"docente",Resp4[4.134],B10)</f>
        <v>1</v>
      </c>
      <c r="E10" s="4">
        <f>COUNTIF(Resp4[4.134],B10)</f>
        <v>1</v>
      </c>
      <c r="F10" s="3">
        <f t="shared" si="0"/>
        <v>1.67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COUNTIFS(Resp4[Vínculo],"tecnico",Resp4[4.134],B11)</f>
        <v>0</v>
      </c>
      <c r="D11" s="4">
        <f>COUNTIFS(Resp4[Vínculo],"docente",Resp4[4.134],B11)</f>
        <v>7</v>
      </c>
      <c r="E11" s="4">
        <f>COUNTIF(Resp4[4.134],B11)</f>
        <v>7</v>
      </c>
      <c r="F11" s="3">
        <f t="shared" si="0"/>
        <v>11.67</v>
      </c>
      <c r="G11" s="3">
        <f t="shared" si="1"/>
        <v>36.841999999999999</v>
      </c>
    </row>
    <row r="12" spans="1:7" x14ac:dyDescent="0.25">
      <c r="B12" s="7" t="s">
        <v>196</v>
      </c>
      <c r="C12" s="4">
        <f>COUNTIFS(Resp4[Vínculo],"tecnico",Resp4[4.134],B12)</f>
        <v>0</v>
      </c>
      <c r="D12" s="4">
        <f>COUNTIFS(Resp4[Vínculo],"docente",Resp4[4.134],B12)</f>
        <v>2</v>
      </c>
      <c r="E12" s="4">
        <f>COUNTIF(Resp4[4.134],B12)</f>
        <v>2</v>
      </c>
      <c r="F12" s="24">
        <f t="shared" si="0"/>
        <v>3.33</v>
      </c>
      <c r="G12" s="3">
        <f t="shared" si="1"/>
        <v>10.526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>ROUND($E13/E$13*100,2)</f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21.053000000000001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26.315999999999999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47.368000000000002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COUNTIFS(Resp4[Vínculo],"tecnico",Resp4[4.07],B7)</f>
        <v>0</v>
      </c>
      <c r="D7" s="4">
        <f>COUNTIFS(Resp4[Vínculo],"docente",Resp4[4.07],B7)</f>
        <v>1</v>
      </c>
      <c r="E7" s="4">
        <f>COUNTIF(Resp4[4.07],B7)</f>
        <v>1</v>
      </c>
      <c r="F7" s="4">
        <f t="shared" ref="F7:F13" si="0">ROUND($E7/E$13*100,2)</f>
        <v>1.67</v>
      </c>
      <c r="G7" s="3">
        <f t="shared" ref="G7:G12" si="1">ROUND($E7/SUM($E$7:$E$12)*100,3)</f>
        <v>1.923</v>
      </c>
    </row>
    <row r="8" spans="1:7" x14ac:dyDescent="0.25">
      <c r="B8" s="2" t="s">
        <v>207</v>
      </c>
      <c r="C8" s="4">
        <f>COUNTIFS(Resp4[Vínculo],"tecnico",Resp4[4.07],B8)</f>
        <v>0</v>
      </c>
      <c r="D8" s="4">
        <f>COUNTIFS(Resp4[Vínculo],"docente",Resp4[4.07],B8)</f>
        <v>3</v>
      </c>
      <c r="E8" s="4">
        <f>COUNTIF(Resp4[4.07],B8)</f>
        <v>3</v>
      </c>
      <c r="F8" s="4">
        <f t="shared" si="0"/>
        <v>5</v>
      </c>
      <c r="G8" s="3">
        <f t="shared" si="1"/>
        <v>5.7690000000000001</v>
      </c>
    </row>
    <row r="9" spans="1:7" x14ac:dyDescent="0.25">
      <c r="B9" s="2" t="s">
        <v>204</v>
      </c>
      <c r="C9" s="4">
        <f>COUNTIFS(Resp4[Vínculo],"tecnico",Resp4[4.07],B9)</f>
        <v>0</v>
      </c>
      <c r="D9" s="4">
        <f>COUNTIFS(Resp4[Vínculo],"docente",Resp4[4.07],B9)</f>
        <v>5</v>
      </c>
      <c r="E9" s="4">
        <f>COUNTIF(Resp4[4.07],B9)</f>
        <v>5</v>
      </c>
      <c r="F9" s="4">
        <f t="shared" si="0"/>
        <v>8.33</v>
      </c>
      <c r="G9" s="3">
        <f t="shared" si="1"/>
        <v>9.6150000000000002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12</v>
      </c>
      <c r="E10" s="4">
        <f>COUNTIF(Resp4[4.07],B10)</f>
        <v>12</v>
      </c>
      <c r="F10" s="4">
        <f t="shared" si="0"/>
        <v>20</v>
      </c>
      <c r="G10" s="3">
        <f t="shared" si="1"/>
        <v>23.077000000000002</v>
      </c>
    </row>
    <row r="11" spans="1:7" x14ac:dyDescent="0.25">
      <c r="B11" s="2" t="s">
        <v>195</v>
      </c>
      <c r="C11" s="4">
        <f>COUNTIFS(Resp4[Vínculo],"tecnico",Resp4[4.07],B11)</f>
        <v>0</v>
      </c>
      <c r="D11" s="4">
        <f>COUNTIFS(Resp4[Vínculo],"docente",Resp4[4.07],B11)</f>
        <v>19</v>
      </c>
      <c r="E11" s="4">
        <f>COUNTIF(Resp4[4.07],B11)</f>
        <v>19</v>
      </c>
      <c r="F11" s="4">
        <f t="shared" si="0"/>
        <v>31.67</v>
      </c>
      <c r="G11" s="3">
        <f t="shared" si="1"/>
        <v>36.537999999999997</v>
      </c>
    </row>
    <row r="12" spans="1:7" x14ac:dyDescent="0.25">
      <c r="B12" s="7" t="s">
        <v>196</v>
      </c>
      <c r="C12" s="4">
        <f>COUNTIFS(Resp4[Vínculo],"tecnico",Resp4[4.07],B12)</f>
        <v>0</v>
      </c>
      <c r="D12" s="4">
        <f>COUNTIFS(Resp4[Vínculo],"docente",Resp4[4.07],B12)</f>
        <v>12</v>
      </c>
      <c r="E12" s="4">
        <f>COUNTIF(Resp4[4.07],B12)</f>
        <v>12</v>
      </c>
      <c r="F12" s="22">
        <f t="shared" si="0"/>
        <v>20</v>
      </c>
      <c r="G12" s="3">
        <f t="shared" si="1"/>
        <v>23.077000000000002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1.923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59.615000000000002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COUNTIFS(Resp4[Vínculo],"tecnico",Resp4[4.135],B7)</f>
        <v>0</v>
      </c>
      <c r="D7" s="4">
        <f>COUNTIFS(Resp4[Vínculo],"docente",Resp4[4.135],B7)</f>
        <v>1</v>
      </c>
      <c r="E7" s="4">
        <f>COUNTIF(Resp4[4.135],B7)</f>
        <v>1</v>
      </c>
      <c r="F7" s="3">
        <f t="shared" ref="F7:F13" si="0">ROUND($E7/E$13*100,2)</f>
        <v>1.67</v>
      </c>
      <c r="G7" s="3">
        <f t="shared" ref="G7:G12" si="1">ROUND($E7/SUM($E$7:$E$12)*100,3)</f>
        <v>5.2629999999999999</v>
      </c>
    </row>
    <row r="8" spans="1:7" x14ac:dyDescent="0.25">
      <c r="B8" s="2" t="s">
        <v>207</v>
      </c>
      <c r="C8" s="4">
        <f>COUNTIFS(Resp4[Vínculo],"tecnico",Resp4[4.135],B8)</f>
        <v>0</v>
      </c>
      <c r="D8" s="4">
        <f>COUNTIFS(Resp4[Vínculo],"docente",Resp4[4.135],B8)</f>
        <v>1</v>
      </c>
      <c r="E8" s="4">
        <f>COUNTIF(Resp4[4.135],B8)</f>
        <v>1</v>
      </c>
      <c r="F8" s="3">
        <f t="shared" si="0"/>
        <v>1.67</v>
      </c>
      <c r="G8" s="3">
        <f t="shared" si="1"/>
        <v>5.2629999999999999</v>
      </c>
    </row>
    <row r="9" spans="1:7" x14ac:dyDescent="0.25">
      <c r="B9" s="2" t="s">
        <v>204</v>
      </c>
      <c r="C9" s="4">
        <f>COUNTIFS(Resp4[Vínculo],"tecnico",Resp4[4.135],B9)</f>
        <v>0</v>
      </c>
      <c r="D9" s="4">
        <f>COUNTIFS(Resp4[Vínculo],"docente",Resp4[4.135],B9)</f>
        <v>6</v>
      </c>
      <c r="E9" s="4">
        <f>COUNTIF(Resp4[4.135],B9)</f>
        <v>6</v>
      </c>
      <c r="F9" s="3">
        <f t="shared" si="0"/>
        <v>10</v>
      </c>
      <c r="G9" s="3">
        <f t="shared" si="1"/>
        <v>31.579000000000001</v>
      </c>
    </row>
    <row r="10" spans="1:7" x14ac:dyDescent="0.25">
      <c r="B10" s="2" t="s">
        <v>30</v>
      </c>
      <c r="C10" s="4">
        <f>COUNTIFS(Resp4[Vínculo],"tecnico",Resp4[4.135],B10)</f>
        <v>0</v>
      </c>
      <c r="D10" s="4">
        <f>COUNTIFS(Resp4[Vínculo],"docente",Resp4[4.135],B10)</f>
        <v>3</v>
      </c>
      <c r="E10" s="4">
        <f>COUNTIF(Resp4[4.135],B10)</f>
        <v>3</v>
      </c>
      <c r="F10" s="3">
        <f t="shared" si="0"/>
        <v>5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COUNTIFS(Resp4[Vínculo],"tecnico",Resp4[4.135],B11)</f>
        <v>0</v>
      </c>
      <c r="D11" s="4">
        <f>COUNTIFS(Resp4[Vínculo],"docente",Resp4[4.135],B11)</f>
        <v>4</v>
      </c>
      <c r="E11" s="4">
        <f>COUNTIF(Resp4[4.135],B11)</f>
        <v>4</v>
      </c>
      <c r="F11" s="3">
        <f t="shared" si="0"/>
        <v>6.67</v>
      </c>
      <c r="G11" s="3">
        <f t="shared" si="1"/>
        <v>21.053000000000001</v>
      </c>
    </row>
    <row r="12" spans="1:7" x14ac:dyDescent="0.25">
      <c r="B12" s="7" t="s">
        <v>196</v>
      </c>
      <c r="C12" s="4">
        <f>COUNTIFS(Resp4[Vínculo],"tecnico",Resp4[4.135],B12)</f>
        <v>0</v>
      </c>
      <c r="D12" s="4">
        <f>COUNTIFS(Resp4[Vínculo],"docente",Resp4[4.135],B12)</f>
        <v>4</v>
      </c>
      <c r="E12" s="4">
        <f>COUNTIF(Resp4[4.135],B12)</f>
        <v>4</v>
      </c>
      <c r="F12" s="24">
        <f t="shared" si="0"/>
        <v>6.67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36.841999999999999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42.104999999999997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41</v>
      </c>
      <c r="E6" s="4">
        <f>E13-SUM(E7:E12)</f>
        <v>41</v>
      </c>
      <c r="F6" s="3">
        <f>ROUND($E6/E$13*100,2)</f>
        <v>68.33</v>
      </c>
    </row>
    <row r="7" spans="1:7" x14ac:dyDescent="0.25">
      <c r="B7" s="2" t="s">
        <v>201</v>
      </c>
      <c r="C7" s="4">
        <f>COUNTIFS(Resp4[Vínculo],"tecnico",Resp4[4.136],B7)</f>
        <v>0</v>
      </c>
      <c r="D7" s="4">
        <f>COUNTIFS(Resp4[Vínculo],"docente",Resp4[4.136],B7)</f>
        <v>2</v>
      </c>
      <c r="E7" s="4">
        <f>COUNTIF(Resp4[4.136],B7)</f>
        <v>2</v>
      </c>
      <c r="F7" s="3">
        <f t="shared" ref="F7:F13" si="0">ROUND($E7/E$13*100,2)</f>
        <v>3.33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COUNTIFS(Resp4[Vínculo],"tecnico",Resp4[4.136],B8)</f>
        <v>0</v>
      </c>
      <c r="D8" s="4">
        <f>COUNTIFS(Resp4[Vínculo],"docente",Resp4[4.136],B8)</f>
        <v>2</v>
      </c>
      <c r="E8" s="4">
        <f>COUNTIF(Resp4[4.136],B8)</f>
        <v>2</v>
      </c>
      <c r="F8" s="3">
        <f t="shared" si="0"/>
        <v>3.33</v>
      </c>
      <c r="G8" s="3">
        <f t="shared" si="1"/>
        <v>10.526</v>
      </c>
    </row>
    <row r="9" spans="1:7" x14ac:dyDescent="0.25">
      <c r="B9" s="2" t="s">
        <v>204</v>
      </c>
      <c r="C9" s="4">
        <f>COUNTIFS(Resp4[Vínculo],"tecnico",Resp4[4.136],B9)</f>
        <v>0</v>
      </c>
      <c r="D9" s="4">
        <f>COUNTIFS(Resp4[Vínculo],"docente",Resp4[4.136],B9)</f>
        <v>6</v>
      </c>
      <c r="E9" s="4">
        <f>COUNTIF(Resp4[4.136],B9)</f>
        <v>6</v>
      </c>
      <c r="F9" s="3">
        <f t="shared" si="0"/>
        <v>10</v>
      </c>
      <c r="G9" s="3">
        <f t="shared" si="1"/>
        <v>31.579000000000001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4</v>
      </c>
      <c r="E10" s="4">
        <f>COUNTIF(Resp4[4.136],B10)</f>
        <v>4</v>
      </c>
      <c r="F10" s="3">
        <f t="shared" si="0"/>
        <v>6.67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COUNTIFS(Resp4[Vínculo],"tecnico",Resp4[4.136],B11)</f>
        <v>0</v>
      </c>
      <c r="D11" s="4">
        <f>COUNTIFS(Resp4[Vínculo],"docente",Resp4[4.136],B11)</f>
        <v>2</v>
      </c>
      <c r="E11" s="4">
        <f>COUNTIF(Resp4[4.136],B11)</f>
        <v>2</v>
      </c>
      <c r="F11" s="3">
        <f t="shared" si="0"/>
        <v>3.33</v>
      </c>
      <c r="G11" s="3">
        <f t="shared" si="1"/>
        <v>10.526</v>
      </c>
    </row>
    <row r="12" spans="1:7" x14ac:dyDescent="0.25">
      <c r="B12" s="7" t="s">
        <v>196</v>
      </c>
      <c r="C12" s="4">
        <f>COUNTIFS(Resp4[Vínculo],"tecnico",Resp4[4.136],B12)</f>
        <v>0</v>
      </c>
      <c r="D12" s="4">
        <f>COUNTIFS(Resp4[Vínculo],"docente",Resp4[4.136],B12)</f>
        <v>3</v>
      </c>
      <c r="E12" s="4">
        <f>COUNTIF(Resp4[4.136],B12)</f>
        <v>3</v>
      </c>
      <c r="F12" s="24">
        <f t="shared" si="0"/>
        <v>5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42.104999999999997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26.315999999999999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COUNTIFS(Resp4[Vínculo],"tecnico",Resp4[4.08],B7)</f>
        <v>0</v>
      </c>
      <c r="D7" s="4">
        <f>COUNTIFS(Resp4[Vínculo],"docente",Resp4[4.08],B7)</f>
        <v>9</v>
      </c>
      <c r="E7" s="4">
        <f>COUNTIF(Resp4[4.08],B7)</f>
        <v>9</v>
      </c>
      <c r="F7" s="4">
        <f t="shared" ref="F7:F13" si="0">ROUND($E7/E$13*100,2)</f>
        <v>15</v>
      </c>
      <c r="G7" s="3">
        <f t="shared" ref="G7:G12" si="1">ROUND($E7/SUM($E$7:$E$12)*100,3)</f>
        <v>17.308</v>
      </c>
    </row>
    <row r="8" spans="1:7" x14ac:dyDescent="0.25">
      <c r="B8" s="2" t="s">
        <v>207</v>
      </c>
      <c r="C8" s="4">
        <f>COUNTIFS(Resp4[Vínculo],"tecnico",Resp4[4.08],B8)</f>
        <v>0</v>
      </c>
      <c r="D8" s="4">
        <f>COUNTIFS(Resp4[Vínculo],"docente",Resp4[4.08],B8)</f>
        <v>1</v>
      </c>
      <c r="E8" s="4">
        <f>COUNTIF(Resp4[4.08],B8)</f>
        <v>1</v>
      </c>
      <c r="F8" s="4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COUNTIFS(Resp4[Vínculo],"tecnico",Resp4[4.08],B9)</f>
        <v>0</v>
      </c>
      <c r="D9" s="4">
        <f>COUNTIFS(Resp4[Vínculo],"docente",Resp4[4.08],B9)</f>
        <v>3</v>
      </c>
      <c r="E9" s="4">
        <f>COUNTIF(Resp4[4.08],B9)</f>
        <v>3</v>
      </c>
      <c r="F9" s="4">
        <f t="shared" si="0"/>
        <v>5</v>
      </c>
      <c r="G9" s="3">
        <f t="shared" si="1"/>
        <v>5.7690000000000001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19</v>
      </c>
      <c r="E10" s="4">
        <f>COUNTIF(Resp4[4.08],B10)</f>
        <v>19</v>
      </c>
      <c r="F10" s="4">
        <f t="shared" si="0"/>
        <v>31.67</v>
      </c>
      <c r="G10" s="3">
        <f t="shared" si="1"/>
        <v>36.537999999999997</v>
      </c>
    </row>
    <row r="11" spans="1:7" x14ac:dyDescent="0.25">
      <c r="B11" s="2" t="s">
        <v>195</v>
      </c>
      <c r="C11" s="4">
        <f>COUNTIFS(Resp4[Vínculo],"tecnico",Resp4[4.08],B11)</f>
        <v>0</v>
      </c>
      <c r="D11" s="4">
        <f>COUNTIFS(Resp4[Vínculo],"docente",Resp4[4.08],B11)</f>
        <v>10</v>
      </c>
      <c r="E11" s="4">
        <f>COUNTIF(Resp4[4.08],B11)</f>
        <v>10</v>
      </c>
      <c r="F11" s="4">
        <f t="shared" si="0"/>
        <v>16.670000000000002</v>
      </c>
      <c r="G11" s="3">
        <f t="shared" si="1"/>
        <v>19.231000000000002</v>
      </c>
    </row>
    <row r="12" spans="1:7" x14ac:dyDescent="0.25">
      <c r="B12" s="7" t="s">
        <v>196</v>
      </c>
      <c r="C12" s="4">
        <f>COUNTIFS(Resp4[Vínculo],"tecnico",Resp4[4.08],B12)</f>
        <v>0</v>
      </c>
      <c r="D12" s="4">
        <f>COUNTIFS(Resp4[Vínculo],"docente",Resp4[4.08],B12)</f>
        <v>10</v>
      </c>
      <c r="E12" s="4">
        <f>COUNTIF(Resp4[4.08],B12)</f>
        <v>10</v>
      </c>
      <c r="F12" s="22">
        <f t="shared" si="0"/>
        <v>16.670000000000002</v>
      </c>
      <c r="G12" s="3">
        <f t="shared" si="1"/>
        <v>19.231000000000002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9</v>
      </c>
      <c r="E26" s="15">
        <f>ROUND(D26/SUM(D$25:D$28)*100,3)</f>
        <v>17.308</v>
      </c>
    </row>
    <row r="27" spans="2:7" x14ac:dyDescent="0.25">
      <c r="B27" s="17" t="s">
        <v>30</v>
      </c>
      <c r="C27" s="17" t="s">
        <v>29</v>
      </c>
      <c r="D27" s="14">
        <f>D10</f>
        <v>19</v>
      </c>
      <c r="E27" s="15">
        <f>ROUND(D27/SUM(D$25:D$28)*100,3)</f>
        <v>36.537999999999997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COUNTIFS(Resp4[Vínculo],"tecnico",Resp4[4.09],B7)</f>
        <v>0</v>
      </c>
      <c r="D7" s="4">
        <f>COUNTIFS(Resp4[Vínculo],"docente",Resp4[4.09],B7)</f>
        <v>6</v>
      </c>
      <c r="E7" s="4">
        <f>COUNTIF(Resp4[4.09],B7)</f>
        <v>6</v>
      </c>
      <c r="F7" s="4">
        <f t="shared" ref="F7:F13" si="0">ROUND($E7/E$13*100,2)</f>
        <v>10</v>
      </c>
      <c r="G7" s="3">
        <f t="shared" ref="G7:G12" si="1">ROUND($E7/SUM($E$7:$E$12)*100,3)</f>
        <v>11.538</v>
      </c>
    </row>
    <row r="8" spans="1:7" x14ac:dyDescent="0.25">
      <c r="B8" s="2" t="s">
        <v>207</v>
      </c>
      <c r="C8" s="4">
        <f>COUNTIFS(Resp4[Vínculo],"tecnico",Resp4[4.09],B8)</f>
        <v>0</v>
      </c>
      <c r="D8" s="4">
        <f>COUNTIFS(Resp4[Vínculo],"docente",Resp4[4.09],B8)</f>
        <v>5</v>
      </c>
      <c r="E8" s="4">
        <f>COUNTIF(Resp4[4.09],B8)</f>
        <v>5</v>
      </c>
      <c r="F8" s="4">
        <f t="shared" si="0"/>
        <v>8.33</v>
      </c>
      <c r="G8" s="3">
        <f t="shared" si="1"/>
        <v>9.6150000000000002</v>
      </c>
    </row>
    <row r="9" spans="1:7" x14ac:dyDescent="0.25">
      <c r="B9" s="2" t="s">
        <v>204</v>
      </c>
      <c r="C9" s="4">
        <f>COUNTIFS(Resp4[Vínculo],"tecnico",Resp4[4.09],B9)</f>
        <v>0</v>
      </c>
      <c r="D9" s="4">
        <f>COUNTIFS(Resp4[Vínculo],"docente",Resp4[4.09],B9)</f>
        <v>6</v>
      </c>
      <c r="E9" s="4">
        <f>COUNTIF(Resp4[4.09],B9)</f>
        <v>6</v>
      </c>
      <c r="F9" s="4">
        <f t="shared" si="0"/>
        <v>10</v>
      </c>
      <c r="G9" s="3">
        <f t="shared" si="1"/>
        <v>11.538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13</v>
      </c>
      <c r="E10" s="4">
        <f>COUNTIF(Resp4[4.09],B10)</f>
        <v>13</v>
      </c>
      <c r="F10" s="4">
        <f t="shared" si="0"/>
        <v>21.67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COUNTIFS(Resp4[Vínculo],"tecnico",Resp4[4.09],B11)</f>
        <v>0</v>
      </c>
      <c r="D11" s="4">
        <f>COUNTIFS(Resp4[Vínculo],"docente",Resp4[4.09],B11)</f>
        <v>12</v>
      </c>
      <c r="E11" s="4">
        <f>COUNTIF(Resp4[4.09],B11)</f>
        <v>12</v>
      </c>
      <c r="F11" s="4">
        <f t="shared" si="0"/>
        <v>20</v>
      </c>
      <c r="G11" s="3">
        <f t="shared" si="1"/>
        <v>23.077000000000002</v>
      </c>
    </row>
    <row r="12" spans="1:7" x14ac:dyDescent="0.25">
      <c r="B12" s="7" t="s">
        <v>196</v>
      </c>
      <c r="C12" s="4">
        <f>COUNTIFS(Resp4[Vínculo],"tecnico",Resp4[4.09],B12)</f>
        <v>0</v>
      </c>
      <c r="D12" s="4">
        <f>COUNTIFS(Resp4[Vínculo],"docente",Resp4[4.09],B12)</f>
        <v>10</v>
      </c>
      <c r="E12" s="22">
        <f>COUNTIF(Resp4[4.09],B12)</f>
        <v>10</v>
      </c>
      <c r="F12" s="22">
        <f t="shared" si="0"/>
        <v>16.670000000000002</v>
      </c>
      <c r="G12" s="3">
        <f t="shared" si="1"/>
        <v>19.231000000000002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2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11</v>
      </c>
      <c r="E25" s="15">
        <f>ROUND(D25/SUM(D$25:D$28)*100,3)</f>
        <v>21.154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11.538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42.308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COUNTIFS(Resp4[Vínculo],"tecnico",Resp4[4.10],B7)</f>
        <v>0</v>
      </c>
      <c r="D7" s="4">
        <f>COUNTIFS(Resp4[Vínculo],"docente",Resp4[4.10],B7)</f>
        <v>6</v>
      </c>
      <c r="E7" s="4">
        <f>COUNTIF(Resp4[4.10],B7)</f>
        <v>6</v>
      </c>
      <c r="F7" s="4">
        <f t="shared" ref="F7:F13" si="0">ROUND($E7/E$13*100,2)</f>
        <v>10</v>
      </c>
      <c r="G7" s="3">
        <f t="shared" ref="G7:G12" si="1">ROUND($E7/SUM($E$7:$E$12)*100,3)</f>
        <v>11.538</v>
      </c>
    </row>
    <row r="8" spans="1:7" x14ac:dyDescent="0.25">
      <c r="B8" s="2" t="s">
        <v>207</v>
      </c>
      <c r="C8" s="4">
        <f>COUNTIFS(Resp4[Vínculo],"tecnico",Resp4[4.10],B8)</f>
        <v>0</v>
      </c>
      <c r="D8" s="4">
        <f>COUNTIFS(Resp4[Vínculo],"docente",Resp4[4.10],B8)</f>
        <v>4</v>
      </c>
      <c r="E8" s="4">
        <f>COUNTIF(Resp4[4.10],B8)</f>
        <v>4</v>
      </c>
      <c r="F8" s="4">
        <f t="shared" si="0"/>
        <v>6.67</v>
      </c>
      <c r="G8" s="3">
        <f t="shared" si="1"/>
        <v>7.6920000000000002</v>
      </c>
    </row>
    <row r="9" spans="1:7" x14ac:dyDescent="0.25">
      <c r="B9" s="2" t="s">
        <v>204</v>
      </c>
      <c r="C9" s="4">
        <f>COUNTIFS(Resp4[Vínculo],"tecnico",Resp4[4.10],B9)</f>
        <v>0</v>
      </c>
      <c r="D9" s="4">
        <f>COUNTIFS(Resp4[Vínculo],"docente",Resp4[4.10],B9)</f>
        <v>4</v>
      </c>
      <c r="E9" s="4">
        <f>COUNTIF(Resp4[4.10],B9)</f>
        <v>4</v>
      </c>
      <c r="F9" s="4">
        <f t="shared" si="0"/>
        <v>6.67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17</v>
      </c>
      <c r="E10" s="4">
        <f>COUNTIF(Resp4[4.10],B10)</f>
        <v>17</v>
      </c>
      <c r="F10" s="4">
        <f t="shared" si="0"/>
        <v>28.33</v>
      </c>
      <c r="G10" s="3">
        <f t="shared" si="1"/>
        <v>32.692</v>
      </c>
    </row>
    <row r="11" spans="1:7" x14ac:dyDescent="0.25">
      <c r="B11" s="2" t="s">
        <v>195</v>
      </c>
      <c r="C11" s="4">
        <f>COUNTIFS(Resp4[Vínculo],"tecnico",Resp4[4.10],B11)</f>
        <v>0</v>
      </c>
      <c r="D11" s="4">
        <f>COUNTIFS(Resp4[Vínculo],"docente",Resp4[4.10],B11)</f>
        <v>10</v>
      </c>
      <c r="E11" s="4">
        <f>COUNTIF(Resp4[4.10],B11)</f>
        <v>10</v>
      </c>
      <c r="F11" s="4">
        <f t="shared" si="0"/>
        <v>16.670000000000002</v>
      </c>
      <c r="G11" s="3">
        <f t="shared" si="1"/>
        <v>19.231000000000002</v>
      </c>
    </row>
    <row r="12" spans="1:7" x14ac:dyDescent="0.25">
      <c r="B12" s="7" t="s">
        <v>196</v>
      </c>
      <c r="C12" s="4">
        <f>COUNTIFS(Resp4[Vínculo],"tecnico",Resp4[4.10],B12)</f>
        <v>0</v>
      </c>
      <c r="D12" s="4">
        <f>COUNTIFS(Resp4[Vínculo],"docente",Resp4[4.10],B12)</f>
        <v>11</v>
      </c>
      <c r="E12" s="4">
        <f>COUNTIF(Resp4[4.10],B12)</f>
        <v>11</v>
      </c>
      <c r="F12" s="22">
        <f t="shared" si="0"/>
        <v>18.329999999999998</v>
      </c>
      <c r="G12" s="3">
        <f t="shared" si="1"/>
        <v>21.154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15.385</v>
      </c>
    </row>
    <row r="26" spans="2:7" x14ac:dyDescent="0.25">
      <c r="B26" s="16" t="s">
        <v>201</v>
      </c>
      <c r="C26" s="16" t="s">
        <v>23</v>
      </c>
      <c r="D26" s="14">
        <f>D7</f>
        <v>6</v>
      </c>
      <c r="E26" s="15">
        <f>ROUND(D26/SUM(D$25:D$28)*100,3)</f>
        <v>11.538</v>
      </c>
    </row>
    <row r="27" spans="2:7" x14ac:dyDescent="0.25">
      <c r="B27" s="17" t="s">
        <v>30</v>
      </c>
      <c r="C27" s="17" t="s">
        <v>29</v>
      </c>
      <c r="D27" s="14">
        <f>D10</f>
        <v>17</v>
      </c>
      <c r="E27" s="15">
        <f>ROUND(D27/SUM(D$25:D$28)*100,3)</f>
        <v>32.692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40.384999999999998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COUNTIFS(Resp4[Vínculo],"tecnico",Resp4[4.11],B7)</f>
        <v>0</v>
      </c>
      <c r="D7" s="4">
        <f>COUNTIFS(Resp4[Vínculo],"docente",Resp4[4.11],B7)</f>
        <v>10</v>
      </c>
      <c r="E7" s="4">
        <f>COUNTIF(Resp4[4.11],B7)</f>
        <v>10</v>
      </c>
      <c r="F7" s="4">
        <f t="shared" ref="F7:F13" si="0">ROUND($E7/E$13*100,2)</f>
        <v>16.670000000000002</v>
      </c>
      <c r="G7" s="3">
        <f t="shared" ref="G7:G12" si="1">ROUND($E7/SUM($E$7:$E$12)*100,3)</f>
        <v>19.231000000000002</v>
      </c>
    </row>
    <row r="8" spans="1:7" x14ac:dyDescent="0.25">
      <c r="B8" s="2" t="s">
        <v>207</v>
      </c>
      <c r="C8" s="4">
        <f>COUNTIFS(Resp4[Vínculo],"tecnico",Resp4[4.11],B8)</f>
        <v>0</v>
      </c>
      <c r="D8" s="4">
        <f>COUNTIFS(Resp4[Vínculo],"docente",Resp4[4.11],B8)</f>
        <v>3</v>
      </c>
      <c r="E8" s="4">
        <f>COUNTIF(Resp4[4.11],B8)</f>
        <v>3</v>
      </c>
      <c r="F8" s="4">
        <f t="shared" si="0"/>
        <v>5</v>
      </c>
      <c r="G8" s="3">
        <f t="shared" si="1"/>
        <v>5.7690000000000001</v>
      </c>
    </row>
    <row r="9" spans="1:7" x14ac:dyDescent="0.25">
      <c r="B9" s="2" t="s">
        <v>204</v>
      </c>
      <c r="C9" s="4">
        <f>COUNTIFS(Resp4[Vínculo],"tecnico",Resp4[4.11],B9)</f>
        <v>0</v>
      </c>
      <c r="D9" s="4">
        <f>COUNTIFS(Resp4[Vínculo],"docente",Resp4[4.11],B9)</f>
        <v>4</v>
      </c>
      <c r="E9" s="4">
        <f>COUNTIF(Resp4[4.11],B9)</f>
        <v>4</v>
      </c>
      <c r="F9" s="4">
        <f t="shared" si="0"/>
        <v>6.67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16</v>
      </c>
      <c r="E10" s="4">
        <f>COUNTIF(Resp4[4.11],B10)</f>
        <v>16</v>
      </c>
      <c r="F10" s="4">
        <f t="shared" si="0"/>
        <v>26.67</v>
      </c>
      <c r="G10" s="3">
        <f t="shared" si="1"/>
        <v>30.768999999999998</v>
      </c>
    </row>
    <row r="11" spans="1:7" x14ac:dyDescent="0.25">
      <c r="B11" s="2" t="s">
        <v>195</v>
      </c>
      <c r="C11" s="4">
        <f>COUNTIFS(Resp4[Vínculo],"tecnico",Resp4[4.11],B11)</f>
        <v>0</v>
      </c>
      <c r="D11" s="4">
        <f>COUNTIFS(Resp4[Vínculo],"docente",Resp4[4.11],B11)</f>
        <v>14</v>
      </c>
      <c r="E11" s="4">
        <f>COUNTIF(Resp4[4.11],B11)</f>
        <v>14</v>
      </c>
      <c r="F11" s="4">
        <f t="shared" si="0"/>
        <v>23.33</v>
      </c>
      <c r="G11" s="3">
        <f t="shared" si="1"/>
        <v>26.922999999999998</v>
      </c>
    </row>
    <row r="12" spans="1:7" x14ac:dyDescent="0.25">
      <c r="B12" s="7" t="s">
        <v>196</v>
      </c>
      <c r="C12" s="4">
        <f>COUNTIFS(Resp4[Vínculo],"tecnico",Resp4[4.11],B12)</f>
        <v>0</v>
      </c>
      <c r="D12" s="4">
        <f>COUNTIFS(Resp4[Vínculo],"docente",Resp4[4.11],B12)</f>
        <v>5</v>
      </c>
      <c r="E12" s="4">
        <f>COUNTIF(Resp4[4.11],B12)</f>
        <v>5</v>
      </c>
      <c r="F12" s="22">
        <f t="shared" si="0"/>
        <v>8.33</v>
      </c>
      <c r="G12" s="3">
        <f t="shared" si="1"/>
        <v>9.6150000000000002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13.462</v>
      </c>
    </row>
    <row r="26" spans="2:7" x14ac:dyDescent="0.25">
      <c r="B26" s="16" t="s">
        <v>505</v>
      </c>
      <c r="C26" s="16" t="s">
        <v>23</v>
      </c>
      <c r="D26" s="14">
        <f>D7</f>
        <v>10</v>
      </c>
      <c r="E26" s="15">
        <f>ROUND(D26/SUM(D$25:D$28)*100,3)</f>
        <v>19.231000000000002</v>
      </c>
    </row>
    <row r="27" spans="2:7" x14ac:dyDescent="0.25">
      <c r="B27" s="17" t="s">
        <v>30</v>
      </c>
      <c r="C27" s="17" t="s">
        <v>29</v>
      </c>
      <c r="D27" s="14">
        <f>D10</f>
        <v>16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36.537999999999997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COUNTIFS(Resp4[Vínculo],"tecnico",Resp4[4.12],B7)</f>
        <v>0</v>
      </c>
      <c r="D7" s="4">
        <f>COUNTIFS(Resp4[Vínculo],"docente",Resp4[4.12],B7)</f>
        <v>8</v>
      </c>
      <c r="E7" s="4">
        <f>COUNTIF(Resp4[4.12],B7)</f>
        <v>8</v>
      </c>
      <c r="F7" s="4">
        <f t="shared" ref="F7:F13" si="0">ROUND($E7/E$13*100,2)</f>
        <v>13.33</v>
      </c>
      <c r="G7" s="3">
        <f t="shared" ref="G7:G12" si="1">ROUND($E7/SUM($E$7:$E$12)*100,3)</f>
        <v>15.385</v>
      </c>
    </row>
    <row r="8" spans="1:7" x14ac:dyDescent="0.25">
      <c r="B8" s="2" t="s">
        <v>207</v>
      </c>
      <c r="C8" s="4">
        <f>COUNTIFS(Resp4[Vínculo],"tecnico",Resp4[4.12],B8)</f>
        <v>0</v>
      </c>
      <c r="D8" s="4">
        <f>COUNTIFS(Resp4[Vínculo],"docente",Resp4[4.12],B8)</f>
        <v>4</v>
      </c>
      <c r="E8" s="4">
        <f>COUNTIF(Resp4[4.12],B8)</f>
        <v>4</v>
      </c>
      <c r="F8" s="4">
        <f t="shared" si="0"/>
        <v>6.67</v>
      </c>
      <c r="G8" s="3">
        <f t="shared" si="1"/>
        <v>7.6920000000000002</v>
      </c>
    </row>
    <row r="9" spans="1:7" x14ac:dyDescent="0.25">
      <c r="B9" s="2" t="s">
        <v>204</v>
      </c>
      <c r="C9" s="4">
        <f>COUNTIFS(Resp4[Vínculo],"tecnico",Resp4[4.12],B9)</f>
        <v>0</v>
      </c>
      <c r="D9" s="4">
        <f>COUNTIFS(Resp4[Vínculo],"docente",Resp4[4.12],B9)</f>
        <v>7</v>
      </c>
      <c r="E9" s="4">
        <f>COUNTIF(Resp4[4.12],B9)</f>
        <v>7</v>
      </c>
      <c r="F9" s="4">
        <f t="shared" si="0"/>
        <v>11.67</v>
      </c>
      <c r="G9" s="3">
        <f t="shared" si="1"/>
        <v>13.462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15</v>
      </c>
      <c r="E10" s="4">
        <f>COUNTIF(Resp4[4.12],B10)</f>
        <v>15</v>
      </c>
      <c r="F10" s="4">
        <f t="shared" si="0"/>
        <v>25</v>
      </c>
      <c r="G10" s="3">
        <f t="shared" si="1"/>
        <v>28.846</v>
      </c>
    </row>
    <row r="11" spans="1:7" x14ac:dyDescent="0.25">
      <c r="B11" s="2" t="s">
        <v>195</v>
      </c>
      <c r="C11" s="4">
        <f>COUNTIFS(Resp4[Vínculo],"tecnico",Resp4[4.12],B11)</f>
        <v>0</v>
      </c>
      <c r="D11" s="4">
        <f>COUNTIFS(Resp4[Vínculo],"docente",Resp4[4.12],B11)</f>
        <v>12</v>
      </c>
      <c r="E11" s="4">
        <f>COUNTIF(Resp4[4.12],B11)</f>
        <v>12</v>
      </c>
      <c r="F11" s="4">
        <f t="shared" si="0"/>
        <v>20</v>
      </c>
      <c r="G11" s="3">
        <f t="shared" si="1"/>
        <v>23.077000000000002</v>
      </c>
    </row>
    <row r="12" spans="1:7" x14ac:dyDescent="0.25">
      <c r="B12" s="7" t="s">
        <v>196</v>
      </c>
      <c r="C12" s="4">
        <f>COUNTIFS(Resp4[Vínculo],"tecnico",Resp4[4.12],B12)</f>
        <v>0</v>
      </c>
      <c r="D12" s="4">
        <f>COUNTIFS(Resp4[Vínculo],"docente",Resp4[4.12],B12)</f>
        <v>6</v>
      </c>
      <c r="E12" s="4">
        <f>COUNTIF(Resp4[4.12],B12)</f>
        <v>6</v>
      </c>
      <c r="F12" s="22">
        <f t="shared" si="0"/>
        <v>10</v>
      </c>
      <c r="G12" s="3">
        <f t="shared" si="1"/>
        <v>11.538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11</v>
      </c>
      <c r="E25" s="15">
        <f>ROUND(D25/SUM(D$25:D$28)*100,3)</f>
        <v>21.154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28.846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34.615000000000002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COUNTIFS(Resp4[Vínculo],"tecnico",Resp4[4.13],B7)</f>
        <v>0</v>
      </c>
      <c r="D7" s="4">
        <f>COUNTIFS(Resp4[Vínculo],"docente",Resp4[4.13],B7)</f>
        <v>2</v>
      </c>
      <c r="E7" s="4">
        <f>COUNTIF(Resp4[4.13],B7)</f>
        <v>2</v>
      </c>
      <c r="F7" s="4">
        <f t="shared" ref="F7:F13" si="0">ROUND($E7/E$13*100,2)</f>
        <v>3.33</v>
      </c>
      <c r="G7" s="3">
        <f t="shared" ref="G7:G12" si="1">ROUND($E7/SUM($E$7:$E$12)*100,3)</f>
        <v>3.8460000000000001</v>
      </c>
    </row>
    <row r="8" spans="1:7" x14ac:dyDescent="0.25">
      <c r="B8" s="2" t="s">
        <v>207</v>
      </c>
      <c r="C8" s="4">
        <f>COUNTIFS(Resp4[Vínculo],"tecnico",Resp4[4.13],B8)</f>
        <v>0</v>
      </c>
      <c r="D8" s="4">
        <f>COUNTIFS(Resp4[Vínculo],"docente",Resp4[4.13],B8)</f>
        <v>1</v>
      </c>
      <c r="E8" s="4">
        <f>COUNTIF(Resp4[4.13],B8)</f>
        <v>1</v>
      </c>
      <c r="F8" s="4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COUNTIFS(Resp4[Vínculo],"tecnico",Resp4[4.13],B9)</f>
        <v>0</v>
      </c>
      <c r="D9" s="4">
        <f>COUNTIFS(Resp4[Vínculo],"docente",Resp4[4.13],B9)</f>
        <v>2</v>
      </c>
      <c r="E9" s="4">
        <f>COUNTIF(Resp4[4.13],B9)</f>
        <v>2</v>
      </c>
      <c r="F9" s="4">
        <f t="shared" si="0"/>
        <v>3.33</v>
      </c>
      <c r="G9" s="3">
        <f t="shared" si="1"/>
        <v>3.8460000000000001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13</v>
      </c>
      <c r="E10" s="4">
        <f>COUNTIF(Resp4[4.13],B10)</f>
        <v>13</v>
      </c>
      <c r="F10" s="4">
        <f t="shared" si="0"/>
        <v>21.67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COUNTIFS(Resp4[Vínculo],"tecnico",Resp4[4.13],B11)</f>
        <v>0</v>
      </c>
      <c r="D11" s="4">
        <f>COUNTIFS(Resp4[Vínculo],"docente",Resp4[4.13],B11)</f>
        <v>25</v>
      </c>
      <c r="E11" s="4">
        <f>COUNTIF(Resp4[4.13],B11)</f>
        <v>25</v>
      </c>
      <c r="F11" s="4">
        <f t="shared" si="0"/>
        <v>41.67</v>
      </c>
      <c r="G11" s="3">
        <f t="shared" si="1"/>
        <v>48.076999999999998</v>
      </c>
    </row>
    <row r="12" spans="1:7" x14ac:dyDescent="0.25">
      <c r="B12" s="7" t="s">
        <v>196</v>
      </c>
      <c r="C12" s="4">
        <f>COUNTIFS(Resp4[Vínculo],"tecnico",Resp4[4.13],B12)</f>
        <v>0</v>
      </c>
      <c r="D12" s="4">
        <f>COUNTIFS(Resp4[Vínculo],"docente",Resp4[4.13],B12)</f>
        <v>9</v>
      </c>
      <c r="E12" s="4">
        <f>COUNTIF(Resp4[4.13],B12)</f>
        <v>9</v>
      </c>
      <c r="F12" s="22">
        <f t="shared" si="0"/>
        <v>15</v>
      </c>
      <c r="G12" s="3">
        <f t="shared" si="1"/>
        <v>17.308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5.7690000000000001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3.8460000000000001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34</v>
      </c>
      <c r="E28" s="19">
        <f>ROUND(D28/SUM(D$25:D$28)*100,3)</f>
        <v>65.385000000000005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H1368"/>
  <sheetViews>
    <sheetView tabSelected="1" zoomScale="80" zoomScaleNormal="80" workbookViewId="0">
      <selection activeCell="A3" sqref="A3:A130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17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30</v>
      </c>
      <c r="K2" s="99" t="s">
        <v>30</v>
      </c>
      <c r="L2" s="99" t="s">
        <v>30</v>
      </c>
      <c r="M2" s="99" t="s">
        <v>195</v>
      </c>
      <c r="N2" s="99" t="s">
        <v>30</v>
      </c>
      <c r="O2" s="99" t="s">
        <v>195</v>
      </c>
      <c r="P2" s="99" t="s">
        <v>196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197</v>
      </c>
      <c r="AA2" s="99" t="s">
        <v>195</v>
      </c>
      <c r="AB2" s="99" t="s">
        <v>30</v>
      </c>
      <c r="AC2" s="99" t="s">
        <v>30</v>
      </c>
      <c r="AD2" s="99" t="s">
        <v>30</v>
      </c>
      <c r="AE2" s="99" t="s">
        <v>198</v>
      </c>
      <c r="AF2" s="99" t="s">
        <v>198</v>
      </c>
      <c r="AG2" s="99" t="s">
        <v>198</v>
      </c>
      <c r="AH2" s="99" t="s">
        <v>198</v>
      </c>
      <c r="AI2" s="99" t="s">
        <v>194</v>
      </c>
      <c r="AJ2" s="99" t="s">
        <v>195</v>
      </c>
      <c r="AK2" s="99" t="s">
        <v>30</v>
      </c>
      <c r="AL2" s="99" t="s">
        <v>30</v>
      </c>
      <c r="AM2" s="99"/>
      <c r="AN2" s="99" t="s">
        <v>199</v>
      </c>
      <c r="AO2" s="99" t="s">
        <v>198</v>
      </c>
      <c r="AP2" s="99" t="s">
        <v>198</v>
      </c>
      <c r="AQ2" s="99" t="s">
        <v>198</v>
      </c>
      <c r="AR2" s="99" t="s">
        <v>198</v>
      </c>
      <c r="AS2" s="99" t="s">
        <v>198</v>
      </c>
      <c r="AT2" s="99" t="s">
        <v>198</v>
      </c>
      <c r="AU2" s="99" t="s">
        <v>198</v>
      </c>
      <c r="AV2" s="99" t="s">
        <v>198</v>
      </c>
      <c r="AW2" s="99" t="s">
        <v>198</v>
      </c>
      <c r="AX2" s="99" t="s">
        <v>198</v>
      </c>
      <c r="AY2" s="99"/>
      <c r="AZ2" s="99" t="s">
        <v>199</v>
      </c>
      <c r="BA2" s="99" t="s">
        <v>199</v>
      </c>
      <c r="BB2" s="99" t="s">
        <v>198</v>
      </c>
      <c r="BC2" s="99" t="s">
        <v>198</v>
      </c>
      <c r="BD2" s="99" t="s">
        <v>198</v>
      </c>
      <c r="BE2" s="99" t="s">
        <v>198</v>
      </c>
      <c r="BF2" s="99" t="s">
        <v>198</v>
      </c>
      <c r="BG2" s="99" t="s">
        <v>198</v>
      </c>
      <c r="BH2" s="99" t="s">
        <v>198</v>
      </c>
      <c r="BI2" s="99" t="s">
        <v>198</v>
      </c>
      <c r="BJ2" s="99" t="s">
        <v>198</v>
      </c>
      <c r="BK2" s="99" t="s">
        <v>198</v>
      </c>
      <c r="BL2" s="99" t="s">
        <v>198</v>
      </c>
      <c r="BM2" s="99" t="s">
        <v>198</v>
      </c>
      <c r="BN2" s="99" t="s">
        <v>198</v>
      </c>
      <c r="BO2" s="99" t="s">
        <v>198</v>
      </c>
      <c r="BP2" s="99" t="s">
        <v>198</v>
      </c>
      <c r="BQ2" s="99" t="s">
        <v>198</v>
      </c>
      <c r="BR2" s="99" t="s">
        <v>198</v>
      </c>
      <c r="BS2" s="99" t="s">
        <v>198</v>
      </c>
      <c r="BT2" s="99"/>
      <c r="BU2" s="99" t="s">
        <v>195</v>
      </c>
      <c r="BV2" s="99" t="s">
        <v>30</v>
      </c>
      <c r="BW2" s="99" t="s">
        <v>30</v>
      </c>
      <c r="BX2" s="99" t="s">
        <v>30</v>
      </c>
      <c r="BY2" s="99" t="s">
        <v>30</v>
      </c>
      <c r="BZ2" s="99" t="s">
        <v>30</v>
      </c>
      <c r="CA2" s="99" t="s">
        <v>30</v>
      </c>
      <c r="CB2" s="99"/>
      <c r="CC2" s="99" t="s">
        <v>200</v>
      </c>
      <c r="CD2" s="99"/>
      <c r="CE2" s="99" t="s">
        <v>194</v>
      </c>
      <c r="CF2" s="99"/>
      <c r="CG2" s="99"/>
      <c r="CH2" s="99"/>
      <c r="CI2" s="99" t="s">
        <v>194</v>
      </c>
      <c r="CJ2" s="99" t="s">
        <v>30</v>
      </c>
      <c r="CK2" s="99" t="s">
        <v>30</v>
      </c>
      <c r="CL2" s="99" t="s">
        <v>30</v>
      </c>
      <c r="CM2" s="99" t="s">
        <v>30</v>
      </c>
      <c r="CN2" s="99" t="s">
        <v>30</v>
      </c>
      <c r="CO2" s="99" t="s">
        <v>30</v>
      </c>
      <c r="CP2" s="99" t="s">
        <v>195</v>
      </c>
      <c r="CQ2" s="99" t="s">
        <v>30</v>
      </c>
      <c r="CR2" s="99" t="s">
        <v>30</v>
      </c>
      <c r="CS2" s="99" t="s">
        <v>30</v>
      </c>
      <c r="CT2" s="99" t="s">
        <v>195</v>
      </c>
      <c r="CU2" s="99" t="s">
        <v>195</v>
      </c>
      <c r="CV2" s="99" t="s">
        <v>30</v>
      </c>
      <c r="CW2" s="99" t="s">
        <v>30</v>
      </c>
      <c r="CX2" s="99" t="s">
        <v>30</v>
      </c>
      <c r="CY2" s="99" t="s">
        <v>30</v>
      </c>
      <c r="CZ2" s="99" t="s">
        <v>196</v>
      </c>
      <c r="DA2" s="99" t="s">
        <v>196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201</v>
      </c>
      <c r="DH2" s="99" t="s">
        <v>201</v>
      </c>
      <c r="DI2" s="99" t="s">
        <v>201</v>
      </c>
      <c r="DJ2" s="99" t="s">
        <v>201</v>
      </c>
      <c r="DK2" s="99"/>
      <c r="DL2" s="99" t="s">
        <v>199</v>
      </c>
      <c r="DM2" s="99" t="s">
        <v>198</v>
      </c>
      <c r="DN2" s="99" t="s">
        <v>198</v>
      </c>
      <c r="DO2" s="99" t="s">
        <v>198</v>
      </c>
      <c r="DP2" s="99" t="s">
        <v>198</v>
      </c>
      <c r="DQ2" s="99" t="s">
        <v>198</v>
      </c>
      <c r="DR2" s="99" t="s">
        <v>198</v>
      </c>
      <c r="DS2" s="99" t="s">
        <v>198</v>
      </c>
      <c r="DT2" s="99" t="s">
        <v>198</v>
      </c>
      <c r="DU2" s="99" t="s">
        <v>198</v>
      </c>
      <c r="DV2" s="99" t="s">
        <v>198</v>
      </c>
      <c r="DW2" s="99" t="s">
        <v>198</v>
      </c>
      <c r="DX2" s="99" t="s">
        <v>198</v>
      </c>
      <c r="DY2" s="99" t="s">
        <v>198</v>
      </c>
      <c r="DZ2" s="99" t="s">
        <v>198</v>
      </c>
      <c r="EA2" s="99"/>
      <c r="EB2" s="99" t="s">
        <v>199</v>
      </c>
      <c r="EC2" s="99" t="s">
        <v>198</v>
      </c>
      <c r="ED2" s="99" t="s">
        <v>198</v>
      </c>
      <c r="EE2" s="99" t="s">
        <v>198</v>
      </c>
      <c r="EF2" s="99" t="s">
        <v>198</v>
      </c>
      <c r="EG2" s="99" t="s">
        <v>198</v>
      </c>
      <c r="EH2" s="100" t="s">
        <v>198</v>
      </c>
    </row>
    <row r="3" spans="1:138" ht="23.25" customHeight="1" x14ac:dyDescent="0.25">
      <c r="A3" s="98" t="s">
        <v>17</v>
      </c>
      <c r="B3" s="99" t="s">
        <v>193</v>
      </c>
      <c r="C3" s="99" t="s">
        <v>194</v>
      </c>
      <c r="D3" s="99" t="s">
        <v>30</v>
      </c>
      <c r="E3" s="99" t="s">
        <v>195</v>
      </c>
      <c r="F3" s="99" t="s">
        <v>196</v>
      </c>
      <c r="G3" s="99" t="s">
        <v>195</v>
      </c>
      <c r="H3" s="99" t="s">
        <v>195</v>
      </c>
      <c r="I3" s="99" t="s">
        <v>30</v>
      </c>
      <c r="J3" s="99" t="s">
        <v>196</v>
      </c>
      <c r="K3" s="99" t="s">
        <v>195</v>
      </c>
      <c r="L3" s="99" t="s">
        <v>195</v>
      </c>
      <c r="M3" s="99" t="s">
        <v>195</v>
      </c>
      <c r="N3" s="99" t="s">
        <v>30</v>
      </c>
      <c r="O3" s="99" t="s">
        <v>195</v>
      </c>
      <c r="P3" s="99" t="s">
        <v>196</v>
      </c>
      <c r="Q3" s="99" t="s">
        <v>30</v>
      </c>
      <c r="R3" s="99" t="s">
        <v>195</v>
      </c>
      <c r="S3" s="99" t="s">
        <v>196</v>
      </c>
      <c r="T3" s="99"/>
      <c r="U3" s="99" t="s">
        <v>194</v>
      </c>
      <c r="V3" s="99" t="s">
        <v>195</v>
      </c>
      <c r="W3" s="99" t="s">
        <v>195</v>
      </c>
      <c r="X3" s="99" t="s">
        <v>195</v>
      </c>
      <c r="Y3" s="99" t="s">
        <v>195</v>
      </c>
      <c r="Z3" s="99" t="s">
        <v>197</v>
      </c>
      <c r="AA3" s="99" t="s">
        <v>195</v>
      </c>
      <c r="AB3" s="99" t="s">
        <v>195</v>
      </c>
      <c r="AC3" s="99" t="s">
        <v>30</v>
      </c>
      <c r="AD3" s="99" t="s">
        <v>30</v>
      </c>
      <c r="AE3" s="99" t="s">
        <v>198</v>
      </c>
      <c r="AF3" s="99" t="s">
        <v>198</v>
      </c>
      <c r="AG3" s="99" t="s">
        <v>198</v>
      </c>
      <c r="AH3" s="99" t="s">
        <v>198</v>
      </c>
      <c r="AI3" s="99" t="s">
        <v>194</v>
      </c>
      <c r="AJ3" s="99" t="s">
        <v>196</v>
      </c>
      <c r="AK3" s="99" t="s">
        <v>30</v>
      </c>
      <c r="AL3" s="99" t="s">
        <v>30</v>
      </c>
      <c r="AM3" s="99"/>
      <c r="AN3" s="99" t="s">
        <v>199</v>
      </c>
      <c r="AO3" s="99" t="s">
        <v>198</v>
      </c>
      <c r="AP3" s="99" t="s">
        <v>198</v>
      </c>
      <c r="AQ3" s="99" t="s">
        <v>198</v>
      </c>
      <c r="AR3" s="99" t="s">
        <v>198</v>
      </c>
      <c r="AS3" s="99" t="s">
        <v>198</v>
      </c>
      <c r="AT3" s="99" t="s">
        <v>198</v>
      </c>
      <c r="AU3" s="99" t="s">
        <v>198</v>
      </c>
      <c r="AV3" s="99" t="s">
        <v>198</v>
      </c>
      <c r="AW3" s="99" t="s">
        <v>198</v>
      </c>
      <c r="AX3" s="99" t="s">
        <v>198</v>
      </c>
      <c r="AY3" s="99"/>
      <c r="AZ3" s="99" t="s">
        <v>194</v>
      </c>
      <c r="BA3" s="99" t="s">
        <v>194</v>
      </c>
      <c r="BB3" s="99" t="s">
        <v>195</v>
      </c>
      <c r="BC3" s="99" t="s">
        <v>196</v>
      </c>
      <c r="BD3" s="99" t="s">
        <v>195</v>
      </c>
      <c r="BE3" s="99" t="s">
        <v>196</v>
      </c>
      <c r="BF3" s="99" t="s">
        <v>195</v>
      </c>
      <c r="BG3" s="99" t="s">
        <v>195</v>
      </c>
      <c r="BH3" s="99" t="s">
        <v>196</v>
      </c>
      <c r="BI3" s="99" t="s">
        <v>196</v>
      </c>
      <c r="BJ3" s="99" t="s">
        <v>196</v>
      </c>
      <c r="BK3" s="99" t="s">
        <v>196</v>
      </c>
      <c r="BL3" s="99" t="s">
        <v>196</v>
      </c>
      <c r="BM3" s="99" t="s">
        <v>196</v>
      </c>
      <c r="BN3" s="99" t="s">
        <v>196</v>
      </c>
      <c r="BO3" s="99" t="s">
        <v>196</v>
      </c>
      <c r="BP3" s="99" t="s">
        <v>196</v>
      </c>
      <c r="BQ3" s="99" t="s">
        <v>196</v>
      </c>
      <c r="BR3" s="99" t="s">
        <v>196</v>
      </c>
      <c r="BS3" s="99" t="s">
        <v>195</v>
      </c>
      <c r="BT3" s="99"/>
      <c r="BU3" s="99" t="s">
        <v>198</v>
      </c>
      <c r="BV3" s="99" t="s">
        <v>195</v>
      </c>
      <c r="BW3" s="99" t="s">
        <v>198</v>
      </c>
      <c r="BX3" s="99" t="s">
        <v>198</v>
      </c>
      <c r="BY3" s="99" t="s">
        <v>198</v>
      </c>
      <c r="BZ3" s="99" t="s">
        <v>198</v>
      </c>
      <c r="CA3" s="99" t="s">
        <v>196</v>
      </c>
      <c r="CB3" s="99"/>
      <c r="CC3" s="99" t="s">
        <v>200</v>
      </c>
      <c r="CD3" s="99"/>
      <c r="CE3" s="99" t="s">
        <v>194</v>
      </c>
      <c r="CF3" s="99"/>
      <c r="CG3" s="99"/>
      <c r="CH3" s="99"/>
      <c r="CI3" s="99" t="s">
        <v>199</v>
      </c>
      <c r="CJ3" s="99" t="s">
        <v>198</v>
      </c>
      <c r="CK3" s="99" t="s">
        <v>198</v>
      </c>
      <c r="CL3" s="99" t="s">
        <v>198</v>
      </c>
      <c r="CM3" s="99" t="s">
        <v>198</v>
      </c>
      <c r="CN3" s="99" t="s">
        <v>198</v>
      </c>
      <c r="CO3" s="99" t="s">
        <v>198</v>
      </c>
      <c r="CP3" s="99" t="s">
        <v>198</v>
      </c>
      <c r="CQ3" s="99" t="s">
        <v>198</v>
      </c>
      <c r="CR3" s="99" t="s">
        <v>198</v>
      </c>
      <c r="CS3" s="99" t="s">
        <v>198</v>
      </c>
      <c r="CT3" s="99" t="s">
        <v>198</v>
      </c>
      <c r="CU3" s="99" t="s">
        <v>198</v>
      </c>
      <c r="CV3" s="99" t="s">
        <v>198</v>
      </c>
      <c r="CW3" s="99" t="s">
        <v>198</v>
      </c>
      <c r="CX3" s="99" t="s">
        <v>198</v>
      </c>
      <c r="CY3" s="99" t="s">
        <v>198</v>
      </c>
      <c r="CZ3" s="99" t="s">
        <v>198</v>
      </c>
      <c r="DA3" s="99" t="s">
        <v>198</v>
      </c>
      <c r="DB3" s="99" t="s">
        <v>198</v>
      </c>
      <c r="DC3" s="99" t="s">
        <v>198</v>
      </c>
      <c r="DD3" s="99" t="s">
        <v>198</v>
      </c>
      <c r="DE3" s="99" t="s">
        <v>198</v>
      </c>
      <c r="DF3" s="99" t="s">
        <v>198</v>
      </c>
      <c r="DG3" s="99" t="s">
        <v>198</v>
      </c>
      <c r="DH3" s="99" t="s">
        <v>198</v>
      </c>
      <c r="DI3" s="99" t="s">
        <v>198</v>
      </c>
      <c r="DJ3" s="99" t="s">
        <v>198</v>
      </c>
      <c r="DK3" s="99"/>
      <c r="DL3" s="99" t="s">
        <v>194</v>
      </c>
      <c r="DM3" s="99" t="s">
        <v>196</v>
      </c>
      <c r="DN3" s="99" t="s">
        <v>196</v>
      </c>
      <c r="DO3" s="99" t="s">
        <v>196</v>
      </c>
      <c r="DP3" s="99" t="s">
        <v>196</v>
      </c>
      <c r="DQ3" s="99" t="s">
        <v>196</v>
      </c>
      <c r="DR3" s="99" t="s">
        <v>196</v>
      </c>
      <c r="DS3" s="99" t="s">
        <v>196</v>
      </c>
      <c r="DT3" s="99" t="s">
        <v>196</v>
      </c>
      <c r="DU3" s="99" t="s">
        <v>196</v>
      </c>
      <c r="DV3" s="99" t="s">
        <v>196</v>
      </c>
      <c r="DW3" s="99" t="s">
        <v>195</v>
      </c>
      <c r="DX3" s="99" t="s">
        <v>196</v>
      </c>
      <c r="DY3" s="99" t="s">
        <v>196</v>
      </c>
      <c r="DZ3" s="99" t="s">
        <v>196</v>
      </c>
      <c r="EA3" s="99"/>
      <c r="EB3" s="99" t="s">
        <v>199</v>
      </c>
      <c r="EC3" s="99" t="s">
        <v>198</v>
      </c>
      <c r="ED3" s="99" t="s">
        <v>198</v>
      </c>
      <c r="EE3" s="99" t="s">
        <v>198</v>
      </c>
      <c r="EF3" s="99" t="s">
        <v>198</v>
      </c>
      <c r="EG3" s="99" t="s">
        <v>198</v>
      </c>
      <c r="EH3" s="100" t="s">
        <v>198</v>
      </c>
    </row>
    <row r="4" spans="1:138" ht="23.25" customHeight="1" x14ac:dyDescent="0.25">
      <c r="A4" s="101" t="s">
        <v>17</v>
      </c>
      <c r="B4" s="90" t="s">
        <v>193</v>
      </c>
      <c r="C4" s="90" t="s">
        <v>194</v>
      </c>
      <c r="D4" s="90" t="s">
        <v>195</v>
      </c>
      <c r="E4" s="90" t="s">
        <v>195</v>
      </c>
      <c r="F4" s="90" t="s">
        <v>196</v>
      </c>
      <c r="G4" s="90" t="s">
        <v>195</v>
      </c>
      <c r="H4" s="90" t="s">
        <v>201</v>
      </c>
      <c r="I4" s="90" t="s">
        <v>196</v>
      </c>
      <c r="J4" s="90" t="s">
        <v>204</v>
      </c>
      <c r="K4" s="90" t="s">
        <v>195</v>
      </c>
      <c r="L4" s="90" t="s">
        <v>195</v>
      </c>
      <c r="M4" s="90" t="s">
        <v>195</v>
      </c>
      <c r="N4" s="90" t="s">
        <v>201</v>
      </c>
      <c r="O4" s="90" t="s">
        <v>196</v>
      </c>
      <c r="P4" s="90" t="s">
        <v>195</v>
      </c>
      <c r="Q4" s="90" t="s">
        <v>195</v>
      </c>
      <c r="R4" s="90" t="s">
        <v>201</v>
      </c>
      <c r="S4" s="90" t="s">
        <v>195</v>
      </c>
      <c r="T4" s="90"/>
      <c r="U4" s="90" t="s">
        <v>194</v>
      </c>
      <c r="V4" s="90" t="s">
        <v>195</v>
      </c>
      <c r="W4" s="90" t="s">
        <v>196</v>
      </c>
      <c r="X4" s="90" t="s">
        <v>196</v>
      </c>
      <c r="Y4" s="90" t="s">
        <v>195</v>
      </c>
      <c r="Z4" s="90" t="s">
        <v>197</v>
      </c>
      <c r="AA4" s="90" t="s">
        <v>195</v>
      </c>
      <c r="AB4" s="90" t="s">
        <v>201</v>
      </c>
      <c r="AC4" s="90" t="s">
        <v>30</v>
      </c>
      <c r="AD4" s="90" t="s">
        <v>201</v>
      </c>
      <c r="AE4" s="90" t="s">
        <v>198</v>
      </c>
      <c r="AF4" s="90" t="s">
        <v>198</v>
      </c>
      <c r="AG4" s="90" t="s">
        <v>198</v>
      </c>
      <c r="AH4" s="90" t="s">
        <v>198</v>
      </c>
      <c r="AI4" s="90" t="s">
        <v>194</v>
      </c>
      <c r="AJ4" s="90" t="s">
        <v>196</v>
      </c>
      <c r="AK4" s="90" t="s">
        <v>196</v>
      </c>
      <c r="AL4" s="90" t="s">
        <v>195</v>
      </c>
      <c r="AM4" s="90"/>
      <c r="AN4" s="90" t="s">
        <v>194</v>
      </c>
      <c r="AO4" s="90" t="s">
        <v>195</v>
      </c>
      <c r="AP4" s="90" t="s">
        <v>196</v>
      </c>
      <c r="AQ4" s="90" t="s">
        <v>196</v>
      </c>
      <c r="AR4" s="90" t="s">
        <v>196</v>
      </c>
      <c r="AS4" s="90" t="s">
        <v>195</v>
      </c>
      <c r="AT4" s="90" t="s">
        <v>196</v>
      </c>
      <c r="AU4" s="90" t="s">
        <v>196</v>
      </c>
      <c r="AV4" s="90" t="s">
        <v>196</v>
      </c>
      <c r="AW4" s="90" t="s">
        <v>196</v>
      </c>
      <c r="AX4" s="90" t="s">
        <v>196</v>
      </c>
      <c r="AY4" s="90"/>
      <c r="AZ4" s="90" t="s">
        <v>194</v>
      </c>
      <c r="BA4" s="90" t="s">
        <v>194</v>
      </c>
      <c r="BB4" s="90" t="s">
        <v>195</v>
      </c>
      <c r="BC4" s="90" t="s">
        <v>196</v>
      </c>
      <c r="BD4" s="90" t="s">
        <v>196</v>
      </c>
      <c r="BE4" s="90" t="s">
        <v>196</v>
      </c>
      <c r="BF4" s="90" t="s">
        <v>196</v>
      </c>
      <c r="BG4" s="90" t="s">
        <v>196</v>
      </c>
      <c r="BH4" s="90" t="s">
        <v>196</v>
      </c>
      <c r="BI4" s="90" t="s">
        <v>196</v>
      </c>
      <c r="BJ4" s="90" t="s">
        <v>196</v>
      </c>
      <c r="BK4" s="90" t="s">
        <v>196</v>
      </c>
      <c r="BL4" s="90" t="s">
        <v>196</v>
      </c>
      <c r="BM4" s="90" t="s">
        <v>196</v>
      </c>
      <c r="BN4" s="90" t="s">
        <v>196</v>
      </c>
      <c r="BO4" s="90" t="s">
        <v>195</v>
      </c>
      <c r="BP4" s="90" t="s">
        <v>196</v>
      </c>
      <c r="BQ4" s="90" t="s">
        <v>195</v>
      </c>
      <c r="BR4" s="90" t="s">
        <v>196</v>
      </c>
      <c r="BS4" s="90" t="s">
        <v>195</v>
      </c>
      <c r="BT4" s="90"/>
      <c r="BU4" s="90" t="s">
        <v>198</v>
      </c>
      <c r="BV4" s="90" t="s">
        <v>198</v>
      </c>
      <c r="BW4" s="90" t="s">
        <v>198</v>
      </c>
      <c r="BX4" s="90" t="s">
        <v>198</v>
      </c>
      <c r="BY4" s="90" t="s">
        <v>198</v>
      </c>
      <c r="BZ4" s="90" t="s">
        <v>198</v>
      </c>
      <c r="CA4" s="90" t="s">
        <v>196</v>
      </c>
      <c r="CB4" s="90"/>
      <c r="CC4" s="90" t="s">
        <v>205</v>
      </c>
      <c r="CD4" s="90"/>
      <c r="CE4" s="90" t="s">
        <v>199</v>
      </c>
      <c r="CF4" s="90"/>
      <c r="CG4" s="90"/>
      <c r="CH4" s="90"/>
      <c r="CI4" s="90" t="s">
        <v>194</v>
      </c>
      <c r="CJ4" s="90" t="s">
        <v>196</v>
      </c>
      <c r="CK4" s="90" t="s">
        <v>196</v>
      </c>
      <c r="CL4" s="90" t="s">
        <v>196</v>
      </c>
      <c r="CM4" s="90" t="s">
        <v>201</v>
      </c>
      <c r="CN4" s="90" t="s">
        <v>201</v>
      </c>
      <c r="CO4" s="90" t="s">
        <v>196</v>
      </c>
      <c r="CP4" s="90" t="s">
        <v>196</v>
      </c>
      <c r="CQ4" s="90" t="s">
        <v>196</v>
      </c>
      <c r="CR4" s="90" t="s">
        <v>195</v>
      </c>
      <c r="CS4" s="90" t="s">
        <v>195</v>
      </c>
      <c r="CT4" s="90" t="s">
        <v>196</v>
      </c>
      <c r="CU4" s="90" t="s">
        <v>196</v>
      </c>
      <c r="CV4" s="90" t="s">
        <v>195</v>
      </c>
      <c r="CW4" s="90" t="s">
        <v>196</v>
      </c>
      <c r="CX4" s="90" t="s">
        <v>201</v>
      </c>
      <c r="CY4" s="90" t="s">
        <v>195</v>
      </c>
      <c r="CZ4" s="90" t="s">
        <v>196</v>
      </c>
      <c r="DA4" s="90" t="s">
        <v>196</v>
      </c>
      <c r="DB4" s="90" t="s">
        <v>201</v>
      </c>
      <c r="DC4" s="90" t="s">
        <v>201</v>
      </c>
      <c r="DD4" s="90" t="s">
        <v>201</v>
      </c>
      <c r="DE4" s="90" t="s">
        <v>201</v>
      </c>
      <c r="DF4" s="90" t="s">
        <v>201</v>
      </c>
      <c r="DG4" s="90" t="s">
        <v>201</v>
      </c>
      <c r="DH4" s="90" t="s">
        <v>201</v>
      </c>
      <c r="DI4" s="90" t="s">
        <v>201</v>
      </c>
      <c r="DJ4" s="90" t="s">
        <v>201</v>
      </c>
      <c r="DK4" s="90"/>
      <c r="DL4" s="90" t="s">
        <v>199</v>
      </c>
      <c r="DM4" s="90" t="s">
        <v>198</v>
      </c>
      <c r="DN4" s="90" t="s">
        <v>198</v>
      </c>
      <c r="DO4" s="90" t="s">
        <v>198</v>
      </c>
      <c r="DP4" s="90" t="s">
        <v>198</v>
      </c>
      <c r="DQ4" s="90" t="s">
        <v>198</v>
      </c>
      <c r="DR4" s="90" t="s">
        <v>198</v>
      </c>
      <c r="DS4" s="90" t="s">
        <v>198</v>
      </c>
      <c r="DT4" s="90" t="s">
        <v>198</v>
      </c>
      <c r="DU4" s="90" t="s">
        <v>198</v>
      </c>
      <c r="DV4" s="90" t="s">
        <v>198</v>
      </c>
      <c r="DW4" s="90" t="s">
        <v>198</v>
      </c>
      <c r="DX4" s="90" t="s">
        <v>198</v>
      </c>
      <c r="DY4" s="90" t="s">
        <v>198</v>
      </c>
      <c r="DZ4" s="90" t="s">
        <v>198</v>
      </c>
      <c r="EA4" s="90"/>
      <c r="EB4" s="90" t="s">
        <v>199</v>
      </c>
      <c r="EC4" s="90" t="s">
        <v>198</v>
      </c>
      <c r="ED4" s="90" t="s">
        <v>198</v>
      </c>
      <c r="EE4" s="90" t="s">
        <v>198</v>
      </c>
      <c r="EF4" s="90" t="s">
        <v>198</v>
      </c>
      <c r="EG4" s="90" t="s">
        <v>198</v>
      </c>
      <c r="EH4" s="102" t="s">
        <v>198</v>
      </c>
    </row>
    <row r="5" spans="1:138" ht="23.25" customHeight="1" x14ac:dyDescent="0.25">
      <c r="A5" s="98" t="s">
        <v>17</v>
      </c>
      <c r="B5" s="99" t="s">
        <v>193</v>
      </c>
      <c r="C5" s="99" t="s">
        <v>194</v>
      </c>
      <c r="D5" s="99" t="s">
        <v>195</v>
      </c>
      <c r="E5" s="99" t="s">
        <v>195</v>
      </c>
      <c r="F5" s="99" t="s">
        <v>195</v>
      </c>
      <c r="G5" s="99" t="s">
        <v>195</v>
      </c>
      <c r="H5" s="99" t="s">
        <v>196</v>
      </c>
      <c r="I5" s="99" t="s">
        <v>30</v>
      </c>
      <c r="J5" s="99" t="s">
        <v>195</v>
      </c>
      <c r="K5" s="99" t="s">
        <v>30</v>
      </c>
      <c r="L5" s="99" t="s">
        <v>195</v>
      </c>
      <c r="M5" s="99" t="s">
        <v>30</v>
      </c>
      <c r="N5" s="99" t="s">
        <v>195</v>
      </c>
      <c r="O5" s="99" t="s">
        <v>195</v>
      </c>
      <c r="P5" s="99" t="s">
        <v>196</v>
      </c>
      <c r="Q5" s="99" t="s">
        <v>30</v>
      </c>
      <c r="R5" s="99" t="s">
        <v>195</v>
      </c>
      <c r="S5" s="99" t="s">
        <v>195</v>
      </c>
      <c r="T5" s="99"/>
      <c r="U5" s="99" t="s">
        <v>199</v>
      </c>
      <c r="V5" s="99" t="s">
        <v>198</v>
      </c>
      <c r="W5" s="99" t="s">
        <v>198</v>
      </c>
      <c r="X5" s="99" t="s">
        <v>198</v>
      </c>
      <c r="Y5" s="99" t="s">
        <v>198</v>
      </c>
      <c r="Z5" s="99" t="s">
        <v>197</v>
      </c>
      <c r="AA5" s="99" t="s">
        <v>198</v>
      </c>
      <c r="AB5" s="99" t="s">
        <v>198</v>
      </c>
      <c r="AC5" s="99" t="s">
        <v>198</v>
      </c>
      <c r="AD5" s="99" t="s">
        <v>198</v>
      </c>
      <c r="AE5" s="99" t="s">
        <v>198</v>
      </c>
      <c r="AF5" s="99" t="s">
        <v>198</v>
      </c>
      <c r="AG5" s="99" t="s">
        <v>198</v>
      </c>
      <c r="AH5" s="99" t="s">
        <v>198</v>
      </c>
      <c r="AI5" s="99" t="s">
        <v>199</v>
      </c>
      <c r="AJ5" s="99" t="s">
        <v>198</v>
      </c>
      <c r="AK5" s="99" t="s">
        <v>198</v>
      </c>
      <c r="AL5" s="99" t="s">
        <v>198</v>
      </c>
      <c r="AM5" s="99"/>
      <c r="AN5" s="99" t="s">
        <v>199</v>
      </c>
      <c r="AO5" s="99" t="s">
        <v>198</v>
      </c>
      <c r="AP5" s="99" t="s">
        <v>198</v>
      </c>
      <c r="AQ5" s="99" t="s">
        <v>198</v>
      </c>
      <c r="AR5" s="99" t="s">
        <v>198</v>
      </c>
      <c r="AS5" s="99" t="s">
        <v>198</v>
      </c>
      <c r="AT5" s="99" t="s">
        <v>198</v>
      </c>
      <c r="AU5" s="99" t="s">
        <v>198</v>
      </c>
      <c r="AV5" s="99" t="s">
        <v>198</v>
      </c>
      <c r="AW5" s="99" t="s">
        <v>198</v>
      </c>
      <c r="AX5" s="99" t="s">
        <v>198</v>
      </c>
      <c r="AY5" s="99"/>
      <c r="AZ5" s="99" t="s">
        <v>194</v>
      </c>
      <c r="BA5" s="99" t="s">
        <v>194</v>
      </c>
      <c r="BB5" s="99" t="s">
        <v>30</v>
      </c>
      <c r="BC5" s="99" t="s">
        <v>195</v>
      </c>
      <c r="BD5" s="99" t="s">
        <v>195</v>
      </c>
      <c r="BE5" s="99" t="s">
        <v>195</v>
      </c>
      <c r="BF5" s="99" t="s">
        <v>195</v>
      </c>
      <c r="BG5" s="99" t="s">
        <v>195</v>
      </c>
      <c r="BH5" s="99" t="s">
        <v>195</v>
      </c>
      <c r="BI5" s="99" t="s">
        <v>195</v>
      </c>
      <c r="BJ5" s="99" t="s">
        <v>195</v>
      </c>
      <c r="BK5" s="99" t="s">
        <v>201</v>
      </c>
      <c r="BL5" s="99" t="s">
        <v>195</v>
      </c>
      <c r="BM5" s="99" t="s">
        <v>195</v>
      </c>
      <c r="BN5" s="99" t="s">
        <v>195</v>
      </c>
      <c r="BO5" s="99" t="s">
        <v>195</v>
      </c>
      <c r="BP5" s="99" t="s">
        <v>195</v>
      </c>
      <c r="BQ5" s="99" t="s">
        <v>195</v>
      </c>
      <c r="BR5" s="99" t="s">
        <v>195</v>
      </c>
      <c r="BS5" s="99" t="s">
        <v>30</v>
      </c>
      <c r="BT5" s="99"/>
      <c r="BU5" s="99" t="s">
        <v>202</v>
      </c>
      <c r="BV5" s="99" t="s">
        <v>202</v>
      </c>
      <c r="BW5" s="99" t="s">
        <v>202</v>
      </c>
      <c r="BX5" s="99" t="s">
        <v>202</v>
      </c>
      <c r="BY5" s="99" t="s">
        <v>202</v>
      </c>
      <c r="BZ5" s="99" t="s">
        <v>202</v>
      </c>
      <c r="CA5" s="99" t="s">
        <v>202</v>
      </c>
      <c r="CB5" s="99"/>
      <c r="CC5" s="99" t="s">
        <v>206</v>
      </c>
      <c r="CD5" s="99"/>
      <c r="CE5" s="99" t="s">
        <v>194</v>
      </c>
      <c r="CF5" s="99"/>
      <c r="CG5" s="99"/>
      <c r="CH5" s="99"/>
      <c r="CI5" s="99" t="s">
        <v>199</v>
      </c>
      <c r="CJ5" s="99" t="s">
        <v>198</v>
      </c>
      <c r="CK5" s="99" t="s">
        <v>198</v>
      </c>
      <c r="CL5" s="99" t="s">
        <v>198</v>
      </c>
      <c r="CM5" s="99" t="s">
        <v>198</v>
      </c>
      <c r="CN5" s="99" t="s">
        <v>198</v>
      </c>
      <c r="CO5" s="99" t="s">
        <v>198</v>
      </c>
      <c r="CP5" s="99" t="s">
        <v>198</v>
      </c>
      <c r="CQ5" s="99" t="s">
        <v>198</v>
      </c>
      <c r="CR5" s="99" t="s">
        <v>198</v>
      </c>
      <c r="CS5" s="99" t="s">
        <v>198</v>
      </c>
      <c r="CT5" s="99" t="s">
        <v>198</v>
      </c>
      <c r="CU5" s="99" t="s">
        <v>198</v>
      </c>
      <c r="CV5" s="99" t="s">
        <v>198</v>
      </c>
      <c r="CW5" s="99" t="s">
        <v>198</v>
      </c>
      <c r="CX5" s="99" t="s">
        <v>198</v>
      </c>
      <c r="CY5" s="99" t="s">
        <v>198</v>
      </c>
      <c r="CZ5" s="99" t="s">
        <v>198</v>
      </c>
      <c r="DA5" s="99" t="s">
        <v>198</v>
      </c>
      <c r="DB5" s="99" t="s">
        <v>198</v>
      </c>
      <c r="DC5" s="99" t="s">
        <v>198</v>
      </c>
      <c r="DD5" s="99" t="s">
        <v>198</v>
      </c>
      <c r="DE5" s="99" t="s">
        <v>198</v>
      </c>
      <c r="DF5" s="99" t="s">
        <v>198</v>
      </c>
      <c r="DG5" s="99" t="s">
        <v>198</v>
      </c>
      <c r="DH5" s="99" t="s">
        <v>198</v>
      </c>
      <c r="DI5" s="99" t="s">
        <v>198</v>
      </c>
      <c r="DJ5" s="99" t="s">
        <v>198</v>
      </c>
      <c r="DK5" s="99"/>
      <c r="DL5" s="99" t="s">
        <v>199</v>
      </c>
      <c r="DM5" s="99" t="s">
        <v>198</v>
      </c>
      <c r="DN5" s="99" t="s">
        <v>198</v>
      </c>
      <c r="DO5" s="99" t="s">
        <v>198</v>
      </c>
      <c r="DP5" s="99" t="s">
        <v>198</v>
      </c>
      <c r="DQ5" s="99" t="s">
        <v>198</v>
      </c>
      <c r="DR5" s="99" t="s">
        <v>198</v>
      </c>
      <c r="DS5" s="99" t="s">
        <v>198</v>
      </c>
      <c r="DT5" s="99" t="s">
        <v>198</v>
      </c>
      <c r="DU5" s="99" t="s">
        <v>198</v>
      </c>
      <c r="DV5" s="99" t="s">
        <v>198</v>
      </c>
      <c r="DW5" s="99" t="s">
        <v>198</v>
      </c>
      <c r="DX5" s="99" t="s">
        <v>198</v>
      </c>
      <c r="DY5" s="99" t="s">
        <v>198</v>
      </c>
      <c r="DZ5" s="99" t="s">
        <v>198</v>
      </c>
      <c r="EA5" s="99"/>
      <c r="EB5" s="99" t="s">
        <v>199</v>
      </c>
      <c r="EC5" s="99" t="s">
        <v>198</v>
      </c>
      <c r="ED5" s="99" t="s">
        <v>198</v>
      </c>
      <c r="EE5" s="99" t="s">
        <v>198</v>
      </c>
      <c r="EF5" s="99" t="s">
        <v>198</v>
      </c>
      <c r="EG5" s="99" t="s">
        <v>198</v>
      </c>
      <c r="EH5" s="100" t="s">
        <v>198</v>
      </c>
    </row>
    <row r="6" spans="1:138" ht="23.25" customHeight="1" x14ac:dyDescent="0.25">
      <c r="A6" s="98" t="s">
        <v>17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204</v>
      </c>
      <c r="G6" s="99" t="s">
        <v>30</v>
      </c>
      <c r="H6" s="99" t="s">
        <v>195</v>
      </c>
      <c r="I6" s="99" t="s">
        <v>204</v>
      </c>
      <c r="J6" s="99" t="s">
        <v>30</v>
      </c>
      <c r="K6" s="99" t="s">
        <v>204</v>
      </c>
      <c r="L6" s="99" t="s">
        <v>30</v>
      </c>
      <c r="M6" s="99" t="s">
        <v>30</v>
      </c>
      <c r="N6" s="99" t="s">
        <v>204</v>
      </c>
      <c r="O6" s="99" t="s">
        <v>30</v>
      </c>
      <c r="P6" s="99" t="s">
        <v>30</v>
      </c>
      <c r="Q6" s="99" t="s">
        <v>30</v>
      </c>
      <c r="R6" s="99" t="s">
        <v>30</v>
      </c>
      <c r="S6" s="99" t="s">
        <v>204</v>
      </c>
      <c r="T6" s="99"/>
      <c r="U6" s="99" t="s">
        <v>194</v>
      </c>
      <c r="V6" s="99" t="s">
        <v>204</v>
      </c>
      <c r="W6" s="99" t="s">
        <v>204</v>
      </c>
      <c r="X6" s="99" t="s">
        <v>204</v>
      </c>
      <c r="Y6" s="99" t="s">
        <v>195</v>
      </c>
      <c r="Z6" s="99" t="s">
        <v>197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198</v>
      </c>
      <c r="AF6" s="99" t="s">
        <v>198</v>
      </c>
      <c r="AG6" s="99" t="s">
        <v>198</v>
      </c>
      <c r="AH6" s="99" t="s">
        <v>198</v>
      </c>
      <c r="AI6" s="99" t="s">
        <v>194</v>
      </c>
      <c r="AJ6" s="99" t="s">
        <v>30</v>
      </c>
      <c r="AK6" s="99" t="s">
        <v>30</v>
      </c>
      <c r="AL6" s="99" t="s">
        <v>204</v>
      </c>
      <c r="AM6" s="99"/>
      <c r="AN6" s="99" t="s">
        <v>194</v>
      </c>
      <c r="AO6" s="99" t="s">
        <v>195</v>
      </c>
      <c r="AP6" s="99" t="s">
        <v>195</v>
      </c>
      <c r="AQ6" s="99" t="s">
        <v>30</v>
      </c>
      <c r="AR6" s="99" t="s">
        <v>30</v>
      </c>
      <c r="AS6" s="99" t="s">
        <v>204</v>
      </c>
      <c r="AT6" s="99" t="s">
        <v>195</v>
      </c>
      <c r="AU6" s="99" t="s">
        <v>30</v>
      </c>
      <c r="AV6" s="99" t="s">
        <v>30</v>
      </c>
      <c r="AW6" s="99" t="s">
        <v>30</v>
      </c>
      <c r="AX6" s="99" t="s">
        <v>204</v>
      </c>
      <c r="AY6" s="99"/>
      <c r="AZ6" s="99" t="s">
        <v>199</v>
      </c>
      <c r="BA6" s="99" t="s">
        <v>199</v>
      </c>
      <c r="BB6" s="99" t="s">
        <v>198</v>
      </c>
      <c r="BC6" s="99" t="s">
        <v>198</v>
      </c>
      <c r="BD6" s="99" t="s">
        <v>198</v>
      </c>
      <c r="BE6" s="99" t="s">
        <v>198</v>
      </c>
      <c r="BF6" s="99" t="s">
        <v>198</v>
      </c>
      <c r="BG6" s="99" t="s">
        <v>198</v>
      </c>
      <c r="BH6" s="99" t="s">
        <v>198</v>
      </c>
      <c r="BI6" s="99" t="s">
        <v>198</v>
      </c>
      <c r="BJ6" s="99" t="s">
        <v>198</v>
      </c>
      <c r="BK6" s="99" t="s">
        <v>198</v>
      </c>
      <c r="BL6" s="99" t="s">
        <v>198</v>
      </c>
      <c r="BM6" s="99" t="s">
        <v>198</v>
      </c>
      <c r="BN6" s="99" t="s">
        <v>198</v>
      </c>
      <c r="BO6" s="99" t="s">
        <v>198</v>
      </c>
      <c r="BP6" s="99" t="s">
        <v>198</v>
      </c>
      <c r="BQ6" s="99" t="s">
        <v>198</v>
      </c>
      <c r="BR6" s="99" t="s">
        <v>198</v>
      </c>
      <c r="BS6" s="99" t="s">
        <v>198</v>
      </c>
      <c r="BT6" s="99"/>
      <c r="BU6" s="99" t="s">
        <v>195</v>
      </c>
      <c r="BV6" s="99" t="s">
        <v>30</v>
      </c>
      <c r="BW6" s="99" t="s">
        <v>195</v>
      </c>
      <c r="BX6" s="99" t="s">
        <v>195</v>
      </c>
      <c r="BY6" s="99" t="s">
        <v>195</v>
      </c>
      <c r="BZ6" s="99" t="s">
        <v>195</v>
      </c>
      <c r="CA6" s="99" t="s">
        <v>30</v>
      </c>
      <c r="CB6" s="99"/>
      <c r="CC6" s="99" t="s">
        <v>206</v>
      </c>
      <c r="CD6" s="99"/>
      <c r="CE6" s="99" t="s">
        <v>194</v>
      </c>
      <c r="CF6" s="99"/>
      <c r="CG6" s="99"/>
      <c r="CH6" s="99"/>
      <c r="CI6" s="99" t="s">
        <v>194</v>
      </c>
      <c r="CJ6" s="99" t="s">
        <v>30</v>
      </c>
      <c r="CK6" s="99" t="s">
        <v>30</v>
      </c>
      <c r="CL6" s="99" t="s">
        <v>204</v>
      </c>
      <c r="CM6" s="99" t="s">
        <v>207</v>
      </c>
      <c r="CN6" s="99" t="s">
        <v>204</v>
      </c>
      <c r="CO6" s="99" t="s">
        <v>204</v>
      </c>
      <c r="CP6" s="99" t="s">
        <v>30</v>
      </c>
      <c r="CQ6" s="99" t="s">
        <v>195</v>
      </c>
      <c r="CR6" s="99" t="s">
        <v>30</v>
      </c>
      <c r="CS6" s="99" t="s">
        <v>30</v>
      </c>
      <c r="CT6" s="99" t="s">
        <v>195</v>
      </c>
      <c r="CU6" s="99" t="s">
        <v>30</v>
      </c>
      <c r="CV6" s="99" t="s">
        <v>204</v>
      </c>
      <c r="CW6" s="99" t="s">
        <v>30</v>
      </c>
      <c r="CX6" s="99" t="s">
        <v>204</v>
      </c>
      <c r="CY6" s="99" t="s">
        <v>30</v>
      </c>
      <c r="CZ6" s="99" t="s">
        <v>195</v>
      </c>
      <c r="DA6" s="99" t="s">
        <v>195</v>
      </c>
      <c r="DB6" s="99" t="s">
        <v>195</v>
      </c>
      <c r="DC6" s="99" t="s">
        <v>30</v>
      </c>
      <c r="DD6" s="99" t="s">
        <v>30</v>
      </c>
      <c r="DE6" s="99" t="s">
        <v>30</v>
      </c>
      <c r="DF6" s="99" t="s">
        <v>30</v>
      </c>
      <c r="DG6" s="99" t="s">
        <v>204</v>
      </c>
      <c r="DH6" s="99" t="s">
        <v>30</v>
      </c>
      <c r="DI6" s="99" t="s">
        <v>204</v>
      </c>
      <c r="DJ6" s="99" t="s">
        <v>204</v>
      </c>
      <c r="DK6" s="99"/>
      <c r="DL6" s="99" t="s">
        <v>199</v>
      </c>
      <c r="DM6" s="99" t="s">
        <v>198</v>
      </c>
      <c r="DN6" s="99" t="s">
        <v>198</v>
      </c>
      <c r="DO6" s="99" t="s">
        <v>198</v>
      </c>
      <c r="DP6" s="99" t="s">
        <v>198</v>
      </c>
      <c r="DQ6" s="99" t="s">
        <v>198</v>
      </c>
      <c r="DR6" s="99" t="s">
        <v>198</v>
      </c>
      <c r="DS6" s="99" t="s">
        <v>198</v>
      </c>
      <c r="DT6" s="99" t="s">
        <v>198</v>
      </c>
      <c r="DU6" s="99" t="s">
        <v>198</v>
      </c>
      <c r="DV6" s="99" t="s">
        <v>198</v>
      </c>
      <c r="DW6" s="99" t="s">
        <v>198</v>
      </c>
      <c r="DX6" s="99" t="s">
        <v>198</v>
      </c>
      <c r="DY6" s="99" t="s">
        <v>198</v>
      </c>
      <c r="DZ6" s="99" t="s">
        <v>198</v>
      </c>
      <c r="EA6" s="99"/>
      <c r="EB6" s="99" t="s">
        <v>194</v>
      </c>
      <c r="EC6" s="99" t="s">
        <v>204</v>
      </c>
      <c r="ED6" s="99" t="s">
        <v>204</v>
      </c>
      <c r="EE6" s="99" t="s">
        <v>30</v>
      </c>
      <c r="EF6" s="99" t="s">
        <v>30</v>
      </c>
      <c r="EG6" s="99" t="s">
        <v>204</v>
      </c>
      <c r="EH6" s="100" t="s">
        <v>207</v>
      </c>
    </row>
    <row r="7" spans="1:138" ht="23.25" customHeight="1" x14ac:dyDescent="0.25">
      <c r="A7" s="101" t="s">
        <v>17</v>
      </c>
      <c r="B7" s="90" t="s">
        <v>193</v>
      </c>
      <c r="C7" s="90" t="s">
        <v>194</v>
      </c>
      <c r="D7" s="90" t="s">
        <v>196</v>
      </c>
      <c r="E7" s="90" t="s">
        <v>196</v>
      </c>
      <c r="F7" s="90" t="s">
        <v>196</v>
      </c>
      <c r="G7" s="90" t="s">
        <v>196</v>
      </c>
      <c r="H7" s="90" t="s">
        <v>196</v>
      </c>
      <c r="I7" s="90" t="s">
        <v>196</v>
      </c>
      <c r="J7" s="90" t="s">
        <v>196</v>
      </c>
      <c r="K7" s="90" t="s">
        <v>196</v>
      </c>
      <c r="L7" s="90" t="s">
        <v>196</v>
      </c>
      <c r="M7" s="90" t="s">
        <v>196</v>
      </c>
      <c r="N7" s="90" t="s">
        <v>196</v>
      </c>
      <c r="O7" s="90" t="s">
        <v>196</v>
      </c>
      <c r="P7" s="90" t="s">
        <v>196</v>
      </c>
      <c r="Q7" s="90" t="s">
        <v>196</v>
      </c>
      <c r="R7" s="90" t="s">
        <v>196</v>
      </c>
      <c r="S7" s="90" t="s">
        <v>196</v>
      </c>
      <c r="T7" s="90"/>
      <c r="U7" s="90" t="s">
        <v>194</v>
      </c>
      <c r="V7" s="90" t="s">
        <v>196</v>
      </c>
      <c r="W7" s="90" t="s">
        <v>196</v>
      </c>
      <c r="X7" s="90" t="s">
        <v>196</v>
      </c>
      <c r="Y7" s="90" t="s">
        <v>196</v>
      </c>
      <c r="Z7" s="90" t="s">
        <v>197</v>
      </c>
      <c r="AA7" s="90" t="s">
        <v>196</v>
      </c>
      <c r="AB7" s="90" t="s">
        <v>201</v>
      </c>
      <c r="AC7" s="90" t="s">
        <v>201</v>
      </c>
      <c r="AD7" s="90" t="s">
        <v>196</v>
      </c>
      <c r="AE7" s="90" t="s">
        <v>198</v>
      </c>
      <c r="AF7" s="90" t="s">
        <v>198</v>
      </c>
      <c r="AG7" s="90" t="s">
        <v>198</v>
      </c>
      <c r="AH7" s="90" t="s">
        <v>198</v>
      </c>
      <c r="AI7" s="90" t="s">
        <v>194</v>
      </c>
      <c r="AJ7" s="90" t="s">
        <v>196</v>
      </c>
      <c r="AK7" s="90" t="s">
        <v>196</v>
      </c>
      <c r="AL7" s="90" t="s">
        <v>196</v>
      </c>
      <c r="AM7" s="90"/>
      <c r="AN7" s="90" t="s">
        <v>194</v>
      </c>
      <c r="AO7" s="90" t="s">
        <v>196</v>
      </c>
      <c r="AP7" s="90" t="s">
        <v>196</v>
      </c>
      <c r="AQ7" s="90" t="s">
        <v>196</v>
      </c>
      <c r="AR7" s="90" t="s">
        <v>196</v>
      </c>
      <c r="AS7" s="90" t="s">
        <v>195</v>
      </c>
      <c r="AT7" s="90" t="s">
        <v>196</v>
      </c>
      <c r="AU7" s="90" t="s">
        <v>30</v>
      </c>
      <c r="AV7" s="90" t="s">
        <v>196</v>
      </c>
      <c r="AW7" s="90" t="s">
        <v>196</v>
      </c>
      <c r="AX7" s="90" t="s">
        <v>196</v>
      </c>
      <c r="AY7" s="90"/>
      <c r="AZ7" s="90" t="s">
        <v>194</v>
      </c>
      <c r="BA7" s="90" t="s">
        <v>194</v>
      </c>
      <c r="BB7" s="90" t="s">
        <v>196</v>
      </c>
      <c r="BC7" s="90" t="s">
        <v>196</v>
      </c>
      <c r="BD7" s="90" t="s">
        <v>196</v>
      </c>
      <c r="BE7" s="90" t="s">
        <v>196</v>
      </c>
      <c r="BF7" s="90" t="s">
        <v>195</v>
      </c>
      <c r="BG7" s="90" t="s">
        <v>196</v>
      </c>
      <c r="BH7" s="90" t="s">
        <v>195</v>
      </c>
      <c r="BI7" s="90" t="s">
        <v>196</v>
      </c>
      <c r="BJ7" s="90" t="s">
        <v>30</v>
      </c>
      <c r="BK7" s="90" t="s">
        <v>196</v>
      </c>
      <c r="BL7" s="90" t="s">
        <v>196</v>
      </c>
      <c r="BM7" s="90" t="s">
        <v>196</v>
      </c>
      <c r="BN7" s="90" t="s">
        <v>195</v>
      </c>
      <c r="BO7" s="90" t="s">
        <v>195</v>
      </c>
      <c r="BP7" s="90" t="s">
        <v>196</v>
      </c>
      <c r="BQ7" s="90" t="s">
        <v>195</v>
      </c>
      <c r="BR7" s="90" t="s">
        <v>196</v>
      </c>
      <c r="BS7" s="90" t="s">
        <v>30</v>
      </c>
      <c r="BT7" s="90"/>
      <c r="BU7" s="90" t="s">
        <v>196</v>
      </c>
      <c r="BV7" s="90" t="s">
        <v>198</v>
      </c>
      <c r="BW7" s="90" t="s">
        <v>196</v>
      </c>
      <c r="BX7" s="90" t="s">
        <v>198</v>
      </c>
      <c r="BY7" s="90" t="s">
        <v>195</v>
      </c>
      <c r="BZ7" s="90" t="s">
        <v>198</v>
      </c>
      <c r="CA7" s="90" t="s">
        <v>196</v>
      </c>
      <c r="CB7" s="90"/>
      <c r="CC7" s="90" t="s">
        <v>205</v>
      </c>
      <c r="CD7" s="90"/>
      <c r="CE7" s="90" t="s">
        <v>194</v>
      </c>
      <c r="CF7" s="90"/>
      <c r="CG7" s="90"/>
      <c r="CH7" s="90"/>
      <c r="CI7" s="90" t="s">
        <v>194</v>
      </c>
      <c r="CJ7" s="90" t="s">
        <v>196</v>
      </c>
      <c r="CK7" s="90" t="s">
        <v>196</v>
      </c>
      <c r="CL7" s="90" t="s">
        <v>196</v>
      </c>
      <c r="CM7" s="90" t="s">
        <v>196</v>
      </c>
      <c r="CN7" s="90" t="s">
        <v>196</v>
      </c>
      <c r="CO7" s="90" t="s">
        <v>196</v>
      </c>
      <c r="CP7" s="90" t="s">
        <v>196</v>
      </c>
      <c r="CQ7" s="90" t="s">
        <v>196</v>
      </c>
      <c r="CR7" s="90" t="s">
        <v>30</v>
      </c>
      <c r="CS7" s="90" t="s">
        <v>196</v>
      </c>
      <c r="CT7" s="90" t="s">
        <v>196</v>
      </c>
      <c r="CU7" s="90" t="s">
        <v>196</v>
      </c>
      <c r="CV7" s="90" t="s">
        <v>196</v>
      </c>
      <c r="CW7" s="90" t="s">
        <v>196</v>
      </c>
      <c r="CX7" s="90" t="s">
        <v>196</v>
      </c>
      <c r="CY7" s="90" t="s">
        <v>196</v>
      </c>
      <c r="CZ7" s="90" t="s">
        <v>196</v>
      </c>
      <c r="DA7" s="90" t="s">
        <v>196</v>
      </c>
      <c r="DB7" s="90" t="s">
        <v>196</v>
      </c>
      <c r="DC7" s="90" t="s">
        <v>196</v>
      </c>
      <c r="DD7" s="90" t="s">
        <v>196</v>
      </c>
      <c r="DE7" s="90" t="s">
        <v>196</v>
      </c>
      <c r="DF7" s="90" t="s">
        <v>196</v>
      </c>
      <c r="DG7" s="90" t="s">
        <v>201</v>
      </c>
      <c r="DH7" s="90" t="s">
        <v>201</v>
      </c>
      <c r="DI7" s="90" t="s">
        <v>201</v>
      </c>
      <c r="DJ7" s="90" t="s">
        <v>201</v>
      </c>
      <c r="DK7" s="90"/>
      <c r="DL7" s="90" t="s">
        <v>199</v>
      </c>
      <c r="DM7" s="90" t="s">
        <v>198</v>
      </c>
      <c r="DN7" s="90" t="s">
        <v>198</v>
      </c>
      <c r="DO7" s="90" t="s">
        <v>198</v>
      </c>
      <c r="DP7" s="90" t="s">
        <v>198</v>
      </c>
      <c r="DQ7" s="90" t="s">
        <v>198</v>
      </c>
      <c r="DR7" s="90" t="s">
        <v>198</v>
      </c>
      <c r="DS7" s="90" t="s">
        <v>198</v>
      </c>
      <c r="DT7" s="90" t="s">
        <v>198</v>
      </c>
      <c r="DU7" s="90" t="s">
        <v>198</v>
      </c>
      <c r="DV7" s="90" t="s">
        <v>198</v>
      </c>
      <c r="DW7" s="90" t="s">
        <v>198</v>
      </c>
      <c r="DX7" s="90" t="s">
        <v>198</v>
      </c>
      <c r="DY7" s="90" t="s">
        <v>198</v>
      </c>
      <c r="DZ7" s="90" t="s">
        <v>198</v>
      </c>
      <c r="EA7" s="90"/>
      <c r="EB7" s="90" t="s">
        <v>194</v>
      </c>
      <c r="EC7" s="90" t="s">
        <v>30</v>
      </c>
      <c r="ED7" s="90" t="s">
        <v>195</v>
      </c>
      <c r="EE7" s="90" t="s">
        <v>195</v>
      </c>
      <c r="EF7" s="90" t="s">
        <v>195</v>
      </c>
      <c r="EG7" s="90" t="s">
        <v>195</v>
      </c>
      <c r="EH7" s="102" t="s">
        <v>196</v>
      </c>
    </row>
    <row r="8" spans="1:138" ht="23.25" customHeight="1" x14ac:dyDescent="0.25">
      <c r="A8" s="101" t="s">
        <v>17</v>
      </c>
      <c r="B8" s="90" t="s">
        <v>193</v>
      </c>
      <c r="C8" s="90" t="s">
        <v>194</v>
      </c>
      <c r="D8" s="90" t="s">
        <v>204</v>
      </c>
      <c r="E8" s="90" t="s">
        <v>204</v>
      </c>
      <c r="F8" s="90" t="s">
        <v>207</v>
      </c>
      <c r="G8" s="90" t="s">
        <v>207</v>
      </c>
      <c r="H8" s="90" t="s">
        <v>204</v>
      </c>
      <c r="I8" s="90" t="s">
        <v>207</v>
      </c>
      <c r="J8" s="90" t="s">
        <v>30</v>
      </c>
      <c r="K8" s="90" t="s">
        <v>30</v>
      </c>
      <c r="L8" s="90" t="s">
        <v>207</v>
      </c>
      <c r="M8" s="90" t="s">
        <v>207</v>
      </c>
      <c r="N8" s="90" t="s">
        <v>207</v>
      </c>
      <c r="O8" s="90" t="s">
        <v>204</v>
      </c>
      <c r="P8" s="90" t="s">
        <v>195</v>
      </c>
      <c r="Q8" s="90" t="s">
        <v>30</v>
      </c>
      <c r="R8" s="90" t="s">
        <v>207</v>
      </c>
      <c r="S8" s="90" t="s">
        <v>30</v>
      </c>
      <c r="T8" s="90"/>
      <c r="U8" s="90" t="s">
        <v>199</v>
      </c>
      <c r="V8" s="90" t="s">
        <v>198</v>
      </c>
      <c r="W8" s="90" t="s">
        <v>198</v>
      </c>
      <c r="X8" s="90" t="s">
        <v>198</v>
      </c>
      <c r="Y8" s="90" t="s">
        <v>198</v>
      </c>
      <c r="Z8" s="90" t="s">
        <v>197</v>
      </c>
      <c r="AA8" s="90" t="s">
        <v>198</v>
      </c>
      <c r="AB8" s="90" t="s">
        <v>198</v>
      </c>
      <c r="AC8" s="90" t="s">
        <v>198</v>
      </c>
      <c r="AD8" s="90" t="s">
        <v>198</v>
      </c>
      <c r="AE8" s="90" t="s">
        <v>198</v>
      </c>
      <c r="AF8" s="90" t="s">
        <v>198</v>
      </c>
      <c r="AG8" s="90" t="s">
        <v>198</v>
      </c>
      <c r="AH8" s="90" t="s">
        <v>198</v>
      </c>
      <c r="AI8" s="90" t="s">
        <v>199</v>
      </c>
      <c r="AJ8" s="90" t="s">
        <v>198</v>
      </c>
      <c r="AK8" s="90" t="s">
        <v>198</v>
      </c>
      <c r="AL8" s="90" t="s">
        <v>198</v>
      </c>
      <c r="AM8" s="90"/>
      <c r="AN8" s="90" t="s">
        <v>199</v>
      </c>
      <c r="AO8" s="90" t="s">
        <v>198</v>
      </c>
      <c r="AP8" s="90" t="s">
        <v>198</v>
      </c>
      <c r="AQ8" s="90" t="s">
        <v>198</v>
      </c>
      <c r="AR8" s="90" t="s">
        <v>198</v>
      </c>
      <c r="AS8" s="90" t="s">
        <v>198</v>
      </c>
      <c r="AT8" s="90" t="s">
        <v>198</v>
      </c>
      <c r="AU8" s="90" t="s">
        <v>198</v>
      </c>
      <c r="AV8" s="90" t="s">
        <v>198</v>
      </c>
      <c r="AW8" s="90" t="s">
        <v>198</v>
      </c>
      <c r="AX8" s="90" t="s">
        <v>198</v>
      </c>
      <c r="AY8" s="90"/>
      <c r="AZ8" s="90" t="s">
        <v>194</v>
      </c>
      <c r="BA8" s="90" t="s">
        <v>194</v>
      </c>
      <c r="BB8" s="90" t="s">
        <v>30</v>
      </c>
      <c r="BC8" s="90" t="s">
        <v>204</v>
      </c>
      <c r="BD8" s="90" t="s">
        <v>204</v>
      </c>
      <c r="BE8" s="90" t="s">
        <v>204</v>
      </c>
      <c r="BF8" s="90" t="s">
        <v>204</v>
      </c>
      <c r="BG8" s="90" t="s">
        <v>195</v>
      </c>
      <c r="BH8" s="90" t="s">
        <v>207</v>
      </c>
      <c r="BI8" s="90" t="s">
        <v>204</v>
      </c>
      <c r="BJ8" s="90" t="s">
        <v>204</v>
      </c>
      <c r="BK8" s="90" t="s">
        <v>207</v>
      </c>
      <c r="BL8" s="90" t="s">
        <v>196</v>
      </c>
      <c r="BM8" s="90" t="s">
        <v>196</v>
      </c>
      <c r="BN8" s="90" t="s">
        <v>207</v>
      </c>
      <c r="BO8" s="90" t="s">
        <v>207</v>
      </c>
      <c r="BP8" s="90" t="s">
        <v>30</v>
      </c>
      <c r="BQ8" s="90" t="s">
        <v>207</v>
      </c>
      <c r="BR8" s="90" t="s">
        <v>207</v>
      </c>
      <c r="BS8" s="90" t="s">
        <v>207</v>
      </c>
      <c r="BT8" s="90"/>
      <c r="BU8" s="90" t="s">
        <v>202</v>
      </c>
      <c r="BV8" s="90" t="s">
        <v>202</v>
      </c>
      <c r="BW8" s="90" t="s">
        <v>202</v>
      </c>
      <c r="BX8" s="90" t="s">
        <v>202</v>
      </c>
      <c r="BY8" s="90" t="s">
        <v>202</v>
      </c>
      <c r="BZ8" s="90" t="s">
        <v>202</v>
      </c>
      <c r="CA8" s="90" t="s">
        <v>202</v>
      </c>
      <c r="CB8" s="90"/>
      <c r="CC8" s="90" t="s">
        <v>200</v>
      </c>
      <c r="CD8" s="90"/>
      <c r="CE8" s="90" t="s">
        <v>194</v>
      </c>
      <c r="CF8" s="90"/>
      <c r="CG8" s="90"/>
      <c r="CH8" s="90"/>
      <c r="CI8" s="90" t="s">
        <v>199</v>
      </c>
      <c r="CJ8" s="90" t="s">
        <v>198</v>
      </c>
      <c r="CK8" s="90" t="s">
        <v>198</v>
      </c>
      <c r="CL8" s="90" t="s">
        <v>198</v>
      </c>
      <c r="CM8" s="90" t="s">
        <v>198</v>
      </c>
      <c r="CN8" s="90" t="s">
        <v>198</v>
      </c>
      <c r="CO8" s="90" t="s">
        <v>198</v>
      </c>
      <c r="CP8" s="90" t="s">
        <v>198</v>
      </c>
      <c r="CQ8" s="90" t="s">
        <v>198</v>
      </c>
      <c r="CR8" s="90" t="s">
        <v>198</v>
      </c>
      <c r="CS8" s="90" t="s">
        <v>198</v>
      </c>
      <c r="CT8" s="90" t="s">
        <v>198</v>
      </c>
      <c r="CU8" s="90" t="s">
        <v>198</v>
      </c>
      <c r="CV8" s="90" t="s">
        <v>198</v>
      </c>
      <c r="CW8" s="90" t="s">
        <v>198</v>
      </c>
      <c r="CX8" s="90" t="s">
        <v>198</v>
      </c>
      <c r="CY8" s="90" t="s">
        <v>198</v>
      </c>
      <c r="CZ8" s="90" t="s">
        <v>198</v>
      </c>
      <c r="DA8" s="90" t="s">
        <v>198</v>
      </c>
      <c r="DB8" s="90" t="s">
        <v>198</v>
      </c>
      <c r="DC8" s="90" t="s">
        <v>198</v>
      </c>
      <c r="DD8" s="90" t="s">
        <v>198</v>
      </c>
      <c r="DE8" s="90" t="s">
        <v>198</v>
      </c>
      <c r="DF8" s="90" t="s">
        <v>198</v>
      </c>
      <c r="DG8" s="90" t="s">
        <v>198</v>
      </c>
      <c r="DH8" s="90" t="s">
        <v>198</v>
      </c>
      <c r="DI8" s="90" t="s">
        <v>198</v>
      </c>
      <c r="DJ8" s="90" t="s">
        <v>198</v>
      </c>
      <c r="DK8" s="90"/>
      <c r="DL8" s="90" t="s">
        <v>194</v>
      </c>
      <c r="DM8" s="90" t="s">
        <v>30</v>
      </c>
      <c r="DN8" s="90" t="s">
        <v>201</v>
      </c>
      <c r="DO8" s="90" t="s">
        <v>30</v>
      </c>
      <c r="DP8" s="90" t="s">
        <v>30</v>
      </c>
      <c r="DQ8" s="90" t="s">
        <v>30</v>
      </c>
      <c r="DR8" s="90" t="s">
        <v>30</v>
      </c>
      <c r="DS8" s="90" t="s">
        <v>30</v>
      </c>
      <c r="DT8" s="90" t="s">
        <v>30</v>
      </c>
      <c r="DU8" s="90" t="s">
        <v>30</v>
      </c>
      <c r="DV8" s="90" t="s">
        <v>30</v>
      </c>
      <c r="DW8" s="90" t="s">
        <v>196</v>
      </c>
      <c r="DX8" s="90" t="s">
        <v>30</v>
      </c>
      <c r="DY8" s="90" t="s">
        <v>30</v>
      </c>
      <c r="DZ8" s="90" t="s">
        <v>196</v>
      </c>
      <c r="EA8" s="90"/>
      <c r="EB8" s="90" t="s">
        <v>199</v>
      </c>
      <c r="EC8" s="90" t="s">
        <v>198</v>
      </c>
      <c r="ED8" s="90" t="s">
        <v>198</v>
      </c>
      <c r="EE8" s="90" t="s">
        <v>198</v>
      </c>
      <c r="EF8" s="90" t="s">
        <v>198</v>
      </c>
      <c r="EG8" s="90" t="s">
        <v>198</v>
      </c>
      <c r="EH8" s="102" t="s">
        <v>198</v>
      </c>
    </row>
    <row r="9" spans="1:138" ht="23.25" customHeight="1" x14ac:dyDescent="0.25">
      <c r="A9" s="98" t="s">
        <v>17</v>
      </c>
      <c r="B9" s="99" t="s">
        <v>193</v>
      </c>
      <c r="C9" s="99" t="s">
        <v>194</v>
      </c>
      <c r="D9" s="99" t="s">
        <v>30</v>
      </c>
      <c r="E9" s="99" t="s">
        <v>30</v>
      </c>
      <c r="F9" s="99" t="s">
        <v>195</v>
      </c>
      <c r="G9" s="99" t="s">
        <v>195</v>
      </c>
      <c r="H9" s="99" t="s">
        <v>204</v>
      </c>
      <c r="I9" s="99" t="s">
        <v>204</v>
      </c>
      <c r="J9" s="99" t="s">
        <v>204</v>
      </c>
      <c r="K9" s="99" t="s">
        <v>30</v>
      </c>
      <c r="L9" s="99" t="s">
        <v>30</v>
      </c>
      <c r="M9" s="99" t="s">
        <v>30</v>
      </c>
      <c r="N9" s="99" t="s">
        <v>204</v>
      </c>
      <c r="O9" s="99" t="s">
        <v>195</v>
      </c>
      <c r="P9" s="99" t="s">
        <v>195</v>
      </c>
      <c r="Q9" s="99" t="s">
        <v>195</v>
      </c>
      <c r="R9" s="99" t="s">
        <v>204</v>
      </c>
      <c r="S9" s="99" t="s">
        <v>204</v>
      </c>
      <c r="T9" s="99"/>
      <c r="U9" s="99" t="s">
        <v>199</v>
      </c>
      <c r="V9" s="99" t="s">
        <v>198</v>
      </c>
      <c r="W9" s="99" t="s">
        <v>198</v>
      </c>
      <c r="X9" s="99" t="s">
        <v>198</v>
      </c>
      <c r="Y9" s="99" t="s">
        <v>198</v>
      </c>
      <c r="Z9" s="99" t="s">
        <v>197</v>
      </c>
      <c r="AA9" s="99" t="s">
        <v>198</v>
      </c>
      <c r="AB9" s="99" t="s">
        <v>198</v>
      </c>
      <c r="AC9" s="99" t="s">
        <v>198</v>
      </c>
      <c r="AD9" s="99" t="s">
        <v>198</v>
      </c>
      <c r="AE9" s="99" t="s">
        <v>198</v>
      </c>
      <c r="AF9" s="99" t="s">
        <v>198</v>
      </c>
      <c r="AG9" s="99" t="s">
        <v>198</v>
      </c>
      <c r="AH9" s="99" t="s">
        <v>198</v>
      </c>
      <c r="AI9" s="99" t="s">
        <v>199</v>
      </c>
      <c r="AJ9" s="99" t="s">
        <v>198</v>
      </c>
      <c r="AK9" s="99" t="s">
        <v>198</v>
      </c>
      <c r="AL9" s="99" t="s">
        <v>198</v>
      </c>
      <c r="AM9" s="99"/>
      <c r="AN9" s="99" t="s">
        <v>194</v>
      </c>
      <c r="AO9" s="99" t="s">
        <v>195</v>
      </c>
      <c r="AP9" s="99" t="s">
        <v>195</v>
      </c>
      <c r="AQ9" s="99" t="s">
        <v>195</v>
      </c>
      <c r="AR9" s="99" t="s">
        <v>195</v>
      </c>
      <c r="AS9" s="99" t="s">
        <v>195</v>
      </c>
      <c r="AT9" s="99" t="s">
        <v>195</v>
      </c>
      <c r="AU9" s="99" t="s">
        <v>30</v>
      </c>
      <c r="AV9" s="99" t="s">
        <v>30</v>
      </c>
      <c r="AW9" s="99" t="s">
        <v>30</v>
      </c>
      <c r="AX9" s="99" t="s">
        <v>30</v>
      </c>
      <c r="AY9" s="99"/>
      <c r="AZ9" s="99" t="s">
        <v>194</v>
      </c>
      <c r="BA9" s="99" t="s">
        <v>194</v>
      </c>
      <c r="BB9" s="99" t="s">
        <v>195</v>
      </c>
      <c r="BC9" s="99" t="s">
        <v>196</v>
      </c>
      <c r="BD9" s="99" t="s">
        <v>196</v>
      </c>
      <c r="BE9" s="99" t="s">
        <v>196</v>
      </c>
      <c r="BF9" s="99" t="s">
        <v>195</v>
      </c>
      <c r="BG9" s="99" t="s">
        <v>196</v>
      </c>
      <c r="BH9" s="99" t="s">
        <v>196</v>
      </c>
      <c r="BI9" s="99" t="s">
        <v>196</v>
      </c>
      <c r="BJ9" s="99" t="s">
        <v>195</v>
      </c>
      <c r="BK9" s="99" t="s">
        <v>30</v>
      </c>
      <c r="BL9" s="99" t="s">
        <v>195</v>
      </c>
      <c r="BM9" s="99" t="s">
        <v>196</v>
      </c>
      <c r="BN9" s="99" t="s">
        <v>30</v>
      </c>
      <c r="BO9" s="99" t="s">
        <v>204</v>
      </c>
      <c r="BP9" s="99" t="s">
        <v>204</v>
      </c>
      <c r="BQ9" s="99" t="s">
        <v>204</v>
      </c>
      <c r="BR9" s="99" t="s">
        <v>195</v>
      </c>
      <c r="BS9" s="99" t="s">
        <v>195</v>
      </c>
      <c r="BT9" s="99"/>
      <c r="BU9" s="99" t="s">
        <v>202</v>
      </c>
      <c r="BV9" s="99" t="s">
        <v>202</v>
      </c>
      <c r="BW9" s="99" t="s">
        <v>202</v>
      </c>
      <c r="BX9" s="99" t="s">
        <v>202</v>
      </c>
      <c r="BY9" s="99" t="s">
        <v>202</v>
      </c>
      <c r="BZ9" s="99" t="s">
        <v>202</v>
      </c>
      <c r="CA9" s="99" t="s">
        <v>202</v>
      </c>
      <c r="CB9" s="99"/>
      <c r="CC9" s="99" t="s">
        <v>205</v>
      </c>
      <c r="CD9" s="99"/>
      <c r="CE9" s="99" t="s">
        <v>199</v>
      </c>
      <c r="CF9" s="99"/>
      <c r="CG9" s="99"/>
      <c r="CH9" s="99"/>
      <c r="CI9" s="99" t="s">
        <v>199</v>
      </c>
      <c r="CJ9" s="99" t="s">
        <v>198</v>
      </c>
      <c r="CK9" s="99" t="s">
        <v>198</v>
      </c>
      <c r="CL9" s="99" t="s">
        <v>198</v>
      </c>
      <c r="CM9" s="99" t="s">
        <v>198</v>
      </c>
      <c r="CN9" s="99" t="s">
        <v>198</v>
      </c>
      <c r="CO9" s="99" t="s">
        <v>198</v>
      </c>
      <c r="CP9" s="99" t="s">
        <v>198</v>
      </c>
      <c r="CQ9" s="99" t="s">
        <v>198</v>
      </c>
      <c r="CR9" s="99" t="s">
        <v>198</v>
      </c>
      <c r="CS9" s="99" t="s">
        <v>198</v>
      </c>
      <c r="CT9" s="99" t="s">
        <v>198</v>
      </c>
      <c r="CU9" s="99" t="s">
        <v>198</v>
      </c>
      <c r="CV9" s="99" t="s">
        <v>198</v>
      </c>
      <c r="CW9" s="99" t="s">
        <v>198</v>
      </c>
      <c r="CX9" s="99" t="s">
        <v>198</v>
      </c>
      <c r="CY9" s="99" t="s">
        <v>198</v>
      </c>
      <c r="CZ9" s="99" t="s">
        <v>198</v>
      </c>
      <c r="DA9" s="99" t="s">
        <v>198</v>
      </c>
      <c r="DB9" s="99" t="s">
        <v>198</v>
      </c>
      <c r="DC9" s="99" t="s">
        <v>198</v>
      </c>
      <c r="DD9" s="99" t="s">
        <v>198</v>
      </c>
      <c r="DE9" s="99" t="s">
        <v>198</v>
      </c>
      <c r="DF9" s="99" t="s">
        <v>198</v>
      </c>
      <c r="DG9" s="99" t="s">
        <v>198</v>
      </c>
      <c r="DH9" s="99" t="s">
        <v>198</v>
      </c>
      <c r="DI9" s="99" t="s">
        <v>198</v>
      </c>
      <c r="DJ9" s="99" t="s">
        <v>198</v>
      </c>
      <c r="DK9" s="99"/>
      <c r="DL9" s="99" t="s">
        <v>194</v>
      </c>
      <c r="DM9" s="99" t="s">
        <v>204</v>
      </c>
      <c r="DN9" s="99" t="s">
        <v>204</v>
      </c>
      <c r="DO9" s="99" t="s">
        <v>204</v>
      </c>
      <c r="DP9" s="99" t="s">
        <v>204</v>
      </c>
      <c r="DQ9" s="99" t="s">
        <v>195</v>
      </c>
      <c r="DR9" s="99" t="s">
        <v>195</v>
      </c>
      <c r="DS9" s="99" t="s">
        <v>207</v>
      </c>
      <c r="DT9" s="99" t="s">
        <v>204</v>
      </c>
      <c r="DU9" s="99" t="s">
        <v>204</v>
      </c>
      <c r="DV9" s="99" t="s">
        <v>30</v>
      </c>
      <c r="DW9" s="99" t="s">
        <v>195</v>
      </c>
      <c r="DX9" s="99" t="s">
        <v>30</v>
      </c>
      <c r="DY9" s="99" t="s">
        <v>30</v>
      </c>
      <c r="DZ9" s="99" t="s">
        <v>204</v>
      </c>
      <c r="EA9" s="99"/>
      <c r="EB9" s="99" t="s">
        <v>199</v>
      </c>
      <c r="EC9" s="99" t="s">
        <v>198</v>
      </c>
      <c r="ED9" s="99" t="s">
        <v>198</v>
      </c>
      <c r="EE9" s="99" t="s">
        <v>198</v>
      </c>
      <c r="EF9" s="99" t="s">
        <v>198</v>
      </c>
      <c r="EG9" s="99" t="s">
        <v>198</v>
      </c>
      <c r="EH9" s="100" t="s">
        <v>198</v>
      </c>
    </row>
    <row r="10" spans="1:138" ht="23.25" customHeight="1" x14ac:dyDescent="0.25">
      <c r="A10" s="101" t="s">
        <v>17</v>
      </c>
      <c r="B10" s="90" t="s">
        <v>193</v>
      </c>
      <c r="C10" s="90" t="s">
        <v>194</v>
      </c>
      <c r="D10" s="90" t="s">
        <v>196</v>
      </c>
      <c r="E10" s="90" t="s">
        <v>196</v>
      </c>
      <c r="F10" s="90" t="s">
        <v>195</v>
      </c>
      <c r="G10" s="90" t="s">
        <v>196</v>
      </c>
      <c r="H10" s="90" t="s">
        <v>196</v>
      </c>
      <c r="I10" s="90" t="s">
        <v>195</v>
      </c>
      <c r="J10" s="90" t="s">
        <v>196</v>
      </c>
      <c r="K10" s="90" t="s">
        <v>30</v>
      </c>
      <c r="L10" s="90" t="s">
        <v>196</v>
      </c>
      <c r="M10" s="90" t="s">
        <v>195</v>
      </c>
      <c r="N10" s="90" t="s">
        <v>195</v>
      </c>
      <c r="O10" s="90" t="s">
        <v>195</v>
      </c>
      <c r="P10" s="90" t="s">
        <v>196</v>
      </c>
      <c r="Q10" s="90" t="s">
        <v>196</v>
      </c>
      <c r="R10" s="90" t="s">
        <v>196</v>
      </c>
      <c r="S10" s="90" t="s">
        <v>196</v>
      </c>
      <c r="T10" s="90"/>
      <c r="U10" s="90" t="s">
        <v>194</v>
      </c>
      <c r="V10" s="90" t="s">
        <v>195</v>
      </c>
      <c r="W10" s="90" t="s">
        <v>196</v>
      </c>
      <c r="X10" s="90" t="s">
        <v>195</v>
      </c>
      <c r="Y10" s="90" t="s">
        <v>195</v>
      </c>
      <c r="Z10" s="90" t="s">
        <v>197</v>
      </c>
      <c r="AA10" s="90" t="s">
        <v>196</v>
      </c>
      <c r="AB10" s="90" t="s">
        <v>196</v>
      </c>
      <c r="AC10" s="90" t="s">
        <v>196</v>
      </c>
      <c r="AD10" s="90" t="s">
        <v>196</v>
      </c>
      <c r="AE10" s="90" t="s">
        <v>198</v>
      </c>
      <c r="AF10" s="90" t="s">
        <v>198</v>
      </c>
      <c r="AG10" s="90" t="s">
        <v>198</v>
      </c>
      <c r="AH10" s="90" t="s">
        <v>198</v>
      </c>
      <c r="AI10" s="90" t="s">
        <v>194</v>
      </c>
      <c r="AJ10" s="90" t="s">
        <v>195</v>
      </c>
      <c r="AK10" s="90" t="s">
        <v>195</v>
      </c>
      <c r="AL10" s="90" t="s">
        <v>195</v>
      </c>
      <c r="AM10" s="90"/>
      <c r="AN10" s="90" t="s">
        <v>199</v>
      </c>
      <c r="AO10" s="90" t="s">
        <v>198</v>
      </c>
      <c r="AP10" s="90" t="s">
        <v>198</v>
      </c>
      <c r="AQ10" s="90" t="s">
        <v>198</v>
      </c>
      <c r="AR10" s="90" t="s">
        <v>198</v>
      </c>
      <c r="AS10" s="90" t="s">
        <v>198</v>
      </c>
      <c r="AT10" s="90" t="s">
        <v>198</v>
      </c>
      <c r="AU10" s="90" t="s">
        <v>198</v>
      </c>
      <c r="AV10" s="90" t="s">
        <v>198</v>
      </c>
      <c r="AW10" s="90" t="s">
        <v>198</v>
      </c>
      <c r="AX10" s="90" t="s">
        <v>198</v>
      </c>
      <c r="AY10" s="90"/>
      <c r="AZ10" s="90" t="s">
        <v>199</v>
      </c>
      <c r="BA10" s="90" t="s">
        <v>199</v>
      </c>
      <c r="BB10" s="90" t="s">
        <v>198</v>
      </c>
      <c r="BC10" s="90" t="s">
        <v>198</v>
      </c>
      <c r="BD10" s="90" t="s">
        <v>198</v>
      </c>
      <c r="BE10" s="90" t="s">
        <v>198</v>
      </c>
      <c r="BF10" s="90" t="s">
        <v>198</v>
      </c>
      <c r="BG10" s="90" t="s">
        <v>198</v>
      </c>
      <c r="BH10" s="90" t="s">
        <v>198</v>
      </c>
      <c r="BI10" s="90" t="s">
        <v>198</v>
      </c>
      <c r="BJ10" s="90" t="s">
        <v>198</v>
      </c>
      <c r="BK10" s="90" t="s">
        <v>198</v>
      </c>
      <c r="BL10" s="90" t="s">
        <v>198</v>
      </c>
      <c r="BM10" s="90" t="s">
        <v>198</v>
      </c>
      <c r="BN10" s="90" t="s">
        <v>198</v>
      </c>
      <c r="BO10" s="90" t="s">
        <v>198</v>
      </c>
      <c r="BP10" s="90" t="s">
        <v>198</v>
      </c>
      <c r="BQ10" s="90" t="s">
        <v>198</v>
      </c>
      <c r="BR10" s="90" t="s">
        <v>198</v>
      </c>
      <c r="BS10" s="90" t="s">
        <v>198</v>
      </c>
      <c r="BT10" s="90"/>
      <c r="BU10" s="90" t="s">
        <v>202</v>
      </c>
      <c r="BV10" s="90" t="s">
        <v>202</v>
      </c>
      <c r="BW10" s="90" t="s">
        <v>202</v>
      </c>
      <c r="BX10" s="90" t="s">
        <v>202</v>
      </c>
      <c r="BY10" s="90" t="s">
        <v>202</v>
      </c>
      <c r="BZ10" s="90" t="s">
        <v>202</v>
      </c>
      <c r="CA10" s="90" t="s">
        <v>202</v>
      </c>
      <c r="CB10" s="90"/>
      <c r="CC10" s="90" t="s">
        <v>206</v>
      </c>
      <c r="CD10" s="90"/>
      <c r="CE10" s="90" t="s">
        <v>194</v>
      </c>
      <c r="CF10" s="90"/>
      <c r="CG10" s="90"/>
      <c r="CH10" s="90"/>
      <c r="CI10" s="90" t="s">
        <v>199</v>
      </c>
      <c r="CJ10" s="90" t="s">
        <v>198</v>
      </c>
      <c r="CK10" s="90" t="s">
        <v>198</v>
      </c>
      <c r="CL10" s="90" t="s">
        <v>198</v>
      </c>
      <c r="CM10" s="90" t="s">
        <v>198</v>
      </c>
      <c r="CN10" s="90" t="s">
        <v>198</v>
      </c>
      <c r="CO10" s="90" t="s">
        <v>198</v>
      </c>
      <c r="CP10" s="90" t="s">
        <v>198</v>
      </c>
      <c r="CQ10" s="90" t="s">
        <v>198</v>
      </c>
      <c r="CR10" s="90" t="s">
        <v>198</v>
      </c>
      <c r="CS10" s="90" t="s">
        <v>198</v>
      </c>
      <c r="CT10" s="90" t="s">
        <v>198</v>
      </c>
      <c r="CU10" s="90" t="s">
        <v>198</v>
      </c>
      <c r="CV10" s="90" t="s">
        <v>198</v>
      </c>
      <c r="CW10" s="90" t="s">
        <v>198</v>
      </c>
      <c r="CX10" s="90" t="s">
        <v>198</v>
      </c>
      <c r="CY10" s="90" t="s">
        <v>198</v>
      </c>
      <c r="CZ10" s="90" t="s">
        <v>198</v>
      </c>
      <c r="DA10" s="90" t="s">
        <v>198</v>
      </c>
      <c r="DB10" s="90" t="s">
        <v>198</v>
      </c>
      <c r="DC10" s="90" t="s">
        <v>198</v>
      </c>
      <c r="DD10" s="90" t="s">
        <v>198</v>
      </c>
      <c r="DE10" s="90" t="s">
        <v>198</v>
      </c>
      <c r="DF10" s="90" t="s">
        <v>198</v>
      </c>
      <c r="DG10" s="90" t="s">
        <v>198</v>
      </c>
      <c r="DH10" s="90" t="s">
        <v>198</v>
      </c>
      <c r="DI10" s="90" t="s">
        <v>198</v>
      </c>
      <c r="DJ10" s="90" t="s">
        <v>198</v>
      </c>
      <c r="DK10" s="90"/>
      <c r="DL10" s="90" t="s">
        <v>199</v>
      </c>
      <c r="DM10" s="90" t="s">
        <v>198</v>
      </c>
      <c r="DN10" s="90" t="s">
        <v>198</v>
      </c>
      <c r="DO10" s="90" t="s">
        <v>198</v>
      </c>
      <c r="DP10" s="90" t="s">
        <v>198</v>
      </c>
      <c r="DQ10" s="90" t="s">
        <v>198</v>
      </c>
      <c r="DR10" s="90" t="s">
        <v>198</v>
      </c>
      <c r="DS10" s="90" t="s">
        <v>198</v>
      </c>
      <c r="DT10" s="90" t="s">
        <v>198</v>
      </c>
      <c r="DU10" s="90" t="s">
        <v>198</v>
      </c>
      <c r="DV10" s="90" t="s">
        <v>198</v>
      </c>
      <c r="DW10" s="90" t="s">
        <v>198</v>
      </c>
      <c r="DX10" s="90" t="s">
        <v>198</v>
      </c>
      <c r="DY10" s="90" t="s">
        <v>198</v>
      </c>
      <c r="DZ10" s="90" t="s">
        <v>198</v>
      </c>
      <c r="EA10" s="90"/>
      <c r="EB10" s="90" t="s">
        <v>194</v>
      </c>
      <c r="EC10" s="90" t="s">
        <v>195</v>
      </c>
      <c r="ED10" s="90" t="s">
        <v>195</v>
      </c>
      <c r="EE10" s="90" t="s">
        <v>196</v>
      </c>
      <c r="EF10" s="90" t="s">
        <v>195</v>
      </c>
      <c r="EG10" s="90" t="s">
        <v>195</v>
      </c>
      <c r="EH10" s="102" t="s">
        <v>30</v>
      </c>
    </row>
    <row r="11" spans="1:138" ht="23.25" customHeight="1" x14ac:dyDescent="0.25">
      <c r="A11" s="98" t="s">
        <v>17</v>
      </c>
      <c r="B11" s="99" t="s">
        <v>193</v>
      </c>
      <c r="C11" s="99" t="s">
        <v>199</v>
      </c>
      <c r="D11" s="99" t="s">
        <v>198</v>
      </c>
      <c r="E11" s="99" t="s">
        <v>198</v>
      </c>
      <c r="F11" s="99" t="s">
        <v>198</v>
      </c>
      <c r="G11" s="99" t="s">
        <v>198</v>
      </c>
      <c r="H11" s="99" t="s">
        <v>198</v>
      </c>
      <c r="I11" s="99" t="s">
        <v>198</v>
      </c>
      <c r="J11" s="99" t="s">
        <v>198</v>
      </c>
      <c r="K11" s="99" t="s">
        <v>198</v>
      </c>
      <c r="L11" s="99" t="s">
        <v>198</v>
      </c>
      <c r="M11" s="99" t="s">
        <v>198</v>
      </c>
      <c r="N11" s="99" t="s">
        <v>198</v>
      </c>
      <c r="O11" s="99" t="s">
        <v>198</v>
      </c>
      <c r="P11" s="99" t="s">
        <v>198</v>
      </c>
      <c r="Q11" s="99" t="s">
        <v>198</v>
      </c>
      <c r="R11" s="99" t="s">
        <v>198</v>
      </c>
      <c r="S11" s="99" t="s">
        <v>198</v>
      </c>
      <c r="T11" s="99"/>
      <c r="U11" s="99" t="s">
        <v>199</v>
      </c>
      <c r="V11" s="99" t="s">
        <v>198</v>
      </c>
      <c r="W11" s="99" t="s">
        <v>198</v>
      </c>
      <c r="X11" s="99" t="s">
        <v>198</v>
      </c>
      <c r="Y11" s="99" t="s">
        <v>198</v>
      </c>
      <c r="Z11" s="99" t="s">
        <v>197</v>
      </c>
      <c r="AA11" s="99" t="s">
        <v>198</v>
      </c>
      <c r="AB11" s="99" t="s">
        <v>198</v>
      </c>
      <c r="AC11" s="99" t="s">
        <v>198</v>
      </c>
      <c r="AD11" s="99" t="s">
        <v>198</v>
      </c>
      <c r="AE11" s="99" t="s">
        <v>198</v>
      </c>
      <c r="AF11" s="99" t="s">
        <v>198</v>
      </c>
      <c r="AG11" s="99" t="s">
        <v>198</v>
      </c>
      <c r="AH11" s="99" t="s">
        <v>198</v>
      </c>
      <c r="AI11" s="99" t="s">
        <v>199</v>
      </c>
      <c r="AJ11" s="99" t="s">
        <v>198</v>
      </c>
      <c r="AK11" s="99" t="s">
        <v>198</v>
      </c>
      <c r="AL11" s="99" t="s">
        <v>198</v>
      </c>
      <c r="AM11" s="99"/>
      <c r="AN11" s="99" t="s">
        <v>199</v>
      </c>
      <c r="AO11" s="99" t="s">
        <v>198</v>
      </c>
      <c r="AP11" s="99" t="s">
        <v>198</v>
      </c>
      <c r="AQ11" s="99" t="s">
        <v>198</v>
      </c>
      <c r="AR11" s="99" t="s">
        <v>198</v>
      </c>
      <c r="AS11" s="99" t="s">
        <v>198</v>
      </c>
      <c r="AT11" s="99" t="s">
        <v>198</v>
      </c>
      <c r="AU11" s="99" t="s">
        <v>198</v>
      </c>
      <c r="AV11" s="99" t="s">
        <v>198</v>
      </c>
      <c r="AW11" s="99" t="s">
        <v>198</v>
      </c>
      <c r="AX11" s="99" t="s">
        <v>198</v>
      </c>
      <c r="AY11" s="99"/>
      <c r="AZ11" s="99" t="s">
        <v>199</v>
      </c>
      <c r="BA11" s="99" t="s">
        <v>199</v>
      </c>
      <c r="BB11" s="99" t="s">
        <v>198</v>
      </c>
      <c r="BC11" s="99" t="s">
        <v>198</v>
      </c>
      <c r="BD11" s="99" t="s">
        <v>198</v>
      </c>
      <c r="BE11" s="99" t="s">
        <v>198</v>
      </c>
      <c r="BF11" s="99" t="s">
        <v>198</v>
      </c>
      <c r="BG11" s="99" t="s">
        <v>198</v>
      </c>
      <c r="BH11" s="99" t="s">
        <v>198</v>
      </c>
      <c r="BI11" s="99" t="s">
        <v>198</v>
      </c>
      <c r="BJ11" s="99" t="s">
        <v>198</v>
      </c>
      <c r="BK11" s="99" t="s">
        <v>198</v>
      </c>
      <c r="BL11" s="99" t="s">
        <v>198</v>
      </c>
      <c r="BM11" s="99" t="s">
        <v>198</v>
      </c>
      <c r="BN11" s="99" t="s">
        <v>198</v>
      </c>
      <c r="BO11" s="99" t="s">
        <v>198</v>
      </c>
      <c r="BP11" s="99" t="s">
        <v>198</v>
      </c>
      <c r="BQ11" s="99" t="s">
        <v>198</v>
      </c>
      <c r="BR11" s="99" t="s">
        <v>198</v>
      </c>
      <c r="BS11" s="99" t="s">
        <v>198</v>
      </c>
      <c r="BT11" s="99"/>
      <c r="BU11" s="99" t="s">
        <v>202</v>
      </c>
      <c r="BV11" s="99" t="s">
        <v>202</v>
      </c>
      <c r="BW11" s="99" t="s">
        <v>202</v>
      </c>
      <c r="BX11" s="99" t="s">
        <v>202</v>
      </c>
      <c r="BY11" s="99" t="s">
        <v>202</v>
      </c>
      <c r="BZ11" s="99" t="s">
        <v>202</v>
      </c>
      <c r="CA11" s="99" t="s">
        <v>202</v>
      </c>
      <c r="CB11" s="99"/>
      <c r="CC11" s="99" t="s">
        <v>203</v>
      </c>
      <c r="CD11" s="99"/>
      <c r="CE11" s="99" t="s">
        <v>199</v>
      </c>
      <c r="CF11" s="99"/>
      <c r="CG11" s="99"/>
      <c r="CH11" s="99"/>
      <c r="CI11" s="99" t="s">
        <v>199</v>
      </c>
      <c r="CJ11" s="99" t="s">
        <v>198</v>
      </c>
      <c r="CK11" s="99" t="s">
        <v>198</v>
      </c>
      <c r="CL11" s="99" t="s">
        <v>198</v>
      </c>
      <c r="CM11" s="99" t="s">
        <v>198</v>
      </c>
      <c r="CN11" s="99" t="s">
        <v>198</v>
      </c>
      <c r="CO11" s="99" t="s">
        <v>198</v>
      </c>
      <c r="CP11" s="99" t="s">
        <v>198</v>
      </c>
      <c r="CQ11" s="99" t="s">
        <v>198</v>
      </c>
      <c r="CR11" s="99" t="s">
        <v>198</v>
      </c>
      <c r="CS11" s="99" t="s">
        <v>198</v>
      </c>
      <c r="CT11" s="99" t="s">
        <v>198</v>
      </c>
      <c r="CU11" s="99" t="s">
        <v>198</v>
      </c>
      <c r="CV11" s="99" t="s">
        <v>198</v>
      </c>
      <c r="CW11" s="99" t="s">
        <v>198</v>
      </c>
      <c r="CX11" s="99" t="s">
        <v>198</v>
      </c>
      <c r="CY11" s="99" t="s">
        <v>198</v>
      </c>
      <c r="CZ11" s="99" t="s">
        <v>198</v>
      </c>
      <c r="DA11" s="99" t="s">
        <v>198</v>
      </c>
      <c r="DB11" s="99" t="s">
        <v>198</v>
      </c>
      <c r="DC11" s="99" t="s">
        <v>198</v>
      </c>
      <c r="DD11" s="99" t="s">
        <v>198</v>
      </c>
      <c r="DE11" s="99" t="s">
        <v>198</v>
      </c>
      <c r="DF11" s="99" t="s">
        <v>198</v>
      </c>
      <c r="DG11" s="99" t="s">
        <v>198</v>
      </c>
      <c r="DH11" s="99" t="s">
        <v>198</v>
      </c>
      <c r="DI11" s="99" t="s">
        <v>198</v>
      </c>
      <c r="DJ11" s="99" t="s">
        <v>198</v>
      </c>
      <c r="DK11" s="99"/>
      <c r="DL11" s="99" t="s">
        <v>199</v>
      </c>
      <c r="DM11" s="99" t="s">
        <v>198</v>
      </c>
      <c r="DN11" s="99" t="s">
        <v>198</v>
      </c>
      <c r="DO11" s="99" t="s">
        <v>198</v>
      </c>
      <c r="DP11" s="99" t="s">
        <v>198</v>
      </c>
      <c r="DQ11" s="99" t="s">
        <v>198</v>
      </c>
      <c r="DR11" s="99" t="s">
        <v>198</v>
      </c>
      <c r="DS11" s="99" t="s">
        <v>198</v>
      </c>
      <c r="DT11" s="99" t="s">
        <v>198</v>
      </c>
      <c r="DU11" s="99" t="s">
        <v>198</v>
      </c>
      <c r="DV11" s="99" t="s">
        <v>198</v>
      </c>
      <c r="DW11" s="99" t="s">
        <v>198</v>
      </c>
      <c r="DX11" s="99" t="s">
        <v>198</v>
      </c>
      <c r="DY11" s="99" t="s">
        <v>198</v>
      </c>
      <c r="DZ11" s="99" t="s">
        <v>198</v>
      </c>
      <c r="EA11" s="99"/>
      <c r="EB11" s="99" t="s">
        <v>199</v>
      </c>
      <c r="EC11" s="99" t="s">
        <v>198</v>
      </c>
      <c r="ED11" s="99" t="s">
        <v>198</v>
      </c>
      <c r="EE11" s="99" t="s">
        <v>198</v>
      </c>
      <c r="EF11" s="99" t="s">
        <v>198</v>
      </c>
      <c r="EG11" s="99" t="s">
        <v>198</v>
      </c>
      <c r="EH11" s="100" t="s">
        <v>198</v>
      </c>
    </row>
    <row r="12" spans="1:138" ht="23.25" customHeight="1" x14ac:dyDescent="0.25">
      <c r="A12" s="98" t="s">
        <v>17</v>
      </c>
      <c r="B12" s="99" t="s">
        <v>193</v>
      </c>
      <c r="C12" s="99" t="s">
        <v>194</v>
      </c>
      <c r="D12" s="99" t="s">
        <v>30</v>
      </c>
      <c r="E12" s="99" t="s">
        <v>204</v>
      </c>
      <c r="F12" s="99" t="s">
        <v>195</v>
      </c>
      <c r="G12" s="99" t="s">
        <v>30</v>
      </c>
      <c r="H12" s="99" t="s">
        <v>204</v>
      </c>
      <c r="I12" s="99" t="s">
        <v>30</v>
      </c>
      <c r="J12" s="99" t="s">
        <v>30</v>
      </c>
      <c r="K12" s="99" t="s">
        <v>195</v>
      </c>
      <c r="L12" s="99" t="s">
        <v>30</v>
      </c>
      <c r="M12" s="99" t="s">
        <v>195</v>
      </c>
      <c r="N12" s="99" t="s">
        <v>30</v>
      </c>
      <c r="O12" s="99" t="s">
        <v>195</v>
      </c>
      <c r="P12" s="99" t="s">
        <v>195</v>
      </c>
      <c r="Q12" s="99" t="s">
        <v>204</v>
      </c>
      <c r="R12" s="99" t="s">
        <v>207</v>
      </c>
      <c r="S12" s="99" t="s">
        <v>195</v>
      </c>
      <c r="T12" s="99"/>
      <c r="U12" s="99" t="s">
        <v>194</v>
      </c>
      <c r="V12" s="99" t="s">
        <v>195</v>
      </c>
      <c r="W12" s="99" t="s">
        <v>30</v>
      </c>
      <c r="X12" s="99" t="s">
        <v>30</v>
      </c>
      <c r="Y12" s="99" t="s">
        <v>196</v>
      </c>
      <c r="Z12" s="99" t="s">
        <v>197</v>
      </c>
      <c r="AA12" s="99" t="s">
        <v>30</v>
      </c>
      <c r="AB12" s="99" t="s">
        <v>195</v>
      </c>
      <c r="AC12" s="99" t="s">
        <v>30</v>
      </c>
      <c r="AD12" s="99" t="s">
        <v>30</v>
      </c>
      <c r="AE12" s="99" t="s">
        <v>198</v>
      </c>
      <c r="AF12" s="99" t="s">
        <v>198</v>
      </c>
      <c r="AG12" s="99" t="s">
        <v>198</v>
      </c>
      <c r="AH12" s="99" t="s">
        <v>198</v>
      </c>
      <c r="AI12" s="99" t="s">
        <v>194</v>
      </c>
      <c r="AJ12" s="99" t="s">
        <v>195</v>
      </c>
      <c r="AK12" s="99" t="s">
        <v>30</v>
      </c>
      <c r="AL12" s="99" t="s">
        <v>195</v>
      </c>
      <c r="AM12" s="99"/>
      <c r="AN12" s="99" t="s">
        <v>199</v>
      </c>
      <c r="AO12" s="99" t="s">
        <v>198</v>
      </c>
      <c r="AP12" s="99" t="s">
        <v>198</v>
      </c>
      <c r="AQ12" s="99" t="s">
        <v>198</v>
      </c>
      <c r="AR12" s="99" t="s">
        <v>198</v>
      </c>
      <c r="AS12" s="99" t="s">
        <v>198</v>
      </c>
      <c r="AT12" s="99" t="s">
        <v>198</v>
      </c>
      <c r="AU12" s="99" t="s">
        <v>198</v>
      </c>
      <c r="AV12" s="99" t="s">
        <v>198</v>
      </c>
      <c r="AW12" s="99" t="s">
        <v>198</v>
      </c>
      <c r="AX12" s="99" t="s">
        <v>198</v>
      </c>
      <c r="AY12" s="99"/>
      <c r="AZ12" s="99" t="s">
        <v>194</v>
      </c>
      <c r="BA12" s="99" t="s">
        <v>194</v>
      </c>
      <c r="BB12" s="99" t="s">
        <v>30</v>
      </c>
      <c r="BC12" s="99" t="s">
        <v>195</v>
      </c>
      <c r="BD12" s="99" t="s">
        <v>30</v>
      </c>
      <c r="BE12" s="99" t="s">
        <v>30</v>
      </c>
      <c r="BF12" s="99" t="s">
        <v>30</v>
      </c>
      <c r="BG12" s="99" t="s">
        <v>30</v>
      </c>
      <c r="BH12" s="99" t="s">
        <v>30</v>
      </c>
      <c r="BI12" s="99" t="s">
        <v>195</v>
      </c>
      <c r="BJ12" s="99" t="s">
        <v>30</v>
      </c>
      <c r="BK12" s="99" t="s">
        <v>195</v>
      </c>
      <c r="BL12" s="99" t="s">
        <v>196</v>
      </c>
      <c r="BM12" s="99" t="s">
        <v>196</v>
      </c>
      <c r="BN12" s="99" t="s">
        <v>30</v>
      </c>
      <c r="BO12" s="99" t="s">
        <v>204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198</v>
      </c>
      <c r="BV12" s="99" t="s">
        <v>198</v>
      </c>
      <c r="BW12" s="99" t="s">
        <v>198</v>
      </c>
      <c r="BX12" s="99" t="s">
        <v>198</v>
      </c>
      <c r="BY12" s="99" t="s">
        <v>198</v>
      </c>
      <c r="BZ12" s="99" t="s">
        <v>198</v>
      </c>
      <c r="CA12" s="99" t="s">
        <v>195</v>
      </c>
      <c r="CB12" s="99"/>
      <c r="CC12" s="99" t="s">
        <v>200</v>
      </c>
      <c r="CD12" s="99"/>
      <c r="CE12" s="99" t="s">
        <v>194</v>
      </c>
      <c r="CF12" s="99"/>
      <c r="CG12" s="99"/>
      <c r="CH12" s="99"/>
      <c r="CI12" s="99" t="s">
        <v>194</v>
      </c>
      <c r="CJ12" s="99" t="s">
        <v>195</v>
      </c>
      <c r="CK12" s="99" t="s">
        <v>196</v>
      </c>
      <c r="CL12" s="99" t="s">
        <v>195</v>
      </c>
      <c r="CM12" s="99" t="s">
        <v>30</v>
      </c>
      <c r="CN12" s="99" t="s">
        <v>30</v>
      </c>
      <c r="CO12" s="99" t="s">
        <v>30</v>
      </c>
      <c r="CP12" s="99" t="s">
        <v>195</v>
      </c>
      <c r="CQ12" s="99" t="s">
        <v>30</v>
      </c>
      <c r="CR12" s="99" t="s">
        <v>30</v>
      </c>
      <c r="CS12" s="99" t="s">
        <v>195</v>
      </c>
      <c r="CT12" s="99" t="s">
        <v>195</v>
      </c>
      <c r="CU12" s="99" t="s">
        <v>195</v>
      </c>
      <c r="CV12" s="99" t="s">
        <v>30</v>
      </c>
      <c r="CW12" s="99" t="s">
        <v>195</v>
      </c>
      <c r="CX12" s="99" t="s">
        <v>30</v>
      </c>
      <c r="CY12" s="99" t="s">
        <v>195</v>
      </c>
      <c r="CZ12" s="99" t="s">
        <v>195</v>
      </c>
      <c r="DA12" s="99" t="s">
        <v>195</v>
      </c>
      <c r="DB12" s="99" t="s">
        <v>30</v>
      </c>
      <c r="DC12" s="99" t="s">
        <v>30</v>
      </c>
      <c r="DD12" s="99" t="s">
        <v>30</v>
      </c>
      <c r="DE12" s="99" t="s">
        <v>30</v>
      </c>
      <c r="DF12" s="99" t="s">
        <v>30</v>
      </c>
      <c r="DG12" s="99" t="s">
        <v>30</v>
      </c>
      <c r="DH12" s="99" t="s">
        <v>204</v>
      </c>
      <c r="DI12" s="99" t="s">
        <v>195</v>
      </c>
      <c r="DJ12" s="99" t="s">
        <v>30</v>
      </c>
      <c r="DK12" s="99"/>
      <c r="DL12" s="99" t="s">
        <v>199</v>
      </c>
      <c r="DM12" s="99" t="s">
        <v>198</v>
      </c>
      <c r="DN12" s="99" t="s">
        <v>198</v>
      </c>
      <c r="DO12" s="99" t="s">
        <v>198</v>
      </c>
      <c r="DP12" s="99" t="s">
        <v>198</v>
      </c>
      <c r="DQ12" s="99" t="s">
        <v>198</v>
      </c>
      <c r="DR12" s="99" t="s">
        <v>198</v>
      </c>
      <c r="DS12" s="99" t="s">
        <v>198</v>
      </c>
      <c r="DT12" s="99" t="s">
        <v>198</v>
      </c>
      <c r="DU12" s="99" t="s">
        <v>198</v>
      </c>
      <c r="DV12" s="99" t="s">
        <v>198</v>
      </c>
      <c r="DW12" s="99" t="s">
        <v>198</v>
      </c>
      <c r="DX12" s="99" t="s">
        <v>198</v>
      </c>
      <c r="DY12" s="99" t="s">
        <v>198</v>
      </c>
      <c r="DZ12" s="99" t="s">
        <v>198</v>
      </c>
      <c r="EA12" s="99"/>
      <c r="EB12" s="99" t="s">
        <v>199</v>
      </c>
      <c r="EC12" s="99" t="s">
        <v>198</v>
      </c>
      <c r="ED12" s="99" t="s">
        <v>198</v>
      </c>
      <c r="EE12" s="99" t="s">
        <v>198</v>
      </c>
      <c r="EF12" s="99" t="s">
        <v>198</v>
      </c>
      <c r="EG12" s="99" t="s">
        <v>198</v>
      </c>
      <c r="EH12" s="100" t="s">
        <v>198</v>
      </c>
    </row>
    <row r="13" spans="1:138" ht="23.25" customHeight="1" x14ac:dyDescent="0.25">
      <c r="A13" s="98" t="s">
        <v>17</v>
      </c>
      <c r="B13" s="99" t="s">
        <v>193</v>
      </c>
      <c r="C13" s="99" t="s">
        <v>194</v>
      </c>
      <c r="D13" s="99" t="s">
        <v>195</v>
      </c>
      <c r="E13" s="99" t="s">
        <v>195</v>
      </c>
      <c r="F13" s="99" t="s">
        <v>196</v>
      </c>
      <c r="G13" s="99" t="s">
        <v>196</v>
      </c>
      <c r="H13" s="99" t="s">
        <v>196</v>
      </c>
      <c r="I13" s="99" t="s">
        <v>196</v>
      </c>
      <c r="J13" s="99" t="s">
        <v>195</v>
      </c>
      <c r="K13" s="99" t="s">
        <v>196</v>
      </c>
      <c r="L13" s="99" t="s">
        <v>195</v>
      </c>
      <c r="M13" s="99" t="s">
        <v>195</v>
      </c>
      <c r="N13" s="99" t="s">
        <v>196</v>
      </c>
      <c r="O13" s="99" t="s">
        <v>195</v>
      </c>
      <c r="P13" s="99" t="s">
        <v>196</v>
      </c>
      <c r="Q13" s="99" t="s">
        <v>195</v>
      </c>
      <c r="R13" s="99" t="s">
        <v>195</v>
      </c>
      <c r="S13" s="99" t="s">
        <v>196</v>
      </c>
      <c r="T13" s="99"/>
      <c r="U13" s="99" t="s">
        <v>194</v>
      </c>
      <c r="V13" s="99" t="s">
        <v>196</v>
      </c>
      <c r="W13" s="99" t="s">
        <v>196</v>
      </c>
      <c r="X13" s="99" t="s">
        <v>196</v>
      </c>
      <c r="Y13" s="99" t="s">
        <v>196</v>
      </c>
      <c r="Z13" s="99" t="s">
        <v>197</v>
      </c>
      <c r="AA13" s="99" t="s">
        <v>196</v>
      </c>
      <c r="AB13" s="99" t="s">
        <v>195</v>
      </c>
      <c r="AC13" s="99" t="s">
        <v>195</v>
      </c>
      <c r="AD13" s="99" t="s">
        <v>195</v>
      </c>
      <c r="AE13" s="99" t="s">
        <v>198</v>
      </c>
      <c r="AF13" s="99" t="s">
        <v>198</v>
      </c>
      <c r="AG13" s="99" t="s">
        <v>198</v>
      </c>
      <c r="AH13" s="99" t="s">
        <v>198</v>
      </c>
      <c r="AI13" s="99" t="s">
        <v>194</v>
      </c>
      <c r="AJ13" s="99" t="s">
        <v>195</v>
      </c>
      <c r="AK13" s="99" t="s">
        <v>195</v>
      </c>
      <c r="AL13" s="99" t="s">
        <v>195</v>
      </c>
      <c r="AM13" s="99"/>
      <c r="AN13" s="99" t="s">
        <v>199</v>
      </c>
      <c r="AO13" s="99" t="s">
        <v>198</v>
      </c>
      <c r="AP13" s="99" t="s">
        <v>198</v>
      </c>
      <c r="AQ13" s="99" t="s">
        <v>198</v>
      </c>
      <c r="AR13" s="99" t="s">
        <v>198</v>
      </c>
      <c r="AS13" s="99" t="s">
        <v>198</v>
      </c>
      <c r="AT13" s="99" t="s">
        <v>198</v>
      </c>
      <c r="AU13" s="99" t="s">
        <v>198</v>
      </c>
      <c r="AV13" s="99" t="s">
        <v>198</v>
      </c>
      <c r="AW13" s="99" t="s">
        <v>198</v>
      </c>
      <c r="AX13" s="99" t="s">
        <v>198</v>
      </c>
      <c r="AY13" s="99"/>
      <c r="AZ13" s="99" t="s">
        <v>194</v>
      </c>
      <c r="BA13" s="99" t="s">
        <v>199</v>
      </c>
      <c r="BB13" s="99" t="s">
        <v>198</v>
      </c>
      <c r="BC13" s="99" t="s">
        <v>195</v>
      </c>
      <c r="BD13" s="99" t="s">
        <v>195</v>
      </c>
      <c r="BE13" s="99" t="s">
        <v>195</v>
      </c>
      <c r="BF13" s="99" t="s">
        <v>195</v>
      </c>
      <c r="BG13" s="99" t="s">
        <v>195</v>
      </c>
      <c r="BH13" s="99" t="s">
        <v>195</v>
      </c>
      <c r="BI13" s="99" t="s">
        <v>195</v>
      </c>
      <c r="BJ13" s="99" t="s">
        <v>195</v>
      </c>
      <c r="BK13" s="99" t="s">
        <v>195</v>
      </c>
      <c r="BL13" s="99" t="s">
        <v>196</v>
      </c>
      <c r="BM13" s="99" t="s">
        <v>195</v>
      </c>
      <c r="BN13" s="99" t="s">
        <v>195</v>
      </c>
      <c r="BO13" s="99" t="s">
        <v>195</v>
      </c>
      <c r="BP13" s="99" t="s">
        <v>195</v>
      </c>
      <c r="BQ13" s="99" t="s">
        <v>195</v>
      </c>
      <c r="BR13" s="99" t="s">
        <v>195</v>
      </c>
      <c r="BS13" s="99" t="s">
        <v>195</v>
      </c>
      <c r="BT13" s="99"/>
      <c r="BU13" s="99" t="s">
        <v>196</v>
      </c>
      <c r="BV13" s="99" t="s">
        <v>195</v>
      </c>
      <c r="BW13" s="99" t="s">
        <v>195</v>
      </c>
      <c r="BX13" s="99" t="s">
        <v>195</v>
      </c>
      <c r="BY13" s="99" t="s">
        <v>195</v>
      </c>
      <c r="BZ13" s="99" t="s">
        <v>195</v>
      </c>
      <c r="CA13" s="99" t="s">
        <v>196</v>
      </c>
      <c r="CB13" s="99"/>
      <c r="CC13" s="99" t="s">
        <v>206</v>
      </c>
      <c r="CD13" s="99"/>
      <c r="CE13" s="99" t="s">
        <v>194</v>
      </c>
      <c r="CF13" s="99"/>
      <c r="CG13" s="99"/>
      <c r="CH13" s="99"/>
      <c r="CI13" s="99" t="s">
        <v>194</v>
      </c>
      <c r="CJ13" s="99" t="s">
        <v>195</v>
      </c>
      <c r="CK13" s="99" t="s">
        <v>196</v>
      </c>
      <c r="CL13" s="99" t="s">
        <v>196</v>
      </c>
      <c r="CM13" s="99" t="s">
        <v>195</v>
      </c>
      <c r="CN13" s="99" t="s">
        <v>195</v>
      </c>
      <c r="CO13" s="99" t="s">
        <v>195</v>
      </c>
      <c r="CP13" s="99" t="s">
        <v>196</v>
      </c>
      <c r="CQ13" s="99" t="s">
        <v>196</v>
      </c>
      <c r="CR13" s="99" t="s">
        <v>196</v>
      </c>
      <c r="CS13" s="99" t="s">
        <v>195</v>
      </c>
      <c r="CT13" s="99" t="s">
        <v>195</v>
      </c>
      <c r="CU13" s="99" t="s">
        <v>195</v>
      </c>
      <c r="CV13" s="99" t="s">
        <v>195</v>
      </c>
      <c r="CW13" s="99" t="s">
        <v>195</v>
      </c>
      <c r="CX13" s="99" t="s">
        <v>195</v>
      </c>
      <c r="CY13" s="99" t="s">
        <v>195</v>
      </c>
      <c r="CZ13" s="99" t="s">
        <v>195</v>
      </c>
      <c r="DA13" s="99" t="s">
        <v>195</v>
      </c>
      <c r="DB13" s="99" t="s">
        <v>196</v>
      </c>
      <c r="DC13" s="99" t="s">
        <v>195</v>
      </c>
      <c r="DD13" s="99" t="s">
        <v>195</v>
      </c>
      <c r="DE13" s="99" t="s">
        <v>196</v>
      </c>
      <c r="DF13" s="99" t="s">
        <v>196</v>
      </c>
      <c r="DG13" s="99" t="s">
        <v>196</v>
      </c>
      <c r="DH13" s="99" t="s">
        <v>195</v>
      </c>
      <c r="DI13" s="99" t="s">
        <v>195</v>
      </c>
      <c r="DJ13" s="99" t="s">
        <v>195</v>
      </c>
      <c r="DK13" s="99"/>
      <c r="DL13" s="99" t="s">
        <v>199</v>
      </c>
      <c r="DM13" s="99" t="s">
        <v>198</v>
      </c>
      <c r="DN13" s="99" t="s">
        <v>198</v>
      </c>
      <c r="DO13" s="99" t="s">
        <v>198</v>
      </c>
      <c r="DP13" s="99" t="s">
        <v>198</v>
      </c>
      <c r="DQ13" s="99" t="s">
        <v>198</v>
      </c>
      <c r="DR13" s="99" t="s">
        <v>198</v>
      </c>
      <c r="DS13" s="99" t="s">
        <v>198</v>
      </c>
      <c r="DT13" s="99" t="s">
        <v>198</v>
      </c>
      <c r="DU13" s="99" t="s">
        <v>198</v>
      </c>
      <c r="DV13" s="99" t="s">
        <v>198</v>
      </c>
      <c r="DW13" s="99" t="s">
        <v>198</v>
      </c>
      <c r="DX13" s="99" t="s">
        <v>198</v>
      </c>
      <c r="DY13" s="99" t="s">
        <v>198</v>
      </c>
      <c r="DZ13" s="99" t="s">
        <v>198</v>
      </c>
      <c r="EA13" s="99"/>
      <c r="EB13" s="99" t="s">
        <v>199</v>
      </c>
      <c r="EC13" s="99" t="s">
        <v>198</v>
      </c>
      <c r="ED13" s="99" t="s">
        <v>198</v>
      </c>
      <c r="EE13" s="99" t="s">
        <v>198</v>
      </c>
      <c r="EF13" s="99" t="s">
        <v>198</v>
      </c>
      <c r="EG13" s="99" t="s">
        <v>198</v>
      </c>
      <c r="EH13" s="100" t="s">
        <v>198</v>
      </c>
    </row>
    <row r="14" spans="1:138" ht="23.25" customHeight="1" x14ac:dyDescent="0.25">
      <c r="A14" s="98" t="s">
        <v>17</v>
      </c>
      <c r="B14" s="99" t="s">
        <v>193</v>
      </c>
      <c r="C14" s="99" t="s">
        <v>194</v>
      </c>
      <c r="D14" s="99" t="s">
        <v>196</v>
      </c>
      <c r="E14" s="99" t="s">
        <v>196</v>
      </c>
      <c r="F14" s="99" t="s">
        <v>196</v>
      </c>
      <c r="G14" s="99" t="s">
        <v>196</v>
      </c>
      <c r="H14" s="99" t="s">
        <v>196</v>
      </c>
      <c r="I14" s="99" t="s">
        <v>196</v>
      </c>
      <c r="J14" s="99" t="s">
        <v>196</v>
      </c>
      <c r="K14" s="99" t="s">
        <v>196</v>
      </c>
      <c r="L14" s="99" t="s">
        <v>196</v>
      </c>
      <c r="M14" s="99" t="s">
        <v>195</v>
      </c>
      <c r="N14" s="99" t="s">
        <v>195</v>
      </c>
      <c r="O14" s="99" t="s">
        <v>195</v>
      </c>
      <c r="P14" s="99" t="s">
        <v>196</v>
      </c>
      <c r="Q14" s="99" t="s">
        <v>196</v>
      </c>
      <c r="R14" s="99" t="s">
        <v>196</v>
      </c>
      <c r="S14" s="99" t="s">
        <v>196</v>
      </c>
      <c r="T14" s="99"/>
      <c r="U14" s="99" t="s">
        <v>194</v>
      </c>
      <c r="V14" s="99" t="s">
        <v>196</v>
      </c>
      <c r="W14" s="99" t="s">
        <v>196</v>
      </c>
      <c r="X14" s="99" t="s">
        <v>196</v>
      </c>
      <c r="Y14" s="99" t="s">
        <v>196</v>
      </c>
      <c r="Z14" s="99" t="s">
        <v>197</v>
      </c>
      <c r="AA14" s="99" t="s">
        <v>196</v>
      </c>
      <c r="AB14" s="99" t="s">
        <v>196</v>
      </c>
      <c r="AC14" s="99" t="s">
        <v>196</v>
      </c>
      <c r="AD14" s="99" t="s">
        <v>196</v>
      </c>
      <c r="AE14" s="99" t="s">
        <v>198</v>
      </c>
      <c r="AF14" s="99" t="s">
        <v>198</v>
      </c>
      <c r="AG14" s="99" t="s">
        <v>198</v>
      </c>
      <c r="AH14" s="99" t="s">
        <v>198</v>
      </c>
      <c r="AI14" s="99" t="s">
        <v>194</v>
      </c>
      <c r="AJ14" s="99" t="s">
        <v>196</v>
      </c>
      <c r="AK14" s="99" t="s">
        <v>196</v>
      </c>
      <c r="AL14" s="99" t="s">
        <v>196</v>
      </c>
      <c r="AM14" s="99"/>
      <c r="AN14" s="99" t="s">
        <v>194</v>
      </c>
      <c r="AO14" s="99" t="s">
        <v>196</v>
      </c>
      <c r="AP14" s="99" t="s">
        <v>196</v>
      </c>
      <c r="AQ14" s="99" t="s">
        <v>196</v>
      </c>
      <c r="AR14" s="99" t="s">
        <v>196</v>
      </c>
      <c r="AS14" s="99" t="s">
        <v>195</v>
      </c>
      <c r="AT14" s="99" t="s">
        <v>196</v>
      </c>
      <c r="AU14" s="99" t="s">
        <v>196</v>
      </c>
      <c r="AV14" s="99" t="s">
        <v>196</v>
      </c>
      <c r="AW14" s="99" t="s">
        <v>196</v>
      </c>
      <c r="AX14" s="99" t="s">
        <v>196</v>
      </c>
      <c r="AY14" s="99"/>
      <c r="AZ14" s="99" t="s">
        <v>199</v>
      </c>
      <c r="BA14" s="99" t="s">
        <v>199</v>
      </c>
      <c r="BB14" s="99" t="s">
        <v>198</v>
      </c>
      <c r="BC14" s="99" t="s">
        <v>198</v>
      </c>
      <c r="BD14" s="99" t="s">
        <v>198</v>
      </c>
      <c r="BE14" s="99" t="s">
        <v>198</v>
      </c>
      <c r="BF14" s="99" t="s">
        <v>198</v>
      </c>
      <c r="BG14" s="99" t="s">
        <v>198</v>
      </c>
      <c r="BH14" s="99" t="s">
        <v>198</v>
      </c>
      <c r="BI14" s="99" t="s">
        <v>198</v>
      </c>
      <c r="BJ14" s="99" t="s">
        <v>198</v>
      </c>
      <c r="BK14" s="99" t="s">
        <v>198</v>
      </c>
      <c r="BL14" s="99" t="s">
        <v>198</v>
      </c>
      <c r="BM14" s="99" t="s">
        <v>198</v>
      </c>
      <c r="BN14" s="99" t="s">
        <v>198</v>
      </c>
      <c r="BO14" s="99" t="s">
        <v>198</v>
      </c>
      <c r="BP14" s="99" t="s">
        <v>198</v>
      </c>
      <c r="BQ14" s="99" t="s">
        <v>198</v>
      </c>
      <c r="BR14" s="99" t="s">
        <v>198</v>
      </c>
      <c r="BS14" s="99" t="s">
        <v>198</v>
      </c>
      <c r="BT14" s="99"/>
      <c r="BU14" s="99" t="s">
        <v>202</v>
      </c>
      <c r="BV14" s="99" t="s">
        <v>202</v>
      </c>
      <c r="BW14" s="99" t="s">
        <v>202</v>
      </c>
      <c r="BX14" s="99" t="s">
        <v>202</v>
      </c>
      <c r="BY14" s="99" t="s">
        <v>202</v>
      </c>
      <c r="BZ14" s="99" t="s">
        <v>202</v>
      </c>
      <c r="CA14" s="99" t="s">
        <v>202</v>
      </c>
      <c r="CB14" s="99"/>
      <c r="CC14" s="99" t="s">
        <v>206</v>
      </c>
      <c r="CD14" s="99"/>
      <c r="CE14" s="99" t="s">
        <v>194</v>
      </c>
      <c r="CF14" s="99"/>
      <c r="CG14" s="99"/>
      <c r="CH14" s="99"/>
      <c r="CI14" s="99" t="s">
        <v>194</v>
      </c>
      <c r="CJ14" s="99" t="s">
        <v>196</v>
      </c>
      <c r="CK14" s="99" t="s">
        <v>196</v>
      </c>
      <c r="CL14" s="99" t="s">
        <v>196</v>
      </c>
      <c r="CM14" s="99" t="s">
        <v>195</v>
      </c>
      <c r="CN14" s="99" t="s">
        <v>201</v>
      </c>
      <c r="CO14" s="99" t="s">
        <v>196</v>
      </c>
      <c r="CP14" s="99" t="s">
        <v>196</v>
      </c>
      <c r="CQ14" s="99" t="s">
        <v>196</v>
      </c>
      <c r="CR14" s="99" t="s">
        <v>195</v>
      </c>
      <c r="CS14" s="99" t="s">
        <v>196</v>
      </c>
      <c r="CT14" s="99" t="s">
        <v>196</v>
      </c>
      <c r="CU14" s="99" t="s">
        <v>196</v>
      </c>
      <c r="CV14" s="99" t="s">
        <v>195</v>
      </c>
      <c r="CW14" s="99" t="s">
        <v>196</v>
      </c>
      <c r="CX14" s="99" t="s">
        <v>196</v>
      </c>
      <c r="CY14" s="99" t="s">
        <v>196</v>
      </c>
      <c r="CZ14" s="99" t="s">
        <v>196</v>
      </c>
      <c r="DA14" s="99" t="s">
        <v>196</v>
      </c>
      <c r="DB14" s="99" t="s">
        <v>196</v>
      </c>
      <c r="DC14" s="99" t="s">
        <v>196</v>
      </c>
      <c r="DD14" s="99" t="s">
        <v>196</v>
      </c>
      <c r="DE14" s="99" t="s">
        <v>196</v>
      </c>
      <c r="DF14" s="99" t="s">
        <v>196</v>
      </c>
      <c r="DG14" s="99" t="s">
        <v>196</v>
      </c>
      <c r="DH14" s="99" t="s">
        <v>195</v>
      </c>
      <c r="DI14" s="99" t="s">
        <v>195</v>
      </c>
      <c r="DJ14" s="99" t="s">
        <v>196</v>
      </c>
      <c r="DK14" s="99"/>
      <c r="DL14" s="99" t="s">
        <v>199</v>
      </c>
      <c r="DM14" s="99" t="s">
        <v>198</v>
      </c>
      <c r="DN14" s="99" t="s">
        <v>198</v>
      </c>
      <c r="DO14" s="99" t="s">
        <v>198</v>
      </c>
      <c r="DP14" s="99" t="s">
        <v>198</v>
      </c>
      <c r="DQ14" s="99" t="s">
        <v>198</v>
      </c>
      <c r="DR14" s="99" t="s">
        <v>198</v>
      </c>
      <c r="DS14" s="99" t="s">
        <v>198</v>
      </c>
      <c r="DT14" s="99" t="s">
        <v>198</v>
      </c>
      <c r="DU14" s="99" t="s">
        <v>198</v>
      </c>
      <c r="DV14" s="99" t="s">
        <v>198</v>
      </c>
      <c r="DW14" s="99" t="s">
        <v>198</v>
      </c>
      <c r="DX14" s="99" t="s">
        <v>198</v>
      </c>
      <c r="DY14" s="99" t="s">
        <v>198</v>
      </c>
      <c r="DZ14" s="99" t="s">
        <v>198</v>
      </c>
      <c r="EA14" s="99"/>
      <c r="EB14" s="99" t="s">
        <v>199</v>
      </c>
      <c r="EC14" s="99" t="s">
        <v>198</v>
      </c>
      <c r="ED14" s="99" t="s">
        <v>198</v>
      </c>
      <c r="EE14" s="99" t="s">
        <v>198</v>
      </c>
      <c r="EF14" s="99" t="s">
        <v>198</v>
      </c>
      <c r="EG14" s="99" t="s">
        <v>198</v>
      </c>
      <c r="EH14" s="100" t="s">
        <v>198</v>
      </c>
    </row>
    <row r="15" spans="1:138" ht="23.25" customHeight="1" x14ac:dyDescent="0.25">
      <c r="A15" s="98" t="s">
        <v>17</v>
      </c>
      <c r="B15" s="99" t="s">
        <v>193</v>
      </c>
      <c r="C15" s="99" t="s">
        <v>194</v>
      </c>
      <c r="D15" s="99" t="s">
        <v>30</v>
      </c>
      <c r="E15" s="99" t="s">
        <v>30</v>
      </c>
      <c r="F15" s="99" t="s">
        <v>204</v>
      </c>
      <c r="G15" s="99" t="s">
        <v>201</v>
      </c>
      <c r="H15" s="99" t="s">
        <v>204</v>
      </c>
      <c r="I15" s="99" t="s">
        <v>30</v>
      </c>
      <c r="J15" s="99" t="s">
        <v>30</v>
      </c>
      <c r="K15" s="99" t="s">
        <v>30</v>
      </c>
      <c r="L15" s="99" t="s">
        <v>30</v>
      </c>
      <c r="M15" s="99" t="s">
        <v>30</v>
      </c>
      <c r="N15" s="99" t="s">
        <v>30</v>
      </c>
      <c r="O15" s="99" t="s">
        <v>30</v>
      </c>
      <c r="P15" s="99" t="s">
        <v>195</v>
      </c>
      <c r="Q15" s="99" t="s">
        <v>30</v>
      </c>
      <c r="R15" s="99" t="s">
        <v>201</v>
      </c>
      <c r="S15" s="99" t="s">
        <v>195</v>
      </c>
      <c r="T15" s="99"/>
      <c r="U15" s="99" t="s">
        <v>194</v>
      </c>
      <c r="V15" s="99" t="s">
        <v>30</v>
      </c>
      <c r="W15" s="99" t="s">
        <v>196</v>
      </c>
      <c r="X15" s="99" t="s">
        <v>195</v>
      </c>
      <c r="Y15" s="99" t="s">
        <v>195</v>
      </c>
      <c r="Z15" s="99" t="s">
        <v>197</v>
      </c>
      <c r="AA15" s="99" t="s">
        <v>195</v>
      </c>
      <c r="AB15" s="99" t="s">
        <v>195</v>
      </c>
      <c r="AC15" s="99" t="s">
        <v>195</v>
      </c>
      <c r="AD15" s="99" t="s">
        <v>195</v>
      </c>
      <c r="AE15" s="99" t="s">
        <v>198</v>
      </c>
      <c r="AF15" s="99" t="s">
        <v>198</v>
      </c>
      <c r="AG15" s="99" t="s">
        <v>198</v>
      </c>
      <c r="AH15" s="99" t="s">
        <v>198</v>
      </c>
      <c r="AI15" s="99" t="s">
        <v>194</v>
      </c>
      <c r="AJ15" s="99" t="s">
        <v>196</v>
      </c>
      <c r="AK15" s="99" t="s">
        <v>30</v>
      </c>
      <c r="AL15" s="99" t="s">
        <v>30</v>
      </c>
      <c r="AM15" s="99"/>
      <c r="AN15" s="99" t="s">
        <v>199</v>
      </c>
      <c r="AO15" s="99" t="s">
        <v>198</v>
      </c>
      <c r="AP15" s="99" t="s">
        <v>198</v>
      </c>
      <c r="AQ15" s="99" t="s">
        <v>198</v>
      </c>
      <c r="AR15" s="99" t="s">
        <v>198</v>
      </c>
      <c r="AS15" s="99" t="s">
        <v>198</v>
      </c>
      <c r="AT15" s="99" t="s">
        <v>198</v>
      </c>
      <c r="AU15" s="99" t="s">
        <v>198</v>
      </c>
      <c r="AV15" s="99" t="s">
        <v>198</v>
      </c>
      <c r="AW15" s="99" t="s">
        <v>198</v>
      </c>
      <c r="AX15" s="99" t="s">
        <v>198</v>
      </c>
      <c r="AY15" s="99"/>
      <c r="AZ15" s="99" t="s">
        <v>199</v>
      </c>
      <c r="BA15" s="99" t="s">
        <v>199</v>
      </c>
      <c r="BB15" s="99" t="s">
        <v>198</v>
      </c>
      <c r="BC15" s="99" t="s">
        <v>198</v>
      </c>
      <c r="BD15" s="99" t="s">
        <v>198</v>
      </c>
      <c r="BE15" s="99" t="s">
        <v>198</v>
      </c>
      <c r="BF15" s="99" t="s">
        <v>198</v>
      </c>
      <c r="BG15" s="99" t="s">
        <v>198</v>
      </c>
      <c r="BH15" s="99" t="s">
        <v>198</v>
      </c>
      <c r="BI15" s="99" t="s">
        <v>198</v>
      </c>
      <c r="BJ15" s="99" t="s">
        <v>198</v>
      </c>
      <c r="BK15" s="99" t="s">
        <v>198</v>
      </c>
      <c r="BL15" s="99" t="s">
        <v>198</v>
      </c>
      <c r="BM15" s="99" t="s">
        <v>198</v>
      </c>
      <c r="BN15" s="99" t="s">
        <v>198</v>
      </c>
      <c r="BO15" s="99" t="s">
        <v>198</v>
      </c>
      <c r="BP15" s="99" t="s">
        <v>198</v>
      </c>
      <c r="BQ15" s="99" t="s">
        <v>198</v>
      </c>
      <c r="BR15" s="99" t="s">
        <v>198</v>
      </c>
      <c r="BS15" s="99" t="s">
        <v>198</v>
      </c>
      <c r="BT15" s="99"/>
      <c r="BU15" s="99" t="s">
        <v>202</v>
      </c>
      <c r="BV15" s="99" t="s">
        <v>202</v>
      </c>
      <c r="BW15" s="99" t="s">
        <v>202</v>
      </c>
      <c r="BX15" s="99" t="s">
        <v>202</v>
      </c>
      <c r="BY15" s="99" t="s">
        <v>202</v>
      </c>
      <c r="BZ15" s="99" t="s">
        <v>202</v>
      </c>
      <c r="CA15" s="99" t="s">
        <v>202</v>
      </c>
      <c r="CB15" s="99"/>
      <c r="CC15" s="99" t="s">
        <v>200</v>
      </c>
      <c r="CD15" s="99"/>
      <c r="CE15" s="99" t="s">
        <v>194</v>
      </c>
      <c r="CF15" s="99"/>
      <c r="CG15" s="99"/>
      <c r="CH15" s="99"/>
      <c r="CI15" s="99" t="s">
        <v>194</v>
      </c>
      <c r="CJ15" s="99" t="s">
        <v>195</v>
      </c>
      <c r="CK15" s="99" t="s">
        <v>195</v>
      </c>
      <c r="CL15" s="99" t="s">
        <v>195</v>
      </c>
      <c r="CM15" s="99" t="s">
        <v>195</v>
      </c>
      <c r="CN15" s="99" t="s">
        <v>195</v>
      </c>
      <c r="CO15" s="99" t="s">
        <v>30</v>
      </c>
      <c r="CP15" s="99" t="s">
        <v>195</v>
      </c>
      <c r="CQ15" s="99" t="s">
        <v>201</v>
      </c>
      <c r="CR15" s="99" t="s">
        <v>204</v>
      </c>
      <c r="CS15" s="99" t="s">
        <v>196</v>
      </c>
      <c r="CT15" s="99" t="s">
        <v>196</v>
      </c>
      <c r="CU15" s="99" t="s">
        <v>196</v>
      </c>
      <c r="CV15" s="99" t="s">
        <v>196</v>
      </c>
      <c r="CW15" s="99" t="s">
        <v>196</v>
      </c>
      <c r="CX15" s="99" t="s">
        <v>196</v>
      </c>
      <c r="CY15" s="99" t="s">
        <v>196</v>
      </c>
      <c r="CZ15" s="99" t="s">
        <v>196</v>
      </c>
      <c r="DA15" s="99" t="s">
        <v>196</v>
      </c>
      <c r="DB15" s="99" t="s">
        <v>196</v>
      </c>
      <c r="DC15" s="99" t="s">
        <v>196</v>
      </c>
      <c r="DD15" s="99" t="s">
        <v>196</v>
      </c>
      <c r="DE15" s="99" t="s">
        <v>196</v>
      </c>
      <c r="DF15" s="99" t="s">
        <v>196</v>
      </c>
      <c r="DG15" s="99" t="s">
        <v>195</v>
      </c>
      <c r="DH15" s="99" t="s">
        <v>196</v>
      </c>
      <c r="DI15" s="99" t="s">
        <v>195</v>
      </c>
      <c r="DJ15" s="99" t="s">
        <v>195</v>
      </c>
      <c r="DK15" s="99"/>
      <c r="DL15" s="99" t="s">
        <v>194</v>
      </c>
      <c r="DM15" s="99" t="s">
        <v>195</v>
      </c>
      <c r="DN15" s="99" t="s">
        <v>195</v>
      </c>
      <c r="DO15" s="99" t="s">
        <v>201</v>
      </c>
      <c r="DP15" s="99" t="s">
        <v>195</v>
      </c>
      <c r="DQ15" s="99" t="s">
        <v>196</v>
      </c>
      <c r="DR15" s="99" t="s">
        <v>201</v>
      </c>
      <c r="DS15" s="99" t="s">
        <v>201</v>
      </c>
      <c r="DT15" s="99" t="s">
        <v>196</v>
      </c>
      <c r="DU15" s="99" t="s">
        <v>196</v>
      </c>
      <c r="DV15" s="99" t="s">
        <v>196</v>
      </c>
      <c r="DW15" s="99" t="s">
        <v>196</v>
      </c>
      <c r="DX15" s="99" t="s">
        <v>196</v>
      </c>
      <c r="DY15" s="99" t="s">
        <v>196</v>
      </c>
      <c r="DZ15" s="99" t="s">
        <v>196</v>
      </c>
      <c r="EA15" s="99"/>
      <c r="EB15" s="99" t="s">
        <v>199</v>
      </c>
      <c r="EC15" s="99" t="s">
        <v>198</v>
      </c>
      <c r="ED15" s="99" t="s">
        <v>198</v>
      </c>
      <c r="EE15" s="99" t="s">
        <v>198</v>
      </c>
      <c r="EF15" s="99" t="s">
        <v>198</v>
      </c>
      <c r="EG15" s="99" t="s">
        <v>198</v>
      </c>
      <c r="EH15" s="100" t="s">
        <v>198</v>
      </c>
    </row>
    <row r="16" spans="1:138" ht="23.25" customHeight="1" x14ac:dyDescent="0.25">
      <c r="A16" s="101" t="s">
        <v>17</v>
      </c>
      <c r="B16" s="90" t="s">
        <v>193</v>
      </c>
      <c r="C16" s="90" t="s">
        <v>194</v>
      </c>
      <c r="D16" s="90" t="s">
        <v>195</v>
      </c>
      <c r="E16" s="90" t="s">
        <v>195</v>
      </c>
      <c r="F16" s="90" t="s">
        <v>195</v>
      </c>
      <c r="G16" s="90" t="s">
        <v>195</v>
      </c>
      <c r="H16" s="90" t="s">
        <v>201</v>
      </c>
      <c r="I16" s="90" t="s">
        <v>195</v>
      </c>
      <c r="J16" s="90" t="s">
        <v>30</v>
      </c>
      <c r="K16" s="90" t="s">
        <v>195</v>
      </c>
      <c r="L16" s="90" t="s">
        <v>201</v>
      </c>
      <c r="M16" s="90" t="s">
        <v>201</v>
      </c>
      <c r="N16" s="90" t="s">
        <v>201</v>
      </c>
      <c r="O16" s="90" t="s">
        <v>195</v>
      </c>
      <c r="P16" s="90" t="s">
        <v>30</v>
      </c>
      <c r="Q16" s="90" t="s">
        <v>30</v>
      </c>
      <c r="R16" s="90" t="s">
        <v>195</v>
      </c>
      <c r="S16" s="90" t="s">
        <v>30</v>
      </c>
      <c r="T16" s="90"/>
      <c r="U16" s="90" t="s">
        <v>199</v>
      </c>
      <c r="V16" s="90" t="s">
        <v>198</v>
      </c>
      <c r="W16" s="90" t="s">
        <v>198</v>
      </c>
      <c r="X16" s="90" t="s">
        <v>198</v>
      </c>
      <c r="Y16" s="90" t="s">
        <v>198</v>
      </c>
      <c r="Z16" s="90" t="s">
        <v>197</v>
      </c>
      <c r="AA16" s="90" t="s">
        <v>198</v>
      </c>
      <c r="AB16" s="90" t="s">
        <v>198</v>
      </c>
      <c r="AC16" s="90" t="s">
        <v>198</v>
      </c>
      <c r="AD16" s="90" t="s">
        <v>198</v>
      </c>
      <c r="AE16" s="90" t="s">
        <v>198</v>
      </c>
      <c r="AF16" s="90" t="s">
        <v>198</v>
      </c>
      <c r="AG16" s="90" t="s">
        <v>198</v>
      </c>
      <c r="AH16" s="90" t="s">
        <v>198</v>
      </c>
      <c r="AI16" s="90" t="s">
        <v>199</v>
      </c>
      <c r="AJ16" s="90" t="s">
        <v>198</v>
      </c>
      <c r="AK16" s="90" t="s">
        <v>198</v>
      </c>
      <c r="AL16" s="90" t="s">
        <v>198</v>
      </c>
      <c r="AM16" s="90"/>
      <c r="AN16" s="90" t="s">
        <v>199</v>
      </c>
      <c r="AO16" s="90" t="s">
        <v>198</v>
      </c>
      <c r="AP16" s="90" t="s">
        <v>198</v>
      </c>
      <c r="AQ16" s="90" t="s">
        <v>198</v>
      </c>
      <c r="AR16" s="90" t="s">
        <v>198</v>
      </c>
      <c r="AS16" s="90" t="s">
        <v>198</v>
      </c>
      <c r="AT16" s="90" t="s">
        <v>198</v>
      </c>
      <c r="AU16" s="90" t="s">
        <v>198</v>
      </c>
      <c r="AV16" s="90" t="s">
        <v>198</v>
      </c>
      <c r="AW16" s="90" t="s">
        <v>198</v>
      </c>
      <c r="AX16" s="90" t="s">
        <v>198</v>
      </c>
      <c r="AY16" s="90"/>
      <c r="AZ16" s="90" t="s">
        <v>194</v>
      </c>
      <c r="BA16" s="90" t="s">
        <v>194</v>
      </c>
      <c r="BB16" s="90" t="s">
        <v>30</v>
      </c>
      <c r="BC16" s="90" t="s">
        <v>195</v>
      </c>
      <c r="BD16" s="90" t="s">
        <v>196</v>
      </c>
      <c r="BE16" s="90" t="s">
        <v>195</v>
      </c>
      <c r="BF16" s="90" t="s">
        <v>195</v>
      </c>
      <c r="BG16" s="90" t="s">
        <v>196</v>
      </c>
      <c r="BH16" s="90" t="s">
        <v>196</v>
      </c>
      <c r="BI16" s="90" t="s">
        <v>195</v>
      </c>
      <c r="BJ16" s="90" t="s">
        <v>195</v>
      </c>
      <c r="BK16" s="90" t="s">
        <v>195</v>
      </c>
      <c r="BL16" s="90" t="s">
        <v>196</v>
      </c>
      <c r="BM16" s="90" t="s">
        <v>196</v>
      </c>
      <c r="BN16" s="90" t="s">
        <v>196</v>
      </c>
      <c r="BO16" s="90" t="s">
        <v>195</v>
      </c>
      <c r="BP16" s="90" t="s">
        <v>196</v>
      </c>
      <c r="BQ16" s="90" t="s">
        <v>195</v>
      </c>
      <c r="BR16" s="90" t="s">
        <v>196</v>
      </c>
      <c r="BS16" s="90" t="s">
        <v>195</v>
      </c>
      <c r="BT16" s="90"/>
      <c r="BU16" s="90" t="s">
        <v>202</v>
      </c>
      <c r="BV16" s="90" t="s">
        <v>202</v>
      </c>
      <c r="BW16" s="90" t="s">
        <v>202</v>
      </c>
      <c r="BX16" s="90" t="s">
        <v>202</v>
      </c>
      <c r="BY16" s="90" t="s">
        <v>202</v>
      </c>
      <c r="BZ16" s="90" t="s">
        <v>202</v>
      </c>
      <c r="CA16" s="90" t="s">
        <v>202</v>
      </c>
      <c r="CB16" s="90"/>
      <c r="CC16" s="90" t="s">
        <v>206</v>
      </c>
      <c r="CD16" s="90"/>
      <c r="CE16" s="90" t="s">
        <v>194</v>
      </c>
      <c r="CF16" s="90"/>
      <c r="CG16" s="90"/>
      <c r="CH16" s="90"/>
      <c r="CI16" s="90" t="s">
        <v>199</v>
      </c>
      <c r="CJ16" s="90" t="s">
        <v>198</v>
      </c>
      <c r="CK16" s="90" t="s">
        <v>198</v>
      </c>
      <c r="CL16" s="90" t="s">
        <v>198</v>
      </c>
      <c r="CM16" s="90" t="s">
        <v>198</v>
      </c>
      <c r="CN16" s="90" t="s">
        <v>198</v>
      </c>
      <c r="CO16" s="90" t="s">
        <v>198</v>
      </c>
      <c r="CP16" s="90" t="s">
        <v>198</v>
      </c>
      <c r="CQ16" s="90" t="s">
        <v>198</v>
      </c>
      <c r="CR16" s="90" t="s">
        <v>198</v>
      </c>
      <c r="CS16" s="90" t="s">
        <v>198</v>
      </c>
      <c r="CT16" s="90" t="s">
        <v>198</v>
      </c>
      <c r="CU16" s="90" t="s">
        <v>198</v>
      </c>
      <c r="CV16" s="90" t="s">
        <v>198</v>
      </c>
      <c r="CW16" s="90" t="s">
        <v>198</v>
      </c>
      <c r="CX16" s="90" t="s">
        <v>198</v>
      </c>
      <c r="CY16" s="90" t="s">
        <v>198</v>
      </c>
      <c r="CZ16" s="90" t="s">
        <v>198</v>
      </c>
      <c r="DA16" s="90" t="s">
        <v>198</v>
      </c>
      <c r="DB16" s="90" t="s">
        <v>198</v>
      </c>
      <c r="DC16" s="90" t="s">
        <v>198</v>
      </c>
      <c r="DD16" s="90" t="s">
        <v>198</v>
      </c>
      <c r="DE16" s="90" t="s">
        <v>198</v>
      </c>
      <c r="DF16" s="90" t="s">
        <v>198</v>
      </c>
      <c r="DG16" s="90" t="s">
        <v>198</v>
      </c>
      <c r="DH16" s="90" t="s">
        <v>198</v>
      </c>
      <c r="DI16" s="90" t="s">
        <v>198</v>
      </c>
      <c r="DJ16" s="90" t="s">
        <v>198</v>
      </c>
      <c r="DK16" s="90"/>
      <c r="DL16" s="90" t="s">
        <v>199</v>
      </c>
      <c r="DM16" s="90" t="s">
        <v>198</v>
      </c>
      <c r="DN16" s="90" t="s">
        <v>198</v>
      </c>
      <c r="DO16" s="90" t="s">
        <v>198</v>
      </c>
      <c r="DP16" s="90" t="s">
        <v>198</v>
      </c>
      <c r="DQ16" s="90" t="s">
        <v>198</v>
      </c>
      <c r="DR16" s="90" t="s">
        <v>198</v>
      </c>
      <c r="DS16" s="90" t="s">
        <v>198</v>
      </c>
      <c r="DT16" s="90" t="s">
        <v>198</v>
      </c>
      <c r="DU16" s="90" t="s">
        <v>198</v>
      </c>
      <c r="DV16" s="90" t="s">
        <v>198</v>
      </c>
      <c r="DW16" s="90" t="s">
        <v>198</v>
      </c>
      <c r="DX16" s="90" t="s">
        <v>198</v>
      </c>
      <c r="DY16" s="90" t="s">
        <v>198</v>
      </c>
      <c r="DZ16" s="90" t="s">
        <v>198</v>
      </c>
      <c r="EA16" s="90"/>
      <c r="EB16" s="90" t="s">
        <v>199</v>
      </c>
      <c r="EC16" s="90" t="s">
        <v>198</v>
      </c>
      <c r="ED16" s="90" t="s">
        <v>198</v>
      </c>
      <c r="EE16" s="90" t="s">
        <v>198</v>
      </c>
      <c r="EF16" s="90" t="s">
        <v>198</v>
      </c>
      <c r="EG16" s="90" t="s">
        <v>198</v>
      </c>
      <c r="EH16" s="102" t="s">
        <v>198</v>
      </c>
    </row>
    <row r="17" spans="1:138" ht="23.25" customHeight="1" x14ac:dyDescent="0.25">
      <c r="A17" s="101" t="s">
        <v>17</v>
      </c>
      <c r="B17" s="90" t="s">
        <v>193</v>
      </c>
      <c r="C17" s="90" t="s">
        <v>194</v>
      </c>
      <c r="D17" s="90" t="s">
        <v>30</v>
      </c>
      <c r="E17" s="90" t="s">
        <v>30</v>
      </c>
      <c r="F17" s="90" t="s">
        <v>195</v>
      </c>
      <c r="G17" s="90" t="s">
        <v>195</v>
      </c>
      <c r="H17" s="90" t="s">
        <v>196</v>
      </c>
      <c r="I17" s="90" t="s">
        <v>195</v>
      </c>
      <c r="J17" s="90" t="s">
        <v>195</v>
      </c>
      <c r="K17" s="90" t="s">
        <v>204</v>
      </c>
      <c r="L17" s="90" t="s">
        <v>204</v>
      </c>
      <c r="M17" s="90" t="s">
        <v>30</v>
      </c>
      <c r="N17" s="90" t="s">
        <v>30</v>
      </c>
      <c r="O17" s="90" t="s">
        <v>195</v>
      </c>
      <c r="P17" s="90" t="s">
        <v>196</v>
      </c>
      <c r="Q17" s="90" t="s">
        <v>196</v>
      </c>
      <c r="R17" s="90" t="s">
        <v>196</v>
      </c>
      <c r="S17" s="90" t="s">
        <v>195</v>
      </c>
      <c r="T17" s="90"/>
      <c r="U17" s="90" t="s">
        <v>199</v>
      </c>
      <c r="V17" s="90" t="s">
        <v>198</v>
      </c>
      <c r="W17" s="90" t="s">
        <v>198</v>
      </c>
      <c r="X17" s="90" t="s">
        <v>198</v>
      </c>
      <c r="Y17" s="90" t="s">
        <v>198</v>
      </c>
      <c r="Z17" s="90" t="s">
        <v>197</v>
      </c>
      <c r="AA17" s="90" t="s">
        <v>198</v>
      </c>
      <c r="AB17" s="90" t="s">
        <v>198</v>
      </c>
      <c r="AC17" s="90" t="s">
        <v>198</v>
      </c>
      <c r="AD17" s="90" t="s">
        <v>198</v>
      </c>
      <c r="AE17" s="90" t="s">
        <v>198</v>
      </c>
      <c r="AF17" s="90" t="s">
        <v>198</v>
      </c>
      <c r="AG17" s="90" t="s">
        <v>198</v>
      </c>
      <c r="AH17" s="90" t="s">
        <v>198</v>
      </c>
      <c r="AI17" s="90" t="s">
        <v>199</v>
      </c>
      <c r="AJ17" s="90" t="s">
        <v>198</v>
      </c>
      <c r="AK17" s="90" t="s">
        <v>198</v>
      </c>
      <c r="AL17" s="90" t="s">
        <v>198</v>
      </c>
      <c r="AM17" s="90"/>
      <c r="AN17" s="90" t="s">
        <v>199</v>
      </c>
      <c r="AO17" s="90" t="s">
        <v>198</v>
      </c>
      <c r="AP17" s="90" t="s">
        <v>198</v>
      </c>
      <c r="AQ17" s="90" t="s">
        <v>198</v>
      </c>
      <c r="AR17" s="90" t="s">
        <v>198</v>
      </c>
      <c r="AS17" s="90" t="s">
        <v>198</v>
      </c>
      <c r="AT17" s="90" t="s">
        <v>198</v>
      </c>
      <c r="AU17" s="90" t="s">
        <v>198</v>
      </c>
      <c r="AV17" s="90" t="s">
        <v>198</v>
      </c>
      <c r="AW17" s="90" t="s">
        <v>198</v>
      </c>
      <c r="AX17" s="90" t="s">
        <v>198</v>
      </c>
      <c r="AY17" s="90"/>
      <c r="AZ17" s="90" t="s">
        <v>194</v>
      </c>
      <c r="BA17" s="90" t="s">
        <v>194</v>
      </c>
      <c r="BB17" s="90" t="s">
        <v>195</v>
      </c>
      <c r="BC17" s="90" t="s">
        <v>195</v>
      </c>
      <c r="BD17" s="90" t="s">
        <v>30</v>
      </c>
      <c r="BE17" s="90" t="s">
        <v>201</v>
      </c>
      <c r="BF17" s="90" t="s">
        <v>195</v>
      </c>
      <c r="BG17" s="90" t="s">
        <v>30</v>
      </c>
      <c r="BH17" s="90" t="s">
        <v>195</v>
      </c>
      <c r="BI17" s="90" t="s">
        <v>195</v>
      </c>
      <c r="BJ17" s="90" t="s">
        <v>30</v>
      </c>
      <c r="BK17" s="90" t="s">
        <v>195</v>
      </c>
      <c r="BL17" s="90" t="s">
        <v>30</v>
      </c>
      <c r="BM17" s="90" t="s">
        <v>195</v>
      </c>
      <c r="BN17" s="90" t="s">
        <v>195</v>
      </c>
      <c r="BO17" s="90" t="s">
        <v>195</v>
      </c>
      <c r="BP17" s="90" t="s">
        <v>30</v>
      </c>
      <c r="BQ17" s="90" t="s">
        <v>195</v>
      </c>
      <c r="BR17" s="90" t="s">
        <v>30</v>
      </c>
      <c r="BS17" s="90" t="s">
        <v>195</v>
      </c>
      <c r="BT17" s="90"/>
      <c r="BU17" s="90" t="s">
        <v>202</v>
      </c>
      <c r="BV17" s="90" t="s">
        <v>202</v>
      </c>
      <c r="BW17" s="90" t="s">
        <v>202</v>
      </c>
      <c r="BX17" s="90" t="s">
        <v>202</v>
      </c>
      <c r="BY17" s="90" t="s">
        <v>202</v>
      </c>
      <c r="BZ17" s="90" t="s">
        <v>202</v>
      </c>
      <c r="CA17" s="90" t="s">
        <v>202</v>
      </c>
      <c r="CB17" s="90"/>
      <c r="CC17" s="90" t="s">
        <v>206</v>
      </c>
      <c r="CD17" s="90"/>
      <c r="CE17" s="90" t="s">
        <v>194</v>
      </c>
      <c r="CF17" s="90"/>
      <c r="CG17" s="90"/>
      <c r="CH17" s="90"/>
      <c r="CI17" s="90" t="s">
        <v>199</v>
      </c>
      <c r="CJ17" s="90" t="s">
        <v>198</v>
      </c>
      <c r="CK17" s="90" t="s">
        <v>198</v>
      </c>
      <c r="CL17" s="90" t="s">
        <v>198</v>
      </c>
      <c r="CM17" s="90" t="s">
        <v>198</v>
      </c>
      <c r="CN17" s="90" t="s">
        <v>198</v>
      </c>
      <c r="CO17" s="90" t="s">
        <v>198</v>
      </c>
      <c r="CP17" s="90" t="s">
        <v>198</v>
      </c>
      <c r="CQ17" s="90" t="s">
        <v>198</v>
      </c>
      <c r="CR17" s="90" t="s">
        <v>198</v>
      </c>
      <c r="CS17" s="90" t="s">
        <v>198</v>
      </c>
      <c r="CT17" s="90" t="s">
        <v>198</v>
      </c>
      <c r="CU17" s="90" t="s">
        <v>198</v>
      </c>
      <c r="CV17" s="90" t="s">
        <v>198</v>
      </c>
      <c r="CW17" s="90" t="s">
        <v>198</v>
      </c>
      <c r="CX17" s="90" t="s">
        <v>198</v>
      </c>
      <c r="CY17" s="90" t="s">
        <v>198</v>
      </c>
      <c r="CZ17" s="90" t="s">
        <v>198</v>
      </c>
      <c r="DA17" s="90" t="s">
        <v>198</v>
      </c>
      <c r="DB17" s="90" t="s">
        <v>198</v>
      </c>
      <c r="DC17" s="90" t="s">
        <v>198</v>
      </c>
      <c r="DD17" s="90" t="s">
        <v>198</v>
      </c>
      <c r="DE17" s="90" t="s">
        <v>198</v>
      </c>
      <c r="DF17" s="90" t="s">
        <v>198</v>
      </c>
      <c r="DG17" s="90" t="s">
        <v>198</v>
      </c>
      <c r="DH17" s="90" t="s">
        <v>198</v>
      </c>
      <c r="DI17" s="90" t="s">
        <v>198</v>
      </c>
      <c r="DJ17" s="90" t="s">
        <v>198</v>
      </c>
      <c r="DK17" s="90"/>
      <c r="DL17" s="90" t="s">
        <v>199</v>
      </c>
      <c r="DM17" s="90" t="s">
        <v>198</v>
      </c>
      <c r="DN17" s="90" t="s">
        <v>198</v>
      </c>
      <c r="DO17" s="90" t="s">
        <v>198</v>
      </c>
      <c r="DP17" s="90" t="s">
        <v>198</v>
      </c>
      <c r="DQ17" s="90" t="s">
        <v>198</v>
      </c>
      <c r="DR17" s="90" t="s">
        <v>198</v>
      </c>
      <c r="DS17" s="90" t="s">
        <v>198</v>
      </c>
      <c r="DT17" s="90" t="s">
        <v>198</v>
      </c>
      <c r="DU17" s="90" t="s">
        <v>198</v>
      </c>
      <c r="DV17" s="90" t="s">
        <v>198</v>
      </c>
      <c r="DW17" s="90" t="s">
        <v>198</v>
      </c>
      <c r="DX17" s="90" t="s">
        <v>198</v>
      </c>
      <c r="DY17" s="90" t="s">
        <v>198</v>
      </c>
      <c r="DZ17" s="90" t="s">
        <v>198</v>
      </c>
      <c r="EA17" s="90"/>
      <c r="EB17" s="90" t="s">
        <v>199</v>
      </c>
      <c r="EC17" s="90" t="s">
        <v>198</v>
      </c>
      <c r="ED17" s="90" t="s">
        <v>198</v>
      </c>
      <c r="EE17" s="90" t="s">
        <v>198</v>
      </c>
      <c r="EF17" s="90" t="s">
        <v>198</v>
      </c>
      <c r="EG17" s="90" t="s">
        <v>198</v>
      </c>
      <c r="EH17" s="102" t="s">
        <v>198</v>
      </c>
    </row>
    <row r="18" spans="1:138" ht="23.25" customHeight="1" x14ac:dyDescent="0.25">
      <c r="A18" s="98" t="s">
        <v>17</v>
      </c>
      <c r="B18" s="99" t="s">
        <v>193</v>
      </c>
      <c r="C18" s="99" t="s">
        <v>194</v>
      </c>
      <c r="D18" s="99" t="s">
        <v>30</v>
      </c>
      <c r="E18" s="99" t="s">
        <v>204</v>
      </c>
      <c r="F18" s="99" t="s">
        <v>204</v>
      </c>
      <c r="G18" s="99" t="s">
        <v>204</v>
      </c>
      <c r="H18" s="99" t="s">
        <v>30</v>
      </c>
      <c r="I18" s="99" t="s">
        <v>30</v>
      </c>
      <c r="J18" s="99" t="s">
        <v>30</v>
      </c>
      <c r="K18" s="99" t="s">
        <v>30</v>
      </c>
      <c r="L18" s="99" t="s">
        <v>30</v>
      </c>
      <c r="M18" s="99" t="s">
        <v>30</v>
      </c>
      <c r="N18" s="99" t="s">
        <v>30</v>
      </c>
      <c r="O18" s="99" t="s">
        <v>30</v>
      </c>
      <c r="P18" s="99" t="s">
        <v>195</v>
      </c>
      <c r="Q18" s="99" t="s">
        <v>30</v>
      </c>
      <c r="R18" s="99" t="s">
        <v>195</v>
      </c>
      <c r="S18" s="99" t="s">
        <v>195</v>
      </c>
      <c r="T18" s="99"/>
      <c r="U18" s="99" t="s">
        <v>194</v>
      </c>
      <c r="V18" s="99" t="s">
        <v>30</v>
      </c>
      <c r="W18" s="99" t="s">
        <v>30</v>
      </c>
      <c r="X18" s="99" t="s">
        <v>30</v>
      </c>
      <c r="Y18" s="99" t="s">
        <v>30</v>
      </c>
      <c r="Z18" s="99" t="s">
        <v>197</v>
      </c>
      <c r="AA18" s="99" t="s">
        <v>30</v>
      </c>
      <c r="AB18" s="99" t="s">
        <v>30</v>
      </c>
      <c r="AC18" s="99" t="s">
        <v>30</v>
      </c>
      <c r="AD18" s="99" t="s">
        <v>30</v>
      </c>
      <c r="AE18" s="99" t="s">
        <v>198</v>
      </c>
      <c r="AF18" s="99" t="s">
        <v>198</v>
      </c>
      <c r="AG18" s="99" t="s">
        <v>198</v>
      </c>
      <c r="AH18" s="99" t="s">
        <v>198</v>
      </c>
      <c r="AI18" s="99" t="s">
        <v>194</v>
      </c>
      <c r="AJ18" s="99" t="s">
        <v>30</v>
      </c>
      <c r="AK18" s="99" t="s">
        <v>30</v>
      </c>
      <c r="AL18" s="99" t="s">
        <v>30</v>
      </c>
      <c r="AM18" s="99"/>
      <c r="AN18" s="99" t="s">
        <v>194</v>
      </c>
      <c r="AO18" s="99" t="s">
        <v>30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199</v>
      </c>
      <c r="BA18" s="99" t="s">
        <v>199</v>
      </c>
      <c r="BB18" s="99" t="s">
        <v>198</v>
      </c>
      <c r="BC18" s="99" t="s">
        <v>198</v>
      </c>
      <c r="BD18" s="99" t="s">
        <v>198</v>
      </c>
      <c r="BE18" s="99" t="s">
        <v>198</v>
      </c>
      <c r="BF18" s="99" t="s">
        <v>198</v>
      </c>
      <c r="BG18" s="99" t="s">
        <v>198</v>
      </c>
      <c r="BH18" s="99" t="s">
        <v>198</v>
      </c>
      <c r="BI18" s="99" t="s">
        <v>198</v>
      </c>
      <c r="BJ18" s="99" t="s">
        <v>198</v>
      </c>
      <c r="BK18" s="99" t="s">
        <v>198</v>
      </c>
      <c r="BL18" s="99" t="s">
        <v>198</v>
      </c>
      <c r="BM18" s="99" t="s">
        <v>198</v>
      </c>
      <c r="BN18" s="99" t="s">
        <v>198</v>
      </c>
      <c r="BO18" s="99" t="s">
        <v>198</v>
      </c>
      <c r="BP18" s="99" t="s">
        <v>198</v>
      </c>
      <c r="BQ18" s="99" t="s">
        <v>198</v>
      </c>
      <c r="BR18" s="99" t="s">
        <v>198</v>
      </c>
      <c r="BS18" s="99" t="s">
        <v>198</v>
      </c>
      <c r="BT18" s="99"/>
      <c r="BU18" s="99" t="s">
        <v>202</v>
      </c>
      <c r="BV18" s="99" t="s">
        <v>202</v>
      </c>
      <c r="BW18" s="99" t="s">
        <v>202</v>
      </c>
      <c r="BX18" s="99" t="s">
        <v>202</v>
      </c>
      <c r="BY18" s="99" t="s">
        <v>202</v>
      </c>
      <c r="BZ18" s="99" t="s">
        <v>202</v>
      </c>
      <c r="CA18" s="99" t="s">
        <v>202</v>
      </c>
      <c r="CB18" s="99"/>
      <c r="CC18" s="99" t="s">
        <v>200</v>
      </c>
      <c r="CD18" s="99"/>
      <c r="CE18" s="99" t="s">
        <v>194</v>
      </c>
      <c r="CF18" s="99"/>
      <c r="CG18" s="99"/>
      <c r="CH18" s="99"/>
      <c r="CI18" s="99" t="s">
        <v>199</v>
      </c>
      <c r="CJ18" s="99" t="s">
        <v>198</v>
      </c>
      <c r="CK18" s="99" t="s">
        <v>198</v>
      </c>
      <c r="CL18" s="99" t="s">
        <v>198</v>
      </c>
      <c r="CM18" s="99" t="s">
        <v>198</v>
      </c>
      <c r="CN18" s="99" t="s">
        <v>198</v>
      </c>
      <c r="CO18" s="99" t="s">
        <v>198</v>
      </c>
      <c r="CP18" s="99" t="s">
        <v>198</v>
      </c>
      <c r="CQ18" s="99" t="s">
        <v>198</v>
      </c>
      <c r="CR18" s="99" t="s">
        <v>198</v>
      </c>
      <c r="CS18" s="99" t="s">
        <v>198</v>
      </c>
      <c r="CT18" s="99" t="s">
        <v>198</v>
      </c>
      <c r="CU18" s="99" t="s">
        <v>198</v>
      </c>
      <c r="CV18" s="99" t="s">
        <v>198</v>
      </c>
      <c r="CW18" s="99" t="s">
        <v>198</v>
      </c>
      <c r="CX18" s="99" t="s">
        <v>198</v>
      </c>
      <c r="CY18" s="99" t="s">
        <v>198</v>
      </c>
      <c r="CZ18" s="99" t="s">
        <v>198</v>
      </c>
      <c r="DA18" s="99" t="s">
        <v>198</v>
      </c>
      <c r="DB18" s="99" t="s">
        <v>198</v>
      </c>
      <c r="DC18" s="99" t="s">
        <v>198</v>
      </c>
      <c r="DD18" s="99" t="s">
        <v>198</v>
      </c>
      <c r="DE18" s="99" t="s">
        <v>198</v>
      </c>
      <c r="DF18" s="99" t="s">
        <v>198</v>
      </c>
      <c r="DG18" s="99" t="s">
        <v>198</v>
      </c>
      <c r="DH18" s="99" t="s">
        <v>198</v>
      </c>
      <c r="DI18" s="99" t="s">
        <v>198</v>
      </c>
      <c r="DJ18" s="99" t="s">
        <v>198</v>
      </c>
      <c r="DK18" s="99"/>
      <c r="DL18" s="99" t="s">
        <v>199</v>
      </c>
      <c r="DM18" s="99" t="s">
        <v>198</v>
      </c>
      <c r="DN18" s="99" t="s">
        <v>198</v>
      </c>
      <c r="DO18" s="99" t="s">
        <v>198</v>
      </c>
      <c r="DP18" s="99" t="s">
        <v>198</v>
      </c>
      <c r="DQ18" s="99" t="s">
        <v>198</v>
      </c>
      <c r="DR18" s="99" t="s">
        <v>198</v>
      </c>
      <c r="DS18" s="99" t="s">
        <v>198</v>
      </c>
      <c r="DT18" s="99" t="s">
        <v>198</v>
      </c>
      <c r="DU18" s="99" t="s">
        <v>198</v>
      </c>
      <c r="DV18" s="99" t="s">
        <v>198</v>
      </c>
      <c r="DW18" s="99" t="s">
        <v>198</v>
      </c>
      <c r="DX18" s="99" t="s">
        <v>198</v>
      </c>
      <c r="DY18" s="99" t="s">
        <v>198</v>
      </c>
      <c r="DZ18" s="99" t="s">
        <v>198</v>
      </c>
      <c r="EA18" s="99"/>
      <c r="EB18" s="99" t="s">
        <v>194</v>
      </c>
      <c r="EC18" s="99" t="s">
        <v>204</v>
      </c>
      <c r="ED18" s="99" t="s">
        <v>204</v>
      </c>
      <c r="EE18" s="99" t="s">
        <v>204</v>
      </c>
      <c r="EF18" s="99" t="s">
        <v>204</v>
      </c>
      <c r="EG18" s="99" t="s">
        <v>204</v>
      </c>
      <c r="EH18" s="100" t="s">
        <v>204</v>
      </c>
    </row>
    <row r="19" spans="1:138" ht="23.25" customHeight="1" x14ac:dyDescent="0.25">
      <c r="A19" s="101" t="s">
        <v>17</v>
      </c>
      <c r="B19" s="90" t="s">
        <v>193</v>
      </c>
      <c r="C19" s="90" t="s">
        <v>194</v>
      </c>
      <c r="D19" s="90" t="s">
        <v>30</v>
      </c>
      <c r="E19" s="90" t="s">
        <v>30</v>
      </c>
      <c r="F19" s="90" t="s">
        <v>204</v>
      </c>
      <c r="G19" s="90" t="s">
        <v>204</v>
      </c>
      <c r="H19" s="90" t="s">
        <v>30</v>
      </c>
      <c r="I19" s="90" t="s">
        <v>204</v>
      </c>
      <c r="J19" s="90" t="s">
        <v>204</v>
      </c>
      <c r="K19" s="90" t="s">
        <v>204</v>
      </c>
      <c r="L19" s="90" t="s">
        <v>30</v>
      </c>
      <c r="M19" s="90" t="s">
        <v>204</v>
      </c>
      <c r="N19" s="90" t="s">
        <v>204</v>
      </c>
      <c r="O19" s="90" t="s">
        <v>30</v>
      </c>
      <c r="P19" s="90" t="s">
        <v>195</v>
      </c>
      <c r="Q19" s="90" t="s">
        <v>195</v>
      </c>
      <c r="R19" s="90" t="s">
        <v>30</v>
      </c>
      <c r="S19" s="90" t="s">
        <v>204</v>
      </c>
      <c r="T19" s="90"/>
      <c r="U19" s="90" t="s">
        <v>199</v>
      </c>
      <c r="V19" s="90" t="s">
        <v>198</v>
      </c>
      <c r="W19" s="90" t="s">
        <v>198</v>
      </c>
      <c r="X19" s="90" t="s">
        <v>198</v>
      </c>
      <c r="Y19" s="90" t="s">
        <v>198</v>
      </c>
      <c r="Z19" s="90" t="s">
        <v>197</v>
      </c>
      <c r="AA19" s="90" t="s">
        <v>198</v>
      </c>
      <c r="AB19" s="90" t="s">
        <v>198</v>
      </c>
      <c r="AC19" s="90" t="s">
        <v>198</v>
      </c>
      <c r="AD19" s="90" t="s">
        <v>198</v>
      </c>
      <c r="AE19" s="90" t="s">
        <v>198</v>
      </c>
      <c r="AF19" s="90" t="s">
        <v>198</v>
      </c>
      <c r="AG19" s="90" t="s">
        <v>198</v>
      </c>
      <c r="AH19" s="90" t="s">
        <v>198</v>
      </c>
      <c r="AI19" s="90" t="s">
        <v>199</v>
      </c>
      <c r="AJ19" s="90" t="s">
        <v>198</v>
      </c>
      <c r="AK19" s="90" t="s">
        <v>198</v>
      </c>
      <c r="AL19" s="90" t="s">
        <v>198</v>
      </c>
      <c r="AM19" s="90"/>
      <c r="AN19" s="90" t="s">
        <v>199</v>
      </c>
      <c r="AO19" s="90" t="s">
        <v>198</v>
      </c>
      <c r="AP19" s="90" t="s">
        <v>198</v>
      </c>
      <c r="AQ19" s="90" t="s">
        <v>198</v>
      </c>
      <c r="AR19" s="90" t="s">
        <v>198</v>
      </c>
      <c r="AS19" s="90" t="s">
        <v>198</v>
      </c>
      <c r="AT19" s="90" t="s">
        <v>198</v>
      </c>
      <c r="AU19" s="90" t="s">
        <v>198</v>
      </c>
      <c r="AV19" s="90" t="s">
        <v>198</v>
      </c>
      <c r="AW19" s="90" t="s">
        <v>198</v>
      </c>
      <c r="AX19" s="90" t="s">
        <v>198</v>
      </c>
      <c r="AY19" s="90"/>
      <c r="AZ19" s="90" t="s">
        <v>194</v>
      </c>
      <c r="BA19" s="90" t="s">
        <v>194</v>
      </c>
      <c r="BB19" s="90" t="s">
        <v>195</v>
      </c>
      <c r="BC19" s="90" t="s">
        <v>195</v>
      </c>
      <c r="BD19" s="90" t="s">
        <v>195</v>
      </c>
      <c r="BE19" s="90" t="s">
        <v>196</v>
      </c>
      <c r="BF19" s="90" t="s">
        <v>195</v>
      </c>
      <c r="BG19" s="90" t="s">
        <v>195</v>
      </c>
      <c r="BH19" s="90" t="s">
        <v>196</v>
      </c>
      <c r="BI19" s="90" t="s">
        <v>196</v>
      </c>
      <c r="BJ19" s="90" t="s">
        <v>196</v>
      </c>
      <c r="BK19" s="90" t="s">
        <v>195</v>
      </c>
      <c r="BL19" s="90" t="s">
        <v>195</v>
      </c>
      <c r="BM19" s="90" t="s">
        <v>204</v>
      </c>
      <c r="BN19" s="90" t="s">
        <v>204</v>
      </c>
      <c r="BO19" s="90" t="s">
        <v>204</v>
      </c>
      <c r="BP19" s="90" t="s">
        <v>30</v>
      </c>
      <c r="BQ19" s="90" t="s">
        <v>30</v>
      </c>
      <c r="BR19" s="90" t="s">
        <v>30</v>
      </c>
      <c r="BS19" s="90" t="s">
        <v>30</v>
      </c>
      <c r="BT19" s="90"/>
      <c r="BU19" s="90" t="s">
        <v>30</v>
      </c>
      <c r="BV19" s="90" t="s">
        <v>204</v>
      </c>
      <c r="BW19" s="90" t="s">
        <v>30</v>
      </c>
      <c r="BX19" s="90" t="s">
        <v>195</v>
      </c>
      <c r="BY19" s="90" t="s">
        <v>30</v>
      </c>
      <c r="BZ19" s="90" t="s">
        <v>30</v>
      </c>
      <c r="CA19" s="90" t="s">
        <v>30</v>
      </c>
      <c r="CB19" s="90"/>
      <c r="CC19" s="90" t="s">
        <v>200</v>
      </c>
      <c r="CD19" s="90"/>
      <c r="CE19" s="90" t="s">
        <v>194</v>
      </c>
      <c r="CF19" s="90"/>
      <c r="CG19" s="90"/>
      <c r="CH19" s="90"/>
      <c r="CI19" s="90" t="s">
        <v>199</v>
      </c>
      <c r="CJ19" s="90" t="s">
        <v>198</v>
      </c>
      <c r="CK19" s="90" t="s">
        <v>198</v>
      </c>
      <c r="CL19" s="90" t="s">
        <v>198</v>
      </c>
      <c r="CM19" s="90" t="s">
        <v>198</v>
      </c>
      <c r="CN19" s="90" t="s">
        <v>198</v>
      </c>
      <c r="CO19" s="90" t="s">
        <v>198</v>
      </c>
      <c r="CP19" s="90" t="s">
        <v>198</v>
      </c>
      <c r="CQ19" s="90" t="s">
        <v>198</v>
      </c>
      <c r="CR19" s="90" t="s">
        <v>198</v>
      </c>
      <c r="CS19" s="90" t="s">
        <v>198</v>
      </c>
      <c r="CT19" s="90" t="s">
        <v>198</v>
      </c>
      <c r="CU19" s="90" t="s">
        <v>198</v>
      </c>
      <c r="CV19" s="90" t="s">
        <v>198</v>
      </c>
      <c r="CW19" s="90" t="s">
        <v>198</v>
      </c>
      <c r="CX19" s="90" t="s">
        <v>198</v>
      </c>
      <c r="CY19" s="90" t="s">
        <v>198</v>
      </c>
      <c r="CZ19" s="90" t="s">
        <v>198</v>
      </c>
      <c r="DA19" s="90" t="s">
        <v>198</v>
      </c>
      <c r="DB19" s="90" t="s">
        <v>198</v>
      </c>
      <c r="DC19" s="90" t="s">
        <v>198</v>
      </c>
      <c r="DD19" s="90" t="s">
        <v>198</v>
      </c>
      <c r="DE19" s="90" t="s">
        <v>198</v>
      </c>
      <c r="DF19" s="90" t="s">
        <v>198</v>
      </c>
      <c r="DG19" s="90" t="s">
        <v>198</v>
      </c>
      <c r="DH19" s="90" t="s">
        <v>198</v>
      </c>
      <c r="DI19" s="90" t="s">
        <v>198</v>
      </c>
      <c r="DJ19" s="90" t="s">
        <v>198</v>
      </c>
      <c r="DK19" s="90"/>
      <c r="DL19" s="90" t="s">
        <v>199</v>
      </c>
      <c r="DM19" s="90" t="s">
        <v>198</v>
      </c>
      <c r="DN19" s="90" t="s">
        <v>198</v>
      </c>
      <c r="DO19" s="90" t="s">
        <v>198</v>
      </c>
      <c r="DP19" s="90" t="s">
        <v>198</v>
      </c>
      <c r="DQ19" s="90" t="s">
        <v>198</v>
      </c>
      <c r="DR19" s="90" t="s">
        <v>198</v>
      </c>
      <c r="DS19" s="90" t="s">
        <v>198</v>
      </c>
      <c r="DT19" s="90" t="s">
        <v>198</v>
      </c>
      <c r="DU19" s="90" t="s">
        <v>198</v>
      </c>
      <c r="DV19" s="90" t="s">
        <v>198</v>
      </c>
      <c r="DW19" s="90" t="s">
        <v>198</v>
      </c>
      <c r="DX19" s="90" t="s">
        <v>198</v>
      </c>
      <c r="DY19" s="90" t="s">
        <v>198</v>
      </c>
      <c r="DZ19" s="90" t="s">
        <v>198</v>
      </c>
      <c r="EA19" s="90"/>
      <c r="EB19" s="90" t="s">
        <v>194</v>
      </c>
      <c r="EC19" s="90" t="s">
        <v>204</v>
      </c>
      <c r="ED19" s="90" t="s">
        <v>204</v>
      </c>
      <c r="EE19" s="90" t="s">
        <v>30</v>
      </c>
      <c r="EF19" s="90" t="s">
        <v>204</v>
      </c>
      <c r="EG19" s="90" t="s">
        <v>204</v>
      </c>
      <c r="EH19" s="102" t="s">
        <v>204</v>
      </c>
    </row>
    <row r="20" spans="1:138" ht="23.25" customHeight="1" x14ac:dyDescent="0.25">
      <c r="A20" s="98" t="s">
        <v>17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201</v>
      </c>
      <c r="H20" s="99" t="s">
        <v>195</v>
      </c>
      <c r="I20" s="99" t="s">
        <v>196</v>
      </c>
      <c r="J20" s="99" t="s">
        <v>201</v>
      </c>
      <c r="K20" s="99" t="s">
        <v>195</v>
      </c>
      <c r="L20" s="99" t="s">
        <v>196</v>
      </c>
      <c r="M20" s="99" t="s">
        <v>196</v>
      </c>
      <c r="N20" s="99" t="s">
        <v>196</v>
      </c>
      <c r="O20" s="99" t="s">
        <v>196</v>
      </c>
      <c r="P20" s="99" t="s">
        <v>196</v>
      </c>
      <c r="Q20" s="99" t="s">
        <v>196</v>
      </c>
      <c r="R20" s="99" t="s">
        <v>201</v>
      </c>
      <c r="S20" s="99" t="s">
        <v>196</v>
      </c>
      <c r="T20" s="99"/>
      <c r="U20" s="99" t="s">
        <v>194</v>
      </c>
      <c r="V20" s="99" t="s">
        <v>207</v>
      </c>
      <c r="W20" s="99" t="s">
        <v>196</v>
      </c>
      <c r="X20" s="99" t="s">
        <v>196</v>
      </c>
      <c r="Y20" s="99" t="s">
        <v>201</v>
      </c>
      <c r="Z20" s="99" t="s">
        <v>197</v>
      </c>
      <c r="AA20" s="99" t="s">
        <v>196</v>
      </c>
      <c r="AB20" s="99" t="s">
        <v>30</v>
      </c>
      <c r="AC20" s="99" t="s">
        <v>196</v>
      </c>
      <c r="AD20" s="99" t="s">
        <v>196</v>
      </c>
      <c r="AE20" s="99" t="s">
        <v>198</v>
      </c>
      <c r="AF20" s="99" t="s">
        <v>198</v>
      </c>
      <c r="AG20" s="99" t="s">
        <v>198</v>
      </c>
      <c r="AH20" s="99" t="s">
        <v>198</v>
      </c>
      <c r="AI20" s="99" t="s">
        <v>194</v>
      </c>
      <c r="AJ20" s="99" t="s">
        <v>196</v>
      </c>
      <c r="AK20" s="99" t="s">
        <v>195</v>
      </c>
      <c r="AL20" s="99" t="s">
        <v>196</v>
      </c>
      <c r="AM20" s="99"/>
      <c r="AN20" s="99" t="s">
        <v>194</v>
      </c>
      <c r="AO20" s="99" t="s">
        <v>196</v>
      </c>
      <c r="AP20" s="99" t="s">
        <v>196</v>
      </c>
      <c r="AQ20" s="99" t="s">
        <v>196</v>
      </c>
      <c r="AR20" s="99" t="s">
        <v>196</v>
      </c>
      <c r="AS20" s="99" t="s">
        <v>196</v>
      </c>
      <c r="AT20" s="99" t="s">
        <v>196</v>
      </c>
      <c r="AU20" s="99" t="s">
        <v>195</v>
      </c>
      <c r="AV20" s="99" t="s">
        <v>196</v>
      </c>
      <c r="AW20" s="99" t="s">
        <v>196</v>
      </c>
      <c r="AX20" s="99" t="s">
        <v>196</v>
      </c>
      <c r="AY20" s="99"/>
      <c r="AZ20" s="99" t="s">
        <v>194</v>
      </c>
      <c r="BA20" s="99" t="s">
        <v>194</v>
      </c>
      <c r="BB20" s="99" t="s">
        <v>196</v>
      </c>
      <c r="BC20" s="99" t="s">
        <v>195</v>
      </c>
      <c r="BD20" s="99" t="s">
        <v>196</v>
      </c>
      <c r="BE20" s="99" t="s">
        <v>196</v>
      </c>
      <c r="BF20" s="99" t="s">
        <v>201</v>
      </c>
      <c r="BG20" s="99" t="s">
        <v>196</v>
      </c>
      <c r="BH20" s="99" t="s">
        <v>196</v>
      </c>
      <c r="BI20" s="99" t="s">
        <v>196</v>
      </c>
      <c r="BJ20" s="99" t="s">
        <v>201</v>
      </c>
      <c r="BK20" s="99" t="s">
        <v>201</v>
      </c>
      <c r="BL20" s="99" t="s">
        <v>196</v>
      </c>
      <c r="BM20" s="99" t="s">
        <v>196</v>
      </c>
      <c r="BN20" s="99" t="s">
        <v>195</v>
      </c>
      <c r="BO20" s="99" t="s">
        <v>195</v>
      </c>
      <c r="BP20" s="99" t="s">
        <v>196</v>
      </c>
      <c r="BQ20" s="99" t="s">
        <v>196</v>
      </c>
      <c r="BR20" s="99" t="s">
        <v>196</v>
      </c>
      <c r="BS20" s="99" t="s">
        <v>196</v>
      </c>
      <c r="BT20" s="99"/>
      <c r="BU20" s="99" t="s">
        <v>202</v>
      </c>
      <c r="BV20" s="99" t="s">
        <v>202</v>
      </c>
      <c r="BW20" s="99" t="s">
        <v>202</v>
      </c>
      <c r="BX20" s="99" t="s">
        <v>202</v>
      </c>
      <c r="BY20" s="99" t="s">
        <v>202</v>
      </c>
      <c r="BZ20" s="99" t="s">
        <v>202</v>
      </c>
      <c r="CA20" s="99" t="s">
        <v>202</v>
      </c>
      <c r="CB20" s="99"/>
      <c r="CC20" s="99" t="s">
        <v>205</v>
      </c>
      <c r="CD20" s="99"/>
      <c r="CE20" s="99" t="s">
        <v>194</v>
      </c>
      <c r="CF20" s="99"/>
      <c r="CG20" s="99"/>
      <c r="CH20" s="99"/>
      <c r="CI20" s="99" t="s">
        <v>194</v>
      </c>
      <c r="CJ20" s="99" t="s">
        <v>195</v>
      </c>
      <c r="CK20" s="99" t="s">
        <v>196</v>
      </c>
      <c r="CL20" s="99" t="s">
        <v>196</v>
      </c>
      <c r="CM20" s="99" t="s">
        <v>195</v>
      </c>
      <c r="CN20" s="99" t="s">
        <v>196</v>
      </c>
      <c r="CO20" s="99" t="s">
        <v>196</v>
      </c>
      <c r="CP20" s="99" t="s">
        <v>196</v>
      </c>
      <c r="CQ20" s="99" t="s">
        <v>196</v>
      </c>
      <c r="CR20" s="99" t="s">
        <v>195</v>
      </c>
      <c r="CS20" s="99" t="s">
        <v>196</v>
      </c>
      <c r="CT20" s="99" t="s">
        <v>195</v>
      </c>
      <c r="CU20" s="99" t="s">
        <v>196</v>
      </c>
      <c r="CV20" s="99" t="s">
        <v>196</v>
      </c>
      <c r="CW20" s="99" t="s">
        <v>196</v>
      </c>
      <c r="CX20" s="99" t="s">
        <v>196</v>
      </c>
      <c r="CY20" s="99" t="s">
        <v>196</v>
      </c>
      <c r="CZ20" s="99" t="s">
        <v>196</v>
      </c>
      <c r="DA20" s="99" t="s">
        <v>196</v>
      </c>
      <c r="DB20" s="99" t="s">
        <v>196</v>
      </c>
      <c r="DC20" s="99" t="s">
        <v>196</v>
      </c>
      <c r="DD20" s="99" t="s">
        <v>196</v>
      </c>
      <c r="DE20" s="99" t="s">
        <v>196</v>
      </c>
      <c r="DF20" s="99" t="s">
        <v>196</v>
      </c>
      <c r="DG20" s="99" t="s">
        <v>196</v>
      </c>
      <c r="DH20" s="99" t="s">
        <v>195</v>
      </c>
      <c r="DI20" s="99" t="s">
        <v>196</v>
      </c>
      <c r="DJ20" s="99" t="s">
        <v>196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196</v>
      </c>
      <c r="DS20" s="99" t="s">
        <v>196</v>
      </c>
      <c r="DT20" s="99" t="s">
        <v>196</v>
      </c>
      <c r="DU20" s="99" t="s">
        <v>195</v>
      </c>
      <c r="DV20" s="99" t="s">
        <v>195</v>
      </c>
      <c r="DW20" s="99" t="s">
        <v>196</v>
      </c>
      <c r="DX20" s="99" t="s">
        <v>196</v>
      </c>
      <c r="DY20" s="99" t="s">
        <v>196</v>
      </c>
      <c r="DZ20" s="99" t="s">
        <v>196</v>
      </c>
      <c r="EA20" s="99"/>
      <c r="EB20" s="99" t="s">
        <v>199</v>
      </c>
      <c r="EC20" s="99" t="s">
        <v>198</v>
      </c>
      <c r="ED20" s="99" t="s">
        <v>198</v>
      </c>
      <c r="EE20" s="99" t="s">
        <v>198</v>
      </c>
      <c r="EF20" s="99" t="s">
        <v>198</v>
      </c>
      <c r="EG20" s="99" t="s">
        <v>198</v>
      </c>
      <c r="EH20" s="100" t="s">
        <v>198</v>
      </c>
    </row>
    <row r="21" spans="1:138" ht="23.25" customHeight="1" x14ac:dyDescent="0.25">
      <c r="A21" s="101" t="s">
        <v>17</v>
      </c>
      <c r="B21" s="90" t="s">
        <v>193</v>
      </c>
      <c r="C21" s="90" t="s">
        <v>194</v>
      </c>
      <c r="D21" s="90" t="s">
        <v>30</v>
      </c>
      <c r="E21" s="90" t="s">
        <v>195</v>
      </c>
      <c r="F21" s="90" t="s">
        <v>196</v>
      </c>
      <c r="G21" s="90" t="s">
        <v>196</v>
      </c>
      <c r="H21" s="90" t="s">
        <v>201</v>
      </c>
      <c r="I21" s="90" t="s">
        <v>30</v>
      </c>
      <c r="J21" s="90" t="s">
        <v>201</v>
      </c>
      <c r="K21" s="90" t="s">
        <v>201</v>
      </c>
      <c r="L21" s="90" t="s">
        <v>201</v>
      </c>
      <c r="M21" s="90" t="s">
        <v>201</v>
      </c>
      <c r="N21" s="90" t="s">
        <v>201</v>
      </c>
      <c r="O21" s="90" t="s">
        <v>195</v>
      </c>
      <c r="P21" s="90" t="s">
        <v>196</v>
      </c>
      <c r="Q21" s="90" t="s">
        <v>201</v>
      </c>
      <c r="R21" s="90" t="s">
        <v>201</v>
      </c>
      <c r="S21" s="90" t="s">
        <v>195</v>
      </c>
      <c r="T21" s="90"/>
      <c r="U21" s="90" t="s">
        <v>194</v>
      </c>
      <c r="V21" s="90" t="s">
        <v>201</v>
      </c>
      <c r="W21" s="90" t="s">
        <v>195</v>
      </c>
      <c r="X21" s="90" t="s">
        <v>201</v>
      </c>
      <c r="Y21" s="90" t="s">
        <v>201</v>
      </c>
      <c r="Z21" s="90" t="s">
        <v>197</v>
      </c>
      <c r="AA21" s="90" t="s">
        <v>201</v>
      </c>
      <c r="AB21" s="90" t="s">
        <v>201</v>
      </c>
      <c r="AC21" s="90" t="s">
        <v>201</v>
      </c>
      <c r="AD21" s="90" t="s">
        <v>201</v>
      </c>
      <c r="AE21" s="90" t="s">
        <v>198</v>
      </c>
      <c r="AF21" s="90" t="s">
        <v>198</v>
      </c>
      <c r="AG21" s="90" t="s">
        <v>198</v>
      </c>
      <c r="AH21" s="90" t="s">
        <v>198</v>
      </c>
      <c r="AI21" s="90" t="s">
        <v>194</v>
      </c>
      <c r="AJ21" s="90" t="s">
        <v>201</v>
      </c>
      <c r="AK21" s="90" t="s">
        <v>201</v>
      </c>
      <c r="AL21" s="90" t="s">
        <v>196</v>
      </c>
      <c r="AM21" s="90"/>
      <c r="AN21" s="90" t="s">
        <v>199</v>
      </c>
      <c r="AO21" s="90" t="s">
        <v>198</v>
      </c>
      <c r="AP21" s="90" t="s">
        <v>198</v>
      </c>
      <c r="AQ21" s="90" t="s">
        <v>198</v>
      </c>
      <c r="AR21" s="90" t="s">
        <v>198</v>
      </c>
      <c r="AS21" s="90" t="s">
        <v>198</v>
      </c>
      <c r="AT21" s="90" t="s">
        <v>198</v>
      </c>
      <c r="AU21" s="90" t="s">
        <v>198</v>
      </c>
      <c r="AV21" s="90" t="s">
        <v>198</v>
      </c>
      <c r="AW21" s="90" t="s">
        <v>198</v>
      </c>
      <c r="AX21" s="90" t="s">
        <v>198</v>
      </c>
      <c r="AY21" s="90"/>
      <c r="AZ21" s="90" t="s">
        <v>194</v>
      </c>
      <c r="BA21" s="90" t="s">
        <v>199</v>
      </c>
      <c r="BB21" s="90" t="s">
        <v>198</v>
      </c>
      <c r="BC21" s="90" t="s">
        <v>195</v>
      </c>
      <c r="BD21" s="90" t="s">
        <v>196</v>
      </c>
      <c r="BE21" s="90" t="s">
        <v>195</v>
      </c>
      <c r="BF21" s="90" t="s">
        <v>195</v>
      </c>
      <c r="BG21" s="90" t="s">
        <v>201</v>
      </c>
      <c r="BH21" s="90" t="s">
        <v>201</v>
      </c>
      <c r="BI21" s="90" t="s">
        <v>195</v>
      </c>
      <c r="BJ21" s="90" t="s">
        <v>195</v>
      </c>
      <c r="BK21" s="90" t="s">
        <v>201</v>
      </c>
      <c r="BL21" s="90" t="s">
        <v>196</v>
      </c>
      <c r="BM21" s="90" t="s">
        <v>196</v>
      </c>
      <c r="BN21" s="90" t="s">
        <v>201</v>
      </c>
      <c r="BO21" s="90" t="s">
        <v>201</v>
      </c>
      <c r="BP21" s="90" t="s">
        <v>201</v>
      </c>
      <c r="BQ21" s="90" t="s">
        <v>201</v>
      </c>
      <c r="BR21" s="90" t="s">
        <v>201</v>
      </c>
      <c r="BS21" s="90" t="s">
        <v>201</v>
      </c>
      <c r="BT21" s="90"/>
      <c r="BU21" s="90" t="s">
        <v>202</v>
      </c>
      <c r="BV21" s="90" t="s">
        <v>202</v>
      </c>
      <c r="BW21" s="90" t="s">
        <v>202</v>
      </c>
      <c r="BX21" s="90" t="s">
        <v>202</v>
      </c>
      <c r="BY21" s="90" t="s">
        <v>202</v>
      </c>
      <c r="BZ21" s="90" t="s">
        <v>202</v>
      </c>
      <c r="CA21" s="90" t="s">
        <v>202</v>
      </c>
      <c r="CB21" s="90"/>
      <c r="CC21" s="90" t="s">
        <v>203</v>
      </c>
      <c r="CD21" s="90"/>
      <c r="CE21" s="90" t="s">
        <v>194</v>
      </c>
      <c r="CF21" s="90"/>
      <c r="CG21" s="90"/>
      <c r="CH21" s="90"/>
      <c r="CI21" s="90" t="s">
        <v>199</v>
      </c>
      <c r="CJ21" s="90" t="s">
        <v>198</v>
      </c>
      <c r="CK21" s="90" t="s">
        <v>198</v>
      </c>
      <c r="CL21" s="90" t="s">
        <v>198</v>
      </c>
      <c r="CM21" s="90" t="s">
        <v>198</v>
      </c>
      <c r="CN21" s="90" t="s">
        <v>198</v>
      </c>
      <c r="CO21" s="90" t="s">
        <v>198</v>
      </c>
      <c r="CP21" s="90" t="s">
        <v>198</v>
      </c>
      <c r="CQ21" s="90" t="s">
        <v>198</v>
      </c>
      <c r="CR21" s="90" t="s">
        <v>198</v>
      </c>
      <c r="CS21" s="90" t="s">
        <v>198</v>
      </c>
      <c r="CT21" s="90" t="s">
        <v>198</v>
      </c>
      <c r="CU21" s="90" t="s">
        <v>198</v>
      </c>
      <c r="CV21" s="90" t="s">
        <v>198</v>
      </c>
      <c r="CW21" s="90" t="s">
        <v>198</v>
      </c>
      <c r="CX21" s="90" t="s">
        <v>198</v>
      </c>
      <c r="CY21" s="90" t="s">
        <v>198</v>
      </c>
      <c r="CZ21" s="90" t="s">
        <v>198</v>
      </c>
      <c r="DA21" s="90" t="s">
        <v>198</v>
      </c>
      <c r="DB21" s="90" t="s">
        <v>198</v>
      </c>
      <c r="DC21" s="90" t="s">
        <v>198</v>
      </c>
      <c r="DD21" s="90" t="s">
        <v>198</v>
      </c>
      <c r="DE21" s="90" t="s">
        <v>198</v>
      </c>
      <c r="DF21" s="90" t="s">
        <v>198</v>
      </c>
      <c r="DG21" s="90" t="s">
        <v>198</v>
      </c>
      <c r="DH21" s="90" t="s">
        <v>198</v>
      </c>
      <c r="DI21" s="90" t="s">
        <v>198</v>
      </c>
      <c r="DJ21" s="90" t="s">
        <v>198</v>
      </c>
      <c r="DK21" s="90"/>
      <c r="DL21" s="90" t="s">
        <v>194</v>
      </c>
      <c r="DM21" s="90" t="s">
        <v>196</v>
      </c>
      <c r="DN21" s="90" t="s">
        <v>196</v>
      </c>
      <c r="DO21" s="90" t="s">
        <v>201</v>
      </c>
      <c r="DP21" s="90" t="s">
        <v>201</v>
      </c>
      <c r="DQ21" s="90" t="s">
        <v>196</v>
      </c>
      <c r="DR21" s="90" t="s">
        <v>201</v>
      </c>
      <c r="DS21" s="90" t="s">
        <v>201</v>
      </c>
      <c r="DT21" s="90" t="s">
        <v>196</v>
      </c>
      <c r="DU21" s="90" t="s">
        <v>196</v>
      </c>
      <c r="DV21" s="90" t="s">
        <v>195</v>
      </c>
      <c r="DW21" s="90" t="s">
        <v>196</v>
      </c>
      <c r="DX21" s="90" t="s">
        <v>196</v>
      </c>
      <c r="DY21" s="90" t="s">
        <v>196</v>
      </c>
      <c r="DZ21" s="90" t="s">
        <v>196</v>
      </c>
      <c r="EA21" s="90"/>
      <c r="EB21" s="90" t="s">
        <v>199</v>
      </c>
      <c r="EC21" s="90" t="s">
        <v>198</v>
      </c>
      <c r="ED21" s="90" t="s">
        <v>198</v>
      </c>
      <c r="EE21" s="90" t="s">
        <v>198</v>
      </c>
      <c r="EF21" s="90" t="s">
        <v>198</v>
      </c>
      <c r="EG21" s="90" t="s">
        <v>198</v>
      </c>
      <c r="EH21" s="102" t="s">
        <v>198</v>
      </c>
    </row>
    <row r="22" spans="1:138" ht="23.25" customHeight="1" x14ac:dyDescent="0.25">
      <c r="A22" s="98" t="s">
        <v>17</v>
      </c>
      <c r="B22" s="99" t="s">
        <v>193</v>
      </c>
      <c r="C22" s="99" t="s">
        <v>199</v>
      </c>
      <c r="D22" s="99" t="s">
        <v>198</v>
      </c>
      <c r="E22" s="99" t="s">
        <v>198</v>
      </c>
      <c r="F22" s="99" t="s">
        <v>198</v>
      </c>
      <c r="G22" s="99" t="s">
        <v>198</v>
      </c>
      <c r="H22" s="99" t="s">
        <v>198</v>
      </c>
      <c r="I22" s="99" t="s">
        <v>198</v>
      </c>
      <c r="J22" s="99" t="s">
        <v>198</v>
      </c>
      <c r="K22" s="99" t="s">
        <v>198</v>
      </c>
      <c r="L22" s="99" t="s">
        <v>198</v>
      </c>
      <c r="M22" s="99" t="s">
        <v>198</v>
      </c>
      <c r="N22" s="99" t="s">
        <v>198</v>
      </c>
      <c r="O22" s="99" t="s">
        <v>198</v>
      </c>
      <c r="P22" s="99" t="s">
        <v>198</v>
      </c>
      <c r="Q22" s="99" t="s">
        <v>198</v>
      </c>
      <c r="R22" s="99" t="s">
        <v>198</v>
      </c>
      <c r="S22" s="99" t="s">
        <v>198</v>
      </c>
      <c r="T22" s="99"/>
      <c r="U22" s="99" t="s">
        <v>199</v>
      </c>
      <c r="V22" s="99" t="s">
        <v>198</v>
      </c>
      <c r="W22" s="99" t="s">
        <v>198</v>
      </c>
      <c r="X22" s="99" t="s">
        <v>198</v>
      </c>
      <c r="Y22" s="99" t="s">
        <v>198</v>
      </c>
      <c r="Z22" s="99" t="s">
        <v>197</v>
      </c>
      <c r="AA22" s="99" t="s">
        <v>198</v>
      </c>
      <c r="AB22" s="99" t="s">
        <v>198</v>
      </c>
      <c r="AC22" s="99" t="s">
        <v>198</v>
      </c>
      <c r="AD22" s="99" t="s">
        <v>198</v>
      </c>
      <c r="AE22" s="99" t="s">
        <v>198</v>
      </c>
      <c r="AF22" s="99" t="s">
        <v>198</v>
      </c>
      <c r="AG22" s="99" t="s">
        <v>198</v>
      </c>
      <c r="AH22" s="99" t="s">
        <v>198</v>
      </c>
      <c r="AI22" s="99" t="s">
        <v>199</v>
      </c>
      <c r="AJ22" s="99" t="s">
        <v>198</v>
      </c>
      <c r="AK22" s="99" t="s">
        <v>198</v>
      </c>
      <c r="AL22" s="99" t="s">
        <v>198</v>
      </c>
      <c r="AM22" s="99"/>
      <c r="AN22" s="99" t="s">
        <v>194</v>
      </c>
      <c r="AO22" s="99" t="s">
        <v>195</v>
      </c>
      <c r="AP22" s="99" t="s">
        <v>195</v>
      </c>
      <c r="AQ22" s="99" t="s">
        <v>201</v>
      </c>
      <c r="AR22" s="99" t="s">
        <v>195</v>
      </c>
      <c r="AS22" s="99" t="s">
        <v>195</v>
      </c>
      <c r="AT22" s="99" t="s">
        <v>195</v>
      </c>
      <c r="AU22" s="99" t="s">
        <v>30</v>
      </c>
      <c r="AV22" s="99" t="s">
        <v>195</v>
      </c>
      <c r="AW22" s="99" t="s">
        <v>195</v>
      </c>
      <c r="AX22" s="99" t="s">
        <v>195</v>
      </c>
      <c r="AY22" s="99"/>
      <c r="AZ22" s="99" t="s">
        <v>199</v>
      </c>
      <c r="BA22" s="99" t="s">
        <v>199</v>
      </c>
      <c r="BB22" s="99" t="s">
        <v>198</v>
      </c>
      <c r="BC22" s="99" t="s">
        <v>198</v>
      </c>
      <c r="BD22" s="99" t="s">
        <v>198</v>
      </c>
      <c r="BE22" s="99" t="s">
        <v>198</v>
      </c>
      <c r="BF22" s="99" t="s">
        <v>198</v>
      </c>
      <c r="BG22" s="99" t="s">
        <v>198</v>
      </c>
      <c r="BH22" s="99" t="s">
        <v>198</v>
      </c>
      <c r="BI22" s="99" t="s">
        <v>198</v>
      </c>
      <c r="BJ22" s="99" t="s">
        <v>198</v>
      </c>
      <c r="BK22" s="99" t="s">
        <v>198</v>
      </c>
      <c r="BL22" s="99" t="s">
        <v>198</v>
      </c>
      <c r="BM22" s="99" t="s">
        <v>198</v>
      </c>
      <c r="BN22" s="99" t="s">
        <v>198</v>
      </c>
      <c r="BO22" s="99" t="s">
        <v>198</v>
      </c>
      <c r="BP22" s="99" t="s">
        <v>198</v>
      </c>
      <c r="BQ22" s="99" t="s">
        <v>198</v>
      </c>
      <c r="BR22" s="99" t="s">
        <v>198</v>
      </c>
      <c r="BS22" s="99" t="s">
        <v>198</v>
      </c>
      <c r="BT22" s="99"/>
      <c r="BU22" s="99" t="s">
        <v>202</v>
      </c>
      <c r="BV22" s="99" t="s">
        <v>202</v>
      </c>
      <c r="BW22" s="99" t="s">
        <v>202</v>
      </c>
      <c r="BX22" s="99" t="s">
        <v>202</v>
      </c>
      <c r="BY22" s="99" t="s">
        <v>202</v>
      </c>
      <c r="BZ22" s="99" t="s">
        <v>202</v>
      </c>
      <c r="CA22" s="99" t="s">
        <v>202</v>
      </c>
      <c r="CB22" s="99"/>
      <c r="CC22" s="99" t="s">
        <v>200</v>
      </c>
      <c r="CD22" s="99"/>
      <c r="CE22" s="99" t="s">
        <v>194</v>
      </c>
      <c r="CF22" s="99"/>
      <c r="CG22" s="99"/>
      <c r="CH22" s="99"/>
      <c r="CI22" s="99" t="s">
        <v>194</v>
      </c>
      <c r="CJ22" s="99" t="s">
        <v>195</v>
      </c>
      <c r="CK22" s="99" t="s">
        <v>195</v>
      </c>
      <c r="CL22" s="99" t="s">
        <v>195</v>
      </c>
      <c r="CM22" s="99" t="s">
        <v>201</v>
      </c>
      <c r="CN22" s="99" t="s">
        <v>201</v>
      </c>
      <c r="CO22" s="99" t="s">
        <v>201</v>
      </c>
      <c r="CP22" s="99" t="s">
        <v>195</v>
      </c>
      <c r="CQ22" s="99" t="s">
        <v>195</v>
      </c>
      <c r="CR22" s="99" t="s">
        <v>204</v>
      </c>
      <c r="CS22" s="99" t="s">
        <v>195</v>
      </c>
      <c r="CT22" s="99" t="s">
        <v>30</v>
      </c>
      <c r="CU22" s="99" t="s">
        <v>195</v>
      </c>
      <c r="CV22" s="99" t="s">
        <v>195</v>
      </c>
      <c r="CW22" s="99" t="s">
        <v>195</v>
      </c>
      <c r="CX22" s="99" t="s">
        <v>195</v>
      </c>
      <c r="CY22" s="99" t="s">
        <v>195</v>
      </c>
      <c r="CZ22" s="99" t="s">
        <v>195</v>
      </c>
      <c r="DA22" s="99" t="s">
        <v>195</v>
      </c>
      <c r="DB22" s="99" t="s">
        <v>195</v>
      </c>
      <c r="DC22" s="99" t="s">
        <v>195</v>
      </c>
      <c r="DD22" s="99" t="s">
        <v>195</v>
      </c>
      <c r="DE22" s="99" t="s">
        <v>195</v>
      </c>
      <c r="DF22" s="99" t="s">
        <v>195</v>
      </c>
      <c r="DG22" s="99" t="s">
        <v>195</v>
      </c>
      <c r="DH22" s="99" t="s">
        <v>195</v>
      </c>
      <c r="DI22" s="99" t="s">
        <v>195</v>
      </c>
      <c r="DJ22" s="99" t="s">
        <v>201</v>
      </c>
      <c r="DK22" s="99"/>
      <c r="DL22" s="99" t="s">
        <v>199</v>
      </c>
      <c r="DM22" s="99" t="s">
        <v>198</v>
      </c>
      <c r="DN22" s="99" t="s">
        <v>198</v>
      </c>
      <c r="DO22" s="99" t="s">
        <v>198</v>
      </c>
      <c r="DP22" s="99" t="s">
        <v>198</v>
      </c>
      <c r="DQ22" s="99" t="s">
        <v>198</v>
      </c>
      <c r="DR22" s="99" t="s">
        <v>198</v>
      </c>
      <c r="DS22" s="99" t="s">
        <v>198</v>
      </c>
      <c r="DT22" s="99" t="s">
        <v>198</v>
      </c>
      <c r="DU22" s="99" t="s">
        <v>198</v>
      </c>
      <c r="DV22" s="99" t="s">
        <v>198</v>
      </c>
      <c r="DW22" s="99" t="s">
        <v>198</v>
      </c>
      <c r="DX22" s="99" t="s">
        <v>198</v>
      </c>
      <c r="DY22" s="99" t="s">
        <v>198</v>
      </c>
      <c r="DZ22" s="99" t="s">
        <v>198</v>
      </c>
      <c r="EA22" s="99"/>
      <c r="EB22" s="99" t="s">
        <v>199</v>
      </c>
      <c r="EC22" s="99" t="s">
        <v>198</v>
      </c>
      <c r="ED22" s="99" t="s">
        <v>198</v>
      </c>
      <c r="EE22" s="99" t="s">
        <v>198</v>
      </c>
      <c r="EF22" s="99" t="s">
        <v>198</v>
      </c>
      <c r="EG22" s="99" t="s">
        <v>198</v>
      </c>
      <c r="EH22" s="100" t="s">
        <v>198</v>
      </c>
    </row>
    <row r="23" spans="1:138" ht="23.25" customHeight="1" x14ac:dyDescent="0.25">
      <c r="A23" s="98" t="s">
        <v>17</v>
      </c>
      <c r="B23" s="99" t="s">
        <v>193</v>
      </c>
      <c r="C23" s="99" t="s">
        <v>194</v>
      </c>
      <c r="D23" s="99" t="s">
        <v>30</v>
      </c>
      <c r="E23" s="99" t="s">
        <v>196</v>
      </c>
      <c r="F23" s="99" t="s">
        <v>30</v>
      </c>
      <c r="G23" s="99" t="s">
        <v>204</v>
      </c>
      <c r="H23" s="99" t="s">
        <v>30</v>
      </c>
      <c r="I23" s="99" t="s">
        <v>30</v>
      </c>
      <c r="J23" s="99" t="s">
        <v>195</v>
      </c>
      <c r="K23" s="99" t="s">
        <v>30</v>
      </c>
      <c r="L23" s="99" t="s">
        <v>30</v>
      </c>
      <c r="M23" s="99" t="s">
        <v>204</v>
      </c>
      <c r="N23" s="99" t="s">
        <v>30</v>
      </c>
      <c r="O23" s="99" t="s">
        <v>196</v>
      </c>
      <c r="P23" s="99" t="s">
        <v>196</v>
      </c>
      <c r="Q23" s="99" t="s">
        <v>195</v>
      </c>
      <c r="R23" s="99" t="s">
        <v>195</v>
      </c>
      <c r="S23" s="99" t="s">
        <v>195</v>
      </c>
      <c r="T23" s="99"/>
      <c r="U23" s="99" t="s">
        <v>194</v>
      </c>
      <c r="V23" s="99" t="s">
        <v>195</v>
      </c>
      <c r="W23" s="99" t="s">
        <v>195</v>
      </c>
      <c r="X23" s="99" t="s">
        <v>195</v>
      </c>
      <c r="Y23" s="99" t="s">
        <v>30</v>
      </c>
      <c r="Z23" s="99" t="s">
        <v>197</v>
      </c>
      <c r="AA23" s="99" t="s">
        <v>30</v>
      </c>
      <c r="AB23" s="99" t="s">
        <v>195</v>
      </c>
      <c r="AC23" s="99" t="s">
        <v>30</v>
      </c>
      <c r="AD23" s="99" t="s">
        <v>30</v>
      </c>
      <c r="AE23" s="99" t="s">
        <v>198</v>
      </c>
      <c r="AF23" s="99" t="s">
        <v>198</v>
      </c>
      <c r="AG23" s="99" t="s">
        <v>198</v>
      </c>
      <c r="AH23" s="99" t="s">
        <v>198</v>
      </c>
      <c r="AI23" s="99" t="s">
        <v>194</v>
      </c>
      <c r="AJ23" s="99" t="s">
        <v>196</v>
      </c>
      <c r="AK23" s="99" t="s">
        <v>195</v>
      </c>
      <c r="AL23" s="99" t="s">
        <v>30</v>
      </c>
      <c r="AM23" s="99"/>
      <c r="AN23" s="99" t="s">
        <v>194</v>
      </c>
      <c r="AO23" s="99" t="s">
        <v>195</v>
      </c>
      <c r="AP23" s="99" t="s">
        <v>30</v>
      </c>
      <c r="AQ23" s="99" t="s">
        <v>195</v>
      </c>
      <c r="AR23" s="99" t="s">
        <v>195</v>
      </c>
      <c r="AS23" s="99" t="s">
        <v>204</v>
      </c>
      <c r="AT23" s="99" t="s">
        <v>195</v>
      </c>
      <c r="AU23" s="99" t="s">
        <v>30</v>
      </c>
      <c r="AV23" s="99" t="s">
        <v>196</v>
      </c>
      <c r="AW23" s="99" t="s">
        <v>195</v>
      </c>
      <c r="AX23" s="99" t="s">
        <v>195</v>
      </c>
      <c r="AY23" s="99"/>
      <c r="AZ23" s="99" t="s">
        <v>194</v>
      </c>
      <c r="BA23" s="99" t="s">
        <v>199</v>
      </c>
      <c r="BB23" s="99" t="s">
        <v>198</v>
      </c>
      <c r="BC23" s="99" t="s">
        <v>195</v>
      </c>
      <c r="BD23" s="99" t="s">
        <v>195</v>
      </c>
      <c r="BE23" s="99" t="s">
        <v>195</v>
      </c>
      <c r="BF23" s="99" t="s">
        <v>30</v>
      </c>
      <c r="BG23" s="99" t="s">
        <v>30</v>
      </c>
      <c r="BH23" s="99" t="s">
        <v>30</v>
      </c>
      <c r="BI23" s="99" t="s">
        <v>195</v>
      </c>
      <c r="BJ23" s="99" t="s">
        <v>30</v>
      </c>
      <c r="BK23" s="99" t="s">
        <v>195</v>
      </c>
      <c r="BL23" s="99" t="s">
        <v>196</v>
      </c>
      <c r="BM23" s="99" t="s">
        <v>195</v>
      </c>
      <c r="BN23" s="99" t="s">
        <v>30</v>
      </c>
      <c r="BO23" s="99" t="s">
        <v>30</v>
      </c>
      <c r="BP23" s="99" t="s">
        <v>195</v>
      </c>
      <c r="BQ23" s="99" t="s">
        <v>30</v>
      </c>
      <c r="BR23" s="99" t="s">
        <v>30</v>
      </c>
      <c r="BS23" s="99" t="s">
        <v>195</v>
      </c>
      <c r="BT23" s="99"/>
      <c r="BU23" s="99" t="s">
        <v>195</v>
      </c>
      <c r="BV23" s="99" t="s">
        <v>30</v>
      </c>
      <c r="BW23" s="99" t="s">
        <v>196</v>
      </c>
      <c r="BX23" s="99" t="s">
        <v>195</v>
      </c>
      <c r="BY23" s="99" t="s">
        <v>195</v>
      </c>
      <c r="BZ23" s="99" t="s">
        <v>195</v>
      </c>
      <c r="CA23" s="99" t="s">
        <v>196</v>
      </c>
      <c r="CB23" s="99"/>
      <c r="CC23" s="99" t="s">
        <v>205</v>
      </c>
      <c r="CD23" s="99"/>
      <c r="CE23" s="99" t="s">
        <v>194</v>
      </c>
      <c r="CF23" s="99"/>
      <c r="CG23" s="99"/>
      <c r="CH23" s="99"/>
      <c r="CI23" s="99" t="s">
        <v>194</v>
      </c>
      <c r="CJ23" s="99" t="s">
        <v>195</v>
      </c>
      <c r="CK23" s="99" t="s">
        <v>30</v>
      </c>
      <c r="CL23" s="99" t="s">
        <v>30</v>
      </c>
      <c r="CM23" s="99" t="s">
        <v>195</v>
      </c>
      <c r="CN23" s="99" t="s">
        <v>30</v>
      </c>
      <c r="CO23" s="99" t="s">
        <v>30</v>
      </c>
      <c r="CP23" s="99" t="s">
        <v>204</v>
      </c>
      <c r="CQ23" s="99" t="s">
        <v>204</v>
      </c>
      <c r="CR23" s="99" t="s">
        <v>204</v>
      </c>
      <c r="CS23" s="99" t="s">
        <v>195</v>
      </c>
      <c r="CT23" s="99" t="s">
        <v>195</v>
      </c>
      <c r="CU23" s="99" t="s">
        <v>195</v>
      </c>
      <c r="CV23" s="99" t="s">
        <v>195</v>
      </c>
      <c r="CW23" s="99" t="s">
        <v>196</v>
      </c>
      <c r="CX23" s="99" t="s">
        <v>195</v>
      </c>
      <c r="CY23" s="99" t="s">
        <v>204</v>
      </c>
      <c r="CZ23" s="99" t="s">
        <v>195</v>
      </c>
      <c r="DA23" s="99" t="s">
        <v>204</v>
      </c>
      <c r="DB23" s="99" t="s">
        <v>195</v>
      </c>
      <c r="DC23" s="99" t="s">
        <v>195</v>
      </c>
      <c r="DD23" s="99" t="s">
        <v>195</v>
      </c>
      <c r="DE23" s="99" t="s">
        <v>196</v>
      </c>
      <c r="DF23" s="99" t="s">
        <v>195</v>
      </c>
      <c r="DG23" s="99" t="s">
        <v>30</v>
      </c>
      <c r="DH23" s="99" t="s">
        <v>30</v>
      </c>
      <c r="DI23" s="99" t="s">
        <v>30</v>
      </c>
      <c r="DJ23" s="99" t="s">
        <v>195</v>
      </c>
      <c r="DK23" s="99"/>
      <c r="DL23" s="99" t="s">
        <v>194</v>
      </c>
      <c r="DM23" s="99" t="s">
        <v>196</v>
      </c>
      <c r="DN23" s="99" t="s">
        <v>195</v>
      </c>
      <c r="DO23" s="99" t="s">
        <v>204</v>
      </c>
      <c r="DP23" s="99" t="s">
        <v>195</v>
      </c>
      <c r="DQ23" s="99" t="s">
        <v>30</v>
      </c>
      <c r="DR23" s="99" t="s">
        <v>30</v>
      </c>
      <c r="DS23" s="99" t="s">
        <v>204</v>
      </c>
      <c r="DT23" s="99" t="s">
        <v>195</v>
      </c>
      <c r="DU23" s="99" t="s">
        <v>195</v>
      </c>
      <c r="DV23" s="99" t="s">
        <v>30</v>
      </c>
      <c r="DW23" s="99" t="s">
        <v>195</v>
      </c>
      <c r="DX23" s="99" t="s">
        <v>195</v>
      </c>
      <c r="DY23" s="99" t="s">
        <v>195</v>
      </c>
      <c r="DZ23" s="99" t="s">
        <v>195</v>
      </c>
      <c r="EA23" s="99"/>
      <c r="EB23" s="99" t="s">
        <v>194</v>
      </c>
      <c r="EC23" s="99" t="s">
        <v>195</v>
      </c>
      <c r="ED23" s="99" t="s">
        <v>195</v>
      </c>
      <c r="EE23" s="99" t="s">
        <v>195</v>
      </c>
      <c r="EF23" s="99" t="s">
        <v>195</v>
      </c>
      <c r="EG23" s="99" t="s">
        <v>195</v>
      </c>
      <c r="EH23" s="100" t="s">
        <v>30</v>
      </c>
    </row>
    <row r="24" spans="1:138" ht="23.25" customHeight="1" x14ac:dyDescent="0.25">
      <c r="A24" s="101" t="s">
        <v>17</v>
      </c>
      <c r="B24" s="90" t="s">
        <v>193</v>
      </c>
      <c r="C24" s="90" t="s">
        <v>194</v>
      </c>
      <c r="D24" s="90" t="s">
        <v>30</v>
      </c>
      <c r="E24" s="90" t="s">
        <v>204</v>
      </c>
      <c r="F24" s="90" t="s">
        <v>30</v>
      </c>
      <c r="G24" s="90" t="s">
        <v>201</v>
      </c>
      <c r="H24" s="90" t="s">
        <v>207</v>
      </c>
      <c r="I24" s="90" t="s">
        <v>207</v>
      </c>
      <c r="J24" s="90" t="s">
        <v>30</v>
      </c>
      <c r="K24" s="90" t="s">
        <v>204</v>
      </c>
      <c r="L24" s="90" t="s">
        <v>204</v>
      </c>
      <c r="M24" s="90" t="s">
        <v>201</v>
      </c>
      <c r="N24" s="90" t="s">
        <v>207</v>
      </c>
      <c r="O24" s="90" t="s">
        <v>204</v>
      </c>
      <c r="P24" s="90" t="s">
        <v>196</v>
      </c>
      <c r="Q24" s="90" t="s">
        <v>195</v>
      </c>
      <c r="R24" s="90" t="s">
        <v>30</v>
      </c>
      <c r="S24" s="90" t="s">
        <v>30</v>
      </c>
      <c r="T24" s="90"/>
      <c r="U24" s="90" t="s">
        <v>199</v>
      </c>
      <c r="V24" s="90" t="s">
        <v>198</v>
      </c>
      <c r="W24" s="90" t="s">
        <v>198</v>
      </c>
      <c r="X24" s="90" t="s">
        <v>198</v>
      </c>
      <c r="Y24" s="90" t="s">
        <v>198</v>
      </c>
      <c r="Z24" s="90" t="s">
        <v>197</v>
      </c>
      <c r="AA24" s="90" t="s">
        <v>198</v>
      </c>
      <c r="AB24" s="90" t="s">
        <v>198</v>
      </c>
      <c r="AC24" s="90" t="s">
        <v>198</v>
      </c>
      <c r="AD24" s="90" t="s">
        <v>198</v>
      </c>
      <c r="AE24" s="90" t="s">
        <v>198</v>
      </c>
      <c r="AF24" s="90" t="s">
        <v>198</v>
      </c>
      <c r="AG24" s="90" t="s">
        <v>198</v>
      </c>
      <c r="AH24" s="90" t="s">
        <v>198</v>
      </c>
      <c r="AI24" s="90" t="s">
        <v>199</v>
      </c>
      <c r="AJ24" s="90" t="s">
        <v>198</v>
      </c>
      <c r="AK24" s="90" t="s">
        <v>198</v>
      </c>
      <c r="AL24" s="90" t="s">
        <v>198</v>
      </c>
      <c r="AM24" s="90"/>
      <c r="AN24" s="90" t="s">
        <v>194</v>
      </c>
      <c r="AO24" s="90" t="s">
        <v>195</v>
      </c>
      <c r="AP24" s="90" t="s">
        <v>195</v>
      </c>
      <c r="AQ24" s="90" t="s">
        <v>195</v>
      </c>
      <c r="AR24" s="90" t="s">
        <v>195</v>
      </c>
      <c r="AS24" s="90" t="s">
        <v>30</v>
      </c>
      <c r="AT24" s="90" t="s">
        <v>195</v>
      </c>
      <c r="AU24" s="90" t="s">
        <v>204</v>
      </c>
      <c r="AV24" s="90" t="s">
        <v>195</v>
      </c>
      <c r="AW24" s="90" t="s">
        <v>195</v>
      </c>
      <c r="AX24" s="90" t="s">
        <v>195</v>
      </c>
      <c r="AY24" s="90"/>
      <c r="AZ24" s="90" t="s">
        <v>199</v>
      </c>
      <c r="BA24" s="90" t="s">
        <v>199</v>
      </c>
      <c r="BB24" s="90" t="s">
        <v>198</v>
      </c>
      <c r="BC24" s="90" t="s">
        <v>198</v>
      </c>
      <c r="BD24" s="90" t="s">
        <v>198</v>
      </c>
      <c r="BE24" s="90" t="s">
        <v>198</v>
      </c>
      <c r="BF24" s="90" t="s">
        <v>198</v>
      </c>
      <c r="BG24" s="90" t="s">
        <v>198</v>
      </c>
      <c r="BH24" s="90" t="s">
        <v>198</v>
      </c>
      <c r="BI24" s="90" t="s">
        <v>198</v>
      </c>
      <c r="BJ24" s="90" t="s">
        <v>198</v>
      </c>
      <c r="BK24" s="90" t="s">
        <v>198</v>
      </c>
      <c r="BL24" s="90" t="s">
        <v>198</v>
      </c>
      <c r="BM24" s="90" t="s">
        <v>198</v>
      </c>
      <c r="BN24" s="90" t="s">
        <v>198</v>
      </c>
      <c r="BO24" s="90" t="s">
        <v>198</v>
      </c>
      <c r="BP24" s="90" t="s">
        <v>198</v>
      </c>
      <c r="BQ24" s="90" t="s">
        <v>198</v>
      </c>
      <c r="BR24" s="90" t="s">
        <v>198</v>
      </c>
      <c r="BS24" s="90" t="s">
        <v>198</v>
      </c>
      <c r="BT24" s="90"/>
      <c r="BU24" s="90" t="s">
        <v>202</v>
      </c>
      <c r="BV24" s="90" t="s">
        <v>202</v>
      </c>
      <c r="BW24" s="90" t="s">
        <v>202</v>
      </c>
      <c r="BX24" s="90" t="s">
        <v>202</v>
      </c>
      <c r="BY24" s="90" t="s">
        <v>202</v>
      </c>
      <c r="BZ24" s="90" t="s">
        <v>202</v>
      </c>
      <c r="CA24" s="90" t="s">
        <v>202</v>
      </c>
      <c r="CB24" s="90"/>
      <c r="CC24" s="90" t="s">
        <v>200</v>
      </c>
      <c r="CD24" s="90"/>
      <c r="CE24" s="90" t="s">
        <v>194</v>
      </c>
      <c r="CF24" s="90"/>
      <c r="CG24" s="90"/>
      <c r="CH24" s="90"/>
      <c r="CI24" s="90" t="s">
        <v>199</v>
      </c>
      <c r="CJ24" s="90" t="s">
        <v>198</v>
      </c>
      <c r="CK24" s="90" t="s">
        <v>198</v>
      </c>
      <c r="CL24" s="90" t="s">
        <v>198</v>
      </c>
      <c r="CM24" s="90" t="s">
        <v>198</v>
      </c>
      <c r="CN24" s="90" t="s">
        <v>198</v>
      </c>
      <c r="CO24" s="90" t="s">
        <v>198</v>
      </c>
      <c r="CP24" s="90" t="s">
        <v>198</v>
      </c>
      <c r="CQ24" s="90" t="s">
        <v>198</v>
      </c>
      <c r="CR24" s="90" t="s">
        <v>198</v>
      </c>
      <c r="CS24" s="90" t="s">
        <v>198</v>
      </c>
      <c r="CT24" s="90" t="s">
        <v>198</v>
      </c>
      <c r="CU24" s="90" t="s">
        <v>198</v>
      </c>
      <c r="CV24" s="90" t="s">
        <v>198</v>
      </c>
      <c r="CW24" s="90" t="s">
        <v>198</v>
      </c>
      <c r="CX24" s="90" t="s">
        <v>198</v>
      </c>
      <c r="CY24" s="90" t="s">
        <v>198</v>
      </c>
      <c r="CZ24" s="90" t="s">
        <v>198</v>
      </c>
      <c r="DA24" s="90" t="s">
        <v>198</v>
      </c>
      <c r="DB24" s="90" t="s">
        <v>198</v>
      </c>
      <c r="DC24" s="90" t="s">
        <v>198</v>
      </c>
      <c r="DD24" s="90" t="s">
        <v>198</v>
      </c>
      <c r="DE24" s="90" t="s">
        <v>198</v>
      </c>
      <c r="DF24" s="90" t="s">
        <v>198</v>
      </c>
      <c r="DG24" s="90" t="s">
        <v>198</v>
      </c>
      <c r="DH24" s="90" t="s">
        <v>198</v>
      </c>
      <c r="DI24" s="90" t="s">
        <v>198</v>
      </c>
      <c r="DJ24" s="90" t="s">
        <v>198</v>
      </c>
      <c r="DK24" s="90"/>
      <c r="DL24" s="90" t="s">
        <v>199</v>
      </c>
      <c r="DM24" s="90" t="s">
        <v>198</v>
      </c>
      <c r="DN24" s="90" t="s">
        <v>198</v>
      </c>
      <c r="DO24" s="90" t="s">
        <v>198</v>
      </c>
      <c r="DP24" s="90" t="s">
        <v>198</v>
      </c>
      <c r="DQ24" s="90" t="s">
        <v>198</v>
      </c>
      <c r="DR24" s="90" t="s">
        <v>198</v>
      </c>
      <c r="DS24" s="90" t="s">
        <v>198</v>
      </c>
      <c r="DT24" s="90" t="s">
        <v>198</v>
      </c>
      <c r="DU24" s="90" t="s">
        <v>198</v>
      </c>
      <c r="DV24" s="90" t="s">
        <v>198</v>
      </c>
      <c r="DW24" s="90" t="s">
        <v>198</v>
      </c>
      <c r="DX24" s="90" t="s">
        <v>198</v>
      </c>
      <c r="DY24" s="90" t="s">
        <v>198</v>
      </c>
      <c r="DZ24" s="90" t="s">
        <v>198</v>
      </c>
      <c r="EA24" s="90"/>
      <c r="EB24" s="90" t="s">
        <v>199</v>
      </c>
      <c r="EC24" s="90" t="s">
        <v>198</v>
      </c>
      <c r="ED24" s="90" t="s">
        <v>198</v>
      </c>
      <c r="EE24" s="90" t="s">
        <v>198</v>
      </c>
      <c r="EF24" s="90" t="s">
        <v>198</v>
      </c>
      <c r="EG24" s="90" t="s">
        <v>198</v>
      </c>
      <c r="EH24" s="102" t="s">
        <v>198</v>
      </c>
    </row>
    <row r="25" spans="1:138" ht="23.25" customHeight="1" x14ac:dyDescent="0.25">
      <c r="A25" s="98" t="s">
        <v>17</v>
      </c>
      <c r="B25" s="99" t="s">
        <v>193</v>
      </c>
      <c r="C25" s="99" t="s">
        <v>194</v>
      </c>
      <c r="D25" s="99" t="s">
        <v>196</v>
      </c>
      <c r="E25" s="99" t="s">
        <v>196</v>
      </c>
      <c r="F25" s="99" t="s">
        <v>196</v>
      </c>
      <c r="G25" s="99" t="s">
        <v>196</v>
      </c>
      <c r="H25" s="99" t="s">
        <v>196</v>
      </c>
      <c r="I25" s="99" t="s">
        <v>196</v>
      </c>
      <c r="J25" s="99" t="s">
        <v>196</v>
      </c>
      <c r="K25" s="99" t="s">
        <v>196</v>
      </c>
      <c r="L25" s="99" t="s">
        <v>196</v>
      </c>
      <c r="M25" s="99" t="s">
        <v>196</v>
      </c>
      <c r="N25" s="99" t="s">
        <v>196</v>
      </c>
      <c r="O25" s="99" t="s">
        <v>196</v>
      </c>
      <c r="P25" s="99" t="s">
        <v>196</v>
      </c>
      <c r="Q25" s="99" t="s">
        <v>196</v>
      </c>
      <c r="R25" s="99" t="s">
        <v>196</v>
      </c>
      <c r="S25" s="99" t="s">
        <v>196</v>
      </c>
      <c r="T25" s="99"/>
      <c r="U25" s="99" t="s">
        <v>194</v>
      </c>
      <c r="V25" s="99" t="s">
        <v>196</v>
      </c>
      <c r="W25" s="99" t="s">
        <v>196</v>
      </c>
      <c r="X25" s="99" t="s">
        <v>196</v>
      </c>
      <c r="Y25" s="99" t="s">
        <v>196</v>
      </c>
      <c r="Z25" s="99" t="s">
        <v>197</v>
      </c>
      <c r="AA25" s="99" t="s">
        <v>196</v>
      </c>
      <c r="AB25" s="99" t="s">
        <v>196</v>
      </c>
      <c r="AC25" s="99" t="s">
        <v>196</v>
      </c>
      <c r="AD25" s="99" t="s">
        <v>196</v>
      </c>
      <c r="AE25" s="99" t="s">
        <v>198</v>
      </c>
      <c r="AF25" s="99" t="s">
        <v>198</v>
      </c>
      <c r="AG25" s="99" t="s">
        <v>198</v>
      </c>
      <c r="AH25" s="99" t="s">
        <v>198</v>
      </c>
      <c r="AI25" s="99" t="s">
        <v>194</v>
      </c>
      <c r="AJ25" s="99" t="s">
        <v>196</v>
      </c>
      <c r="AK25" s="99" t="s">
        <v>196</v>
      </c>
      <c r="AL25" s="99" t="s">
        <v>196</v>
      </c>
      <c r="AM25" s="99"/>
      <c r="AN25" s="99" t="s">
        <v>194</v>
      </c>
      <c r="AO25" s="99" t="s">
        <v>196</v>
      </c>
      <c r="AP25" s="99" t="s">
        <v>196</v>
      </c>
      <c r="AQ25" s="99" t="s">
        <v>196</v>
      </c>
      <c r="AR25" s="99" t="s">
        <v>196</v>
      </c>
      <c r="AS25" s="99" t="s">
        <v>196</v>
      </c>
      <c r="AT25" s="99" t="s">
        <v>196</v>
      </c>
      <c r="AU25" s="99" t="s">
        <v>196</v>
      </c>
      <c r="AV25" s="99" t="s">
        <v>196</v>
      </c>
      <c r="AW25" s="99" t="s">
        <v>196</v>
      </c>
      <c r="AX25" s="99" t="s">
        <v>196</v>
      </c>
      <c r="AY25" s="99"/>
      <c r="AZ25" s="99" t="s">
        <v>194</v>
      </c>
      <c r="BA25" s="99" t="s">
        <v>194</v>
      </c>
      <c r="BB25" s="99" t="s">
        <v>196</v>
      </c>
      <c r="BC25" s="99" t="s">
        <v>196</v>
      </c>
      <c r="BD25" s="99" t="s">
        <v>196</v>
      </c>
      <c r="BE25" s="99" t="s">
        <v>196</v>
      </c>
      <c r="BF25" s="99" t="s">
        <v>196</v>
      </c>
      <c r="BG25" s="99" t="s">
        <v>196</v>
      </c>
      <c r="BH25" s="99" t="s">
        <v>196</v>
      </c>
      <c r="BI25" s="99" t="s">
        <v>196</v>
      </c>
      <c r="BJ25" s="99" t="s">
        <v>196</v>
      </c>
      <c r="BK25" s="99" t="s">
        <v>196</v>
      </c>
      <c r="BL25" s="99" t="s">
        <v>196</v>
      </c>
      <c r="BM25" s="99" t="s">
        <v>196</v>
      </c>
      <c r="BN25" s="99" t="s">
        <v>196</v>
      </c>
      <c r="BO25" s="99" t="s">
        <v>196</v>
      </c>
      <c r="BP25" s="99" t="s">
        <v>196</v>
      </c>
      <c r="BQ25" s="99" t="s">
        <v>196</v>
      </c>
      <c r="BR25" s="99" t="s">
        <v>196</v>
      </c>
      <c r="BS25" s="99" t="s">
        <v>196</v>
      </c>
      <c r="BT25" s="99"/>
      <c r="BU25" s="99" t="s">
        <v>196</v>
      </c>
      <c r="BV25" s="99" t="s">
        <v>196</v>
      </c>
      <c r="BW25" s="99" t="s">
        <v>196</v>
      </c>
      <c r="BX25" s="99" t="s">
        <v>196</v>
      </c>
      <c r="BY25" s="99" t="s">
        <v>196</v>
      </c>
      <c r="BZ25" s="99" t="s">
        <v>196</v>
      </c>
      <c r="CA25" s="99" t="s">
        <v>196</v>
      </c>
      <c r="CB25" s="99"/>
      <c r="CC25" s="99" t="s">
        <v>206</v>
      </c>
      <c r="CD25" s="99"/>
      <c r="CE25" s="99" t="s">
        <v>194</v>
      </c>
      <c r="CF25" s="99"/>
      <c r="CG25" s="99"/>
      <c r="CH25" s="99"/>
      <c r="CI25" s="99" t="s">
        <v>194</v>
      </c>
      <c r="CJ25" s="99" t="s">
        <v>196</v>
      </c>
      <c r="CK25" s="99" t="s">
        <v>196</v>
      </c>
      <c r="CL25" s="99" t="s">
        <v>196</v>
      </c>
      <c r="CM25" s="99" t="s">
        <v>196</v>
      </c>
      <c r="CN25" s="99" t="s">
        <v>196</v>
      </c>
      <c r="CO25" s="99" t="s">
        <v>196</v>
      </c>
      <c r="CP25" s="99" t="s">
        <v>196</v>
      </c>
      <c r="CQ25" s="99" t="s">
        <v>196</v>
      </c>
      <c r="CR25" s="99" t="s">
        <v>196</v>
      </c>
      <c r="CS25" s="99" t="s">
        <v>196</v>
      </c>
      <c r="CT25" s="99" t="s">
        <v>196</v>
      </c>
      <c r="CU25" s="99" t="s">
        <v>196</v>
      </c>
      <c r="CV25" s="99" t="s">
        <v>196</v>
      </c>
      <c r="CW25" s="99" t="s">
        <v>196</v>
      </c>
      <c r="CX25" s="99" t="s">
        <v>196</v>
      </c>
      <c r="CY25" s="99" t="s">
        <v>196</v>
      </c>
      <c r="CZ25" s="99" t="s">
        <v>196</v>
      </c>
      <c r="DA25" s="99" t="s">
        <v>196</v>
      </c>
      <c r="DB25" s="99" t="s">
        <v>196</v>
      </c>
      <c r="DC25" s="99" t="s">
        <v>196</v>
      </c>
      <c r="DD25" s="99" t="s">
        <v>196</v>
      </c>
      <c r="DE25" s="99" t="s">
        <v>196</v>
      </c>
      <c r="DF25" s="99" t="s">
        <v>196</v>
      </c>
      <c r="DG25" s="99" t="s">
        <v>196</v>
      </c>
      <c r="DH25" s="99" t="s">
        <v>196</v>
      </c>
      <c r="DI25" s="99" t="s">
        <v>196</v>
      </c>
      <c r="DJ25" s="99" t="s">
        <v>196</v>
      </c>
      <c r="DK25" s="99"/>
      <c r="DL25" s="99" t="s">
        <v>194</v>
      </c>
      <c r="DM25" s="99" t="s">
        <v>196</v>
      </c>
      <c r="DN25" s="99" t="s">
        <v>196</v>
      </c>
      <c r="DO25" s="99" t="s">
        <v>196</v>
      </c>
      <c r="DP25" s="99" t="s">
        <v>196</v>
      </c>
      <c r="DQ25" s="99" t="s">
        <v>196</v>
      </c>
      <c r="DR25" s="99" t="s">
        <v>196</v>
      </c>
      <c r="DS25" s="99" t="s">
        <v>196</v>
      </c>
      <c r="DT25" s="99" t="s">
        <v>196</v>
      </c>
      <c r="DU25" s="99" t="s">
        <v>196</v>
      </c>
      <c r="DV25" s="99" t="s">
        <v>196</v>
      </c>
      <c r="DW25" s="99" t="s">
        <v>196</v>
      </c>
      <c r="DX25" s="99" t="s">
        <v>196</v>
      </c>
      <c r="DY25" s="99" t="s">
        <v>196</v>
      </c>
      <c r="DZ25" s="99" t="s">
        <v>196</v>
      </c>
      <c r="EA25" s="99"/>
      <c r="EB25" s="99" t="s">
        <v>194</v>
      </c>
      <c r="EC25" s="99" t="s">
        <v>196</v>
      </c>
      <c r="ED25" s="99" t="s">
        <v>196</v>
      </c>
      <c r="EE25" s="99" t="s">
        <v>196</v>
      </c>
      <c r="EF25" s="99" t="s">
        <v>196</v>
      </c>
      <c r="EG25" s="99" t="s">
        <v>196</v>
      </c>
      <c r="EH25" s="100" t="s">
        <v>196</v>
      </c>
    </row>
    <row r="26" spans="1:138" ht="23.25" customHeight="1" x14ac:dyDescent="0.25">
      <c r="A26" s="101" t="s">
        <v>17</v>
      </c>
      <c r="B26" s="90" t="s">
        <v>193</v>
      </c>
      <c r="C26" s="90" t="s">
        <v>194</v>
      </c>
      <c r="D26" s="90" t="s">
        <v>195</v>
      </c>
      <c r="E26" s="90" t="s">
        <v>195</v>
      </c>
      <c r="F26" s="90" t="s">
        <v>196</v>
      </c>
      <c r="G26" s="90" t="s">
        <v>195</v>
      </c>
      <c r="H26" s="90" t="s">
        <v>196</v>
      </c>
      <c r="I26" s="90" t="s">
        <v>196</v>
      </c>
      <c r="J26" s="90" t="s">
        <v>196</v>
      </c>
      <c r="K26" s="90" t="s">
        <v>196</v>
      </c>
      <c r="L26" s="90" t="s">
        <v>196</v>
      </c>
      <c r="M26" s="90" t="s">
        <v>195</v>
      </c>
      <c r="N26" s="90" t="s">
        <v>195</v>
      </c>
      <c r="O26" s="90" t="s">
        <v>195</v>
      </c>
      <c r="P26" s="90" t="s">
        <v>195</v>
      </c>
      <c r="Q26" s="90" t="s">
        <v>195</v>
      </c>
      <c r="R26" s="90" t="s">
        <v>195</v>
      </c>
      <c r="S26" s="90" t="s">
        <v>195</v>
      </c>
      <c r="T26" s="90"/>
      <c r="U26" s="90" t="s">
        <v>194</v>
      </c>
      <c r="V26" s="90" t="s">
        <v>195</v>
      </c>
      <c r="W26" s="90" t="s">
        <v>195</v>
      </c>
      <c r="X26" s="90" t="s">
        <v>195</v>
      </c>
      <c r="Y26" s="90" t="s">
        <v>196</v>
      </c>
      <c r="Z26" s="90" t="s">
        <v>197</v>
      </c>
      <c r="AA26" s="90" t="s">
        <v>195</v>
      </c>
      <c r="AB26" s="90" t="s">
        <v>195</v>
      </c>
      <c r="AC26" s="90" t="s">
        <v>195</v>
      </c>
      <c r="AD26" s="90" t="s">
        <v>195</v>
      </c>
      <c r="AE26" s="90" t="s">
        <v>198</v>
      </c>
      <c r="AF26" s="90" t="s">
        <v>198</v>
      </c>
      <c r="AG26" s="90" t="s">
        <v>198</v>
      </c>
      <c r="AH26" s="90" t="s">
        <v>198</v>
      </c>
      <c r="AI26" s="90" t="s">
        <v>194</v>
      </c>
      <c r="AJ26" s="90" t="s">
        <v>196</v>
      </c>
      <c r="AK26" s="90" t="s">
        <v>196</v>
      </c>
      <c r="AL26" s="90" t="s">
        <v>195</v>
      </c>
      <c r="AM26" s="90"/>
      <c r="AN26" s="90" t="s">
        <v>194</v>
      </c>
      <c r="AO26" s="90" t="s">
        <v>195</v>
      </c>
      <c r="AP26" s="90" t="s">
        <v>195</v>
      </c>
      <c r="AQ26" s="90" t="s">
        <v>196</v>
      </c>
      <c r="AR26" s="90" t="s">
        <v>195</v>
      </c>
      <c r="AS26" s="90" t="s">
        <v>195</v>
      </c>
      <c r="AT26" s="90" t="s">
        <v>195</v>
      </c>
      <c r="AU26" s="90" t="s">
        <v>195</v>
      </c>
      <c r="AV26" s="90" t="s">
        <v>195</v>
      </c>
      <c r="AW26" s="90" t="s">
        <v>196</v>
      </c>
      <c r="AX26" s="90" t="s">
        <v>195</v>
      </c>
      <c r="AY26" s="90"/>
      <c r="AZ26" s="90" t="s">
        <v>194</v>
      </c>
      <c r="BA26" s="90" t="s">
        <v>194</v>
      </c>
      <c r="BB26" s="90" t="s">
        <v>195</v>
      </c>
      <c r="BC26" s="90" t="s">
        <v>195</v>
      </c>
      <c r="BD26" s="90" t="s">
        <v>195</v>
      </c>
      <c r="BE26" s="90" t="s">
        <v>195</v>
      </c>
      <c r="BF26" s="90" t="s">
        <v>195</v>
      </c>
      <c r="BG26" s="90" t="s">
        <v>195</v>
      </c>
      <c r="BH26" s="90" t="s">
        <v>195</v>
      </c>
      <c r="BI26" s="90" t="s">
        <v>195</v>
      </c>
      <c r="BJ26" s="90" t="s">
        <v>195</v>
      </c>
      <c r="BK26" s="90" t="s">
        <v>195</v>
      </c>
      <c r="BL26" s="90" t="s">
        <v>196</v>
      </c>
      <c r="BM26" s="90" t="s">
        <v>196</v>
      </c>
      <c r="BN26" s="90" t="s">
        <v>195</v>
      </c>
      <c r="BO26" s="90" t="s">
        <v>195</v>
      </c>
      <c r="BP26" s="90" t="s">
        <v>196</v>
      </c>
      <c r="BQ26" s="90" t="s">
        <v>195</v>
      </c>
      <c r="BR26" s="90" t="s">
        <v>195</v>
      </c>
      <c r="BS26" s="90" t="s">
        <v>195</v>
      </c>
      <c r="BT26" s="90"/>
      <c r="BU26" s="90" t="s">
        <v>202</v>
      </c>
      <c r="BV26" s="90" t="s">
        <v>202</v>
      </c>
      <c r="BW26" s="90" t="s">
        <v>202</v>
      </c>
      <c r="BX26" s="90" t="s">
        <v>202</v>
      </c>
      <c r="BY26" s="90" t="s">
        <v>202</v>
      </c>
      <c r="BZ26" s="90" t="s">
        <v>202</v>
      </c>
      <c r="CA26" s="90" t="s">
        <v>202</v>
      </c>
      <c r="CB26" s="90"/>
      <c r="CC26" s="90" t="s">
        <v>206</v>
      </c>
      <c r="CD26" s="90"/>
      <c r="CE26" s="90" t="s">
        <v>194</v>
      </c>
      <c r="CF26" s="90"/>
      <c r="CG26" s="90"/>
      <c r="CH26" s="90"/>
      <c r="CI26" s="90" t="s">
        <v>194</v>
      </c>
      <c r="CJ26" s="90" t="s">
        <v>195</v>
      </c>
      <c r="CK26" s="90" t="s">
        <v>195</v>
      </c>
      <c r="CL26" s="90" t="s">
        <v>195</v>
      </c>
      <c r="CM26" s="90" t="s">
        <v>195</v>
      </c>
      <c r="CN26" s="90" t="s">
        <v>195</v>
      </c>
      <c r="CO26" s="90" t="s">
        <v>195</v>
      </c>
      <c r="CP26" s="90" t="s">
        <v>196</v>
      </c>
      <c r="CQ26" s="90" t="s">
        <v>195</v>
      </c>
      <c r="CR26" s="90" t="s">
        <v>195</v>
      </c>
      <c r="CS26" s="90" t="s">
        <v>196</v>
      </c>
      <c r="CT26" s="90" t="s">
        <v>196</v>
      </c>
      <c r="CU26" s="90" t="s">
        <v>196</v>
      </c>
      <c r="CV26" s="90" t="s">
        <v>195</v>
      </c>
      <c r="CW26" s="90" t="s">
        <v>195</v>
      </c>
      <c r="CX26" s="90" t="s">
        <v>195</v>
      </c>
      <c r="CY26" s="90" t="s">
        <v>196</v>
      </c>
      <c r="CZ26" s="90" t="s">
        <v>196</v>
      </c>
      <c r="DA26" s="90" t="s">
        <v>196</v>
      </c>
      <c r="DB26" s="90" t="s">
        <v>195</v>
      </c>
      <c r="DC26" s="90" t="s">
        <v>195</v>
      </c>
      <c r="DD26" s="90" t="s">
        <v>196</v>
      </c>
      <c r="DE26" s="90" t="s">
        <v>195</v>
      </c>
      <c r="DF26" s="90" t="s">
        <v>196</v>
      </c>
      <c r="DG26" s="90" t="s">
        <v>196</v>
      </c>
      <c r="DH26" s="90" t="s">
        <v>195</v>
      </c>
      <c r="DI26" s="90" t="s">
        <v>196</v>
      </c>
      <c r="DJ26" s="90" t="s">
        <v>195</v>
      </c>
      <c r="DK26" s="90"/>
      <c r="DL26" s="90" t="s">
        <v>199</v>
      </c>
      <c r="DM26" s="90" t="s">
        <v>198</v>
      </c>
      <c r="DN26" s="90" t="s">
        <v>198</v>
      </c>
      <c r="DO26" s="90" t="s">
        <v>198</v>
      </c>
      <c r="DP26" s="90" t="s">
        <v>198</v>
      </c>
      <c r="DQ26" s="90" t="s">
        <v>198</v>
      </c>
      <c r="DR26" s="90" t="s">
        <v>198</v>
      </c>
      <c r="DS26" s="90" t="s">
        <v>198</v>
      </c>
      <c r="DT26" s="90" t="s">
        <v>198</v>
      </c>
      <c r="DU26" s="90" t="s">
        <v>198</v>
      </c>
      <c r="DV26" s="90" t="s">
        <v>198</v>
      </c>
      <c r="DW26" s="90" t="s">
        <v>198</v>
      </c>
      <c r="DX26" s="90" t="s">
        <v>198</v>
      </c>
      <c r="DY26" s="90" t="s">
        <v>198</v>
      </c>
      <c r="DZ26" s="90" t="s">
        <v>198</v>
      </c>
      <c r="EA26" s="90"/>
      <c r="EB26" s="90" t="s">
        <v>194</v>
      </c>
      <c r="EC26" s="90" t="s">
        <v>204</v>
      </c>
      <c r="ED26" s="90" t="s">
        <v>204</v>
      </c>
      <c r="EE26" s="90" t="s">
        <v>30</v>
      </c>
      <c r="EF26" s="90" t="s">
        <v>204</v>
      </c>
      <c r="EG26" s="90" t="s">
        <v>196</v>
      </c>
      <c r="EH26" s="102" t="s">
        <v>195</v>
      </c>
    </row>
    <row r="27" spans="1:138" ht="23.25" customHeight="1" x14ac:dyDescent="0.25">
      <c r="A27" s="101" t="s">
        <v>17</v>
      </c>
      <c r="B27" s="90" t="s">
        <v>193</v>
      </c>
      <c r="C27" s="90" t="s">
        <v>194</v>
      </c>
      <c r="D27" s="90" t="s">
        <v>196</v>
      </c>
      <c r="E27" s="90" t="s">
        <v>196</v>
      </c>
      <c r="F27" s="90" t="s">
        <v>196</v>
      </c>
      <c r="G27" s="90" t="s">
        <v>196</v>
      </c>
      <c r="H27" s="90" t="s">
        <v>196</v>
      </c>
      <c r="I27" s="90" t="s">
        <v>196</v>
      </c>
      <c r="J27" s="90" t="s">
        <v>196</v>
      </c>
      <c r="K27" s="90" t="s">
        <v>196</v>
      </c>
      <c r="L27" s="90" t="s">
        <v>196</v>
      </c>
      <c r="M27" s="90" t="s">
        <v>196</v>
      </c>
      <c r="N27" s="90" t="s">
        <v>196</v>
      </c>
      <c r="O27" s="90" t="s">
        <v>196</v>
      </c>
      <c r="P27" s="90" t="s">
        <v>196</v>
      </c>
      <c r="Q27" s="90" t="s">
        <v>196</v>
      </c>
      <c r="R27" s="90" t="s">
        <v>196</v>
      </c>
      <c r="S27" s="90" t="s">
        <v>196</v>
      </c>
      <c r="T27" s="90"/>
      <c r="U27" s="90" t="s">
        <v>194</v>
      </c>
      <c r="V27" s="90" t="s">
        <v>196</v>
      </c>
      <c r="W27" s="90" t="s">
        <v>196</v>
      </c>
      <c r="X27" s="90" t="s">
        <v>196</v>
      </c>
      <c r="Y27" s="90" t="s">
        <v>196</v>
      </c>
      <c r="Z27" s="90" t="s">
        <v>197</v>
      </c>
      <c r="AA27" s="90" t="s">
        <v>196</v>
      </c>
      <c r="AB27" s="90" t="s">
        <v>196</v>
      </c>
      <c r="AC27" s="90" t="s">
        <v>196</v>
      </c>
      <c r="AD27" s="90" t="s">
        <v>196</v>
      </c>
      <c r="AE27" s="90" t="s">
        <v>198</v>
      </c>
      <c r="AF27" s="90" t="s">
        <v>198</v>
      </c>
      <c r="AG27" s="90" t="s">
        <v>198</v>
      </c>
      <c r="AH27" s="90" t="s">
        <v>198</v>
      </c>
      <c r="AI27" s="90" t="s">
        <v>194</v>
      </c>
      <c r="AJ27" s="90" t="s">
        <v>196</v>
      </c>
      <c r="AK27" s="90" t="s">
        <v>196</v>
      </c>
      <c r="AL27" s="90" t="s">
        <v>196</v>
      </c>
      <c r="AM27" s="90"/>
      <c r="AN27" s="90" t="s">
        <v>199</v>
      </c>
      <c r="AO27" s="90" t="s">
        <v>198</v>
      </c>
      <c r="AP27" s="90" t="s">
        <v>198</v>
      </c>
      <c r="AQ27" s="90" t="s">
        <v>198</v>
      </c>
      <c r="AR27" s="90" t="s">
        <v>198</v>
      </c>
      <c r="AS27" s="90" t="s">
        <v>198</v>
      </c>
      <c r="AT27" s="90" t="s">
        <v>198</v>
      </c>
      <c r="AU27" s="90" t="s">
        <v>198</v>
      </c>
      <c r="AV27" s="90" t="s">
        <v>198</v>
      </c>
      <c r="AW27" s="90" t="s">
        <v>198</v>
      </c>
      <c r="AX27" s="90" t="s">
        <v>198</v>
      </c>
      <c r="AY27" s="90"/>
      <c r="AZ27" s="90" t="s">
        <v>199</v>
      </c>
      <c r="BA27" s="90" t="s">
        <v>199</v>
      </c>
      <c r="BB27" s="90" t="s">
        <v>198</v>
      </c>
      <c r="BC27" s="90" t="s">
        <v>198</v>
      </c>
      <c r="BD27" s="90" t="s">
        <v>198</v>
      </c>
      <c r="BE27" s="90" t="s">
        <v>198</v>
      </c>
      <c r="BF27" s="90" t="s">
        <v>198</v>
      </c>
      <c r="BG27" s="90" t="s">
        <v>198</v>
      </c>
      <c r="BH27" s="90" t="s">
        <v>198</v>
      </c>
      <c r="BI27" s="90" t="s">
        <v>198</v>
      </c>
      <c r="BJ27" s="90" t="s">
        <v>198</v>
      </c>
      <c r="BK27" s="90" t="s">
        <v>198</v>
      </c>
      <c r="BL27" s="90" t="s">
        <v>198</v>
      </c>
      <c r="BM27" s="90" t="s">
        <v>198</v>
      </c>
      <c r="BN27" s="90" t="s">
        <v>198</v>
      </c>
      <c r="BO27" s="90" t="s">
        <v>198</v>
      </c>
      <c r="BP27" s="90" t="s">
        <v>198</v>
      </c>
      <c r="BQ27" s="90" t="s">
        <v>198</v>
      </c>
      <c r="BR27" s="90" t="s">
        <v>198</v>
      </c>
      <c r="BS27" s="90" t="s">
        <v>198</v>
      </c>
      <c r="BT27" s="90"/>
      <c r="BU27" s="90" t="s">
        <v>196</v>
      </c>
      <c r="BV27" s="90" t="s">
        <v>196</v>
      </c>
      <c r="BW27" s="90" t="s">
        <v>196</v>
      </c>
      <c r="BX27" s="90" t="s">
        <v>196</v>
      </c>
      <c r="BY27" s="90" t="s">
        <v>196</v>
      </c>
      <c r="BZ27" s="90" t="s">
        <v>196</v>
      </c>
      <c r="CA27" s="90" t="s">
        <v>196</v>
      </c>
      <c r="CB27" s="90"/>
      <c r="CC27" s="90" t="s">
        <v>203</v>
      </c>
      <c r="CD27" s="90"/>
      <c r="CE27" s="90" t="s">
        <v>194</v>
      </c>
      <c r="CF27" s="90"/>
      <c r="CG27" s="90"/>
      <c r="CH27" s="90"/>
      <c r="CI27" s="90" t="s">
        <v>194</v>
      </c>
      <c r="CJ27" s="90" t="s">
        <v>196</v>
      </c>
      <c r="CK27" s="90" t="s">
        <v>196</v>
      </c>
      <c r="CL27" s="90" t="s">
        <v>196</v>
      </c>
      <c r="CM27" s="90" t="s">
        <v>196</v>
      </c>
      <c r="CN27" s="90" t="s">
        <v>196</v>
      </c>
      <c r="CO27" s="90" t="s">
        <v>196</v>
      </c>
      <c r="CP27" s="90" t="s">
        <v>196</v>
      </c>
      <c r="CQ27" s="90" t="s">
        <v>196</v>
      </c>
      <c r="CR27" s="90" t="s">
        <v>196</v>
      </c>
      <c r="CS27" s="90" t="s">
        <v>196</v>
      </c>
      <c r="CT27" s="90" t="s">
        <v>196</v>
      </c>
      <c r="CU27" s="90" t="s">
        <v>196</v>
      </c>
      <c r="CV27" s="90" t="s">
        <v>196</v>
      </c>
      <c r="CW27" s="90" t="s">
        <v>196</v>
      </c>
      <c r="CX27" s="90" t="s">
        <v>196</v>
      </c>
      <c r="CY27" s="90" t="s">
        <v>196</v>
      </c>
      <c r="CZ27" s="90" t="s">
        <v>196</v>
      </c>
      <c r="DA27" s="90" t="s">
        <v>196</v>
      </c>
      <c r="DB27" s="90" t="s">
        <v>196</v>
      </c>
      <c r="DC27" s="90" t="s">
        <v>196</v>
      </c>
      <c r="DD27" s="90" t="s">
        <v>196</v>
      </c>
      <c r="DE27" s="90" t="s">
        <v>196</v>
      </c>
      <c r="DF27" s="90" t="s">
        <v>196</v>
      </c>
      <c r="DG27" s="90" t="s">
        <v>196</v>
      </c>
      <c r="DH27" s="90" t="s">
        <v>196</v>
      </c>
      <c r="DI27" s="90" t="s">
        <v>196</v>
      </c>
      <c r="DJ27" s="90" t="s">
        <v>196</v>
      </c>
      <c r="DK27" s="90"/>
      <c r="DL27" s="90" t="s">
        <v>194</v>
      </c>
      <c r="DM27" s="90" t="s">
        <v>196</v>
      </c>
      <c r="DN27" s="90" t="s">
        <v>196</v>
      </c>
      <c r="DO27" s="90" t="s">
        <v>196</v>
      </c>
      <c r="DP27" s="90" t="s">
        <v>196</v>
      </c>
      <c r="DQ27" s="90" t="s">
        <v>196</v>
      </c>
      <c r="DR27" s="90" t="s">
        <v>196</v>
      </c>
      <c r="DS27" s="90" t="s">
        <v>196</v>
      </c>
      <c r="DT27" s="90" t="s">
        <v>196</v>
      </c>
      <c r="DU27" s="90" t="s">
        <v>196</v>
      </c>
      <c r="DV27" s="90" t="s">
        <v>196</v>
      </c>
      <c r="DW27" s="90" t="s">
        <v>196</v>
      </c>
      <c r="DX27" s="90" t="s">
        <v>196</v>
      </c>
      <c r="DY27" s="90" t="s">
        <v>196</v>
      </c>
      <c r="DZ27" s="90" t="s">
        <v>196</v>
      </c>
      <c r="EA27" s="90"/>
      <c r="EB27" s="90" t="s">
        <v>194</v>
      </c>
      <c r="EC27" s="90" t="s">
        <v>196</v>
      </c>
      <c r="ED27" s="90" t="s">
        <v>196</v>
      </c>
      <c r="EE27" s="90" t="s">
        <v>196</v>
      </c>
      <c r="EF27" s="90" t="s">
        <v>196</v>
      </c>
      <c r="EG27" s="90" t="s">
        <v>196</v>
      </c>
      <c r="EH27" s="102" t="s">
        <v>196</v>
      </c>
    </row>
    <row r="28" spans="1:138" ht="23.25" customHeight="1" x14ac:dyDescent="0.25">
      <c r="A28" s="101" t="s">
        <v>17</v>
      </c>
      <c r="B28" s="90" t="s">
        <v>193</v>
      </c>
      <c r="C28" s="90" t="s">
        <v>194</v>
      </c>
      <c r="D28" s="90" t="s">
        <v>195</v>
      </c>
      <c r="E28" s="90" t="s">
        <v>30</v>
      </c>
      <c r="F28" s="90" t="s">
        <v>204</v>
      </c>
      <c r="G28" s="90" t="s">
        <v>196</v>
      </c>
      <c r="H28" s="90" t="s">
        <v>201</v>
      </c>
      <c r="I28" s="90" t="s">
        <v>204</v>
      </c>
      <c r="J28" s="90" t="s">
        <v>30</v>
      </c>
      <c r="K28" s="90" t="s">
        <v>201</v>
      </c>
      <c r="L28" s="90" t="s">
        <v>30</v>
      </c>
      <c r="M28" s="90" t="s">
        <v>204</v>
      </c>
      <c r="N28" s="90" t="s">
        <v>204</v>
      </c>
      <c r="O28" s="90" t="s">
        <v>196</v>
      </c>
      <c r="P28" s="90" t="s">
        <v>196</v>
      </c>
      <c r="Q28" s="90" t="s">
        <v>196</v>
      </c>
      <c r="R28" s="90" t="s">
        <v>195</v>
      </c>
      <c r="S28" s="90" t="s">
        <v>196</v>
      </c>
      <c r="T28" s="90"/>
      <c r="U28" s="90" t="s">
        <v>194</v>
      </c>
      <c r="V28" s="90" t="s">
        <v>195</v>
      </c>
      <c r="W28" s="90" t="s">
        <v>196</v>
      </c>
      <c r="X28" s="90" t="s">
        <v>195</v>
      </c>
      <c r="Y28" s="90" t="s">
        <v>196</v>
      </c>
      <c r="Z28" s="90" t="s">
        <v>197</v>
      </c>
      <c r="AA28" s="90" t="s">
        <v>204</v>
      </c>
      <c r="AB28" s="90" t="s">
        <v>201</v>
      </c>
      <c r="AC28" s="90" t="s">
        <v>30</v>
      </c>
      <c r="AD28" s="90" t="s">
        <v>204</v>
      </c>
      <c r="AE28" s="90" t="s">
        <v>198</v>
      </c>
      <c r="AF28" s="90" t="s">
        <v>198</v>
      </c>
      <c r="AG28" s="90" t="s">
        <v>198</v>
      </c>
      <c r="AH28" s="90" t="s">
        <v>198</v>
      </c>
      <c r="AI28" s="90" t="s">
        <v>199</v>
      </c>
      <c r="AJ28" s="90" t="s">
        <v>198</v>
      </c>
      <c r="AK28" s="90" t="s">
        <v>198</v>
      </c>
      <c r="AL28" s="90" t="s">
        <v>198</v>
      </c>
      <c r="AM28" s="90"/>
      <c r="AN28" s="90" t="s">
        <v>194</v>
      </c>
      <c r="AO28" s="90" t="s">
        <v>195</v>
      </c>
      <c r="AP28" s="90" t="s">
        <v>204</v>
      </c>
      <c r="AQ28" s="90" t="s">
        <v>204</v>
      </c>
      <c r="AR28" s="90" t="s">
        <v>204</v>
      </c>
      <c r="AS28" s="90" t="s">
        <v>207</v>
      </c>
      <c r="AT28" s="90" t="s">
        <v>196</v>
      </c>
      <c r="AU28" s="90" t="s">
        <v>196</v>
      </c>
      <c r="AV28" s="90" t="s">
        <v>207</v>
      </c>
      <c r="AW28" s="90" t="s">
        <v>195</v>
      </c>
      <c r="AX28" s="90" t="s">
        <v>204</v>
      </c>
      <c r="AY28" s="90"/>
      <c r="AZ28" s="90" t="s">
        <v>194</v>
      </c>
      <c r="BA28" s="90" t="s">
        <v>194</v>
      </c>
      <c r="BB28" s="90" t="s">
        <v>195</v>
      </c>
      <c r="BC28" s="90" t="s">
        <v>195</v>
      </c>
      <c r="BD28" s="90" t="s">
        <v>196</v>
      </c>
      <c r="BE28" s="90" t="s">
        <v>196</v>
      </c>
      <c r="BF28" s="90" t="s">
        <v>196</v>
      </c>
      <c r="BG28" s="90" t="s">
        <v>196</v>
      </c>
      <c r="BH28" s="90" t="s">
        <v>196</v>
      </c>
      <c r="BI28" s="90" t="s">
        <v>196</v>
      </c>
      <c r="BJ28" s="90" t="s">
        <v>196</v>
      </c>
      <c r="BK28" s="90" t="s">
        <v>195</v>
      </c>
      <c r="BL28" s="90" t="s">
        <v>196</v>
      </c>
      <c r="BM28" s="90" t="s">
        <v>196</v>
      </c>
      <c r="BN28" s="90" t="s">
        <v>30</v>
      </c>
      <c r="BO28" s="90" t="s">
        <v>204</v>
      </c>
      <c r="BP28" s="90" t="s">
        <v>196</v>
      </c>
      <c r="BQ28" s="90" t="s">
        <v>195</v>
      </c>
      <c r="BR28" s="90" t="s">
        <v>195</v>
      </c>
      <c r="BS28" s="90" t="s">
        <v>204</v>
      </c>
      <c r="BT28" s="90"/>
      <c r="BU28" s="90" t="s">
        <v>202</v>
      </c>
      <c r="BV28" s="90" t="s">
        <v>202</v>
      </c>
      <c r="BW28" s="90" t="s">
        <v>202</v>
      </c>
      <c r="BX28" s="90" t="s">
        <v>202</v>
      </c>
      <c r="BY28" s="90" t="s">
        <v>202</v>
      </c>
      <c r="BZ28" s="90" t="s">
        <v>202</v>
      </c>
      <c r="CA28" s="90" t="s">
        <v>202</v>
      </c>
      <c r="CB28" s="90"/>
      <c r="CC28" s="90" t="s">
        <v>200</v>
      </c>
      <c r="CD28" s="90"/>
      <c r="CE28" s="90" t="s">
        <v>194</v>
      </c>
      <c r="CF28" s="90"/>
      <c r="CG28" s="90"/>
      <c r="CH28" s="90"/>
      <c r="CI28" s="90" t="s">
        <v>199</v>
      </c>
      <c r="CJ28" s="90" t="s">
        <v>198</v>
      </c>
      <c r="CK28" s="90" t="s">
        <v>198</v>
      </c>
      <c r="CL28" s="90" t="s">
        <v>198</v>
      </c>
      <c r="CM28" s="90" t="s">
        <v>198</v>
      </c>
      <c r="CN28" s="90" t="s">
        <v>198</v>
      </c>
      <c r="CO28" s="90" t="s">
        <v>198</v>
      </c>
      <c r="CP28" s="90" t="s">
        <v>198</v>
      </c>
      <c r="CQ28" s="90" t="s">
        <v>198</v>
      </c>
      <c r="CR28" s="90" t="s">
        <v>198</v>
      </c>
      <c r="CS28" s="90" t="s">
        <v>198</v>
      </c>
      <c r="CT28" s="90" t="s">
        <v>198</v>
      </c>
      <c r="CU28" s="90" t="s">
        <v>198</v>
      </c>
      <c r="CV28" s="90" t="s">
        <v>198</v>
      </c>
      <c r="CW28" s="90" t="s">
        <v>198</v>
      </c>
      <c r="CX28" s="90" t="s">
        <v>198</v>
      </c>
      <c r="CY28" s="90" t="s">
        <v>198</v>
      </c>
      <c r="CZ28" s="90" t="s">
        <v>198</v>
      </c>
      <c r="DA28" s="90" t="s">
        <v>198</v>
      </c>
      <c r="DB28" s="90" t="s">
        <v>198</v>
      </c>
      <c r="DC28" s="90" t="s">
        <v>198</v>
      </c>
      <c r="DD28" s="90" t="s">
        <v>198</v>
      </c>
      <c r="DE28" s="90" t="s">
        <v>198</v>
      </c>
      <c r="DF28" s="90" t="s">
        <v>198</v>
      </c>
      <c r="DG28" s="90" t="s">
        <v>198</v>
      </c>
      <c r="DH28" s="90" t="s">
        <v>198</v>
      </c>
      <c r="DI28" s="90" t="s">
        <v>198</v>
      </c>
      <c r="DJ28" s="90" t="s">
        <v>198</v>
      </c>
      <c r="DK28" s="90"/>
      <c r="DL28" s="90" t="s">
        <v>199</v>
      </c>
      <c r="DM28" s="90" t="s">
        <v>198</v>
      </c>
      <c r="DN28" s="90" t="s">
        <v>198</v>
      </c>
      <c r="DO28" s="90" t="s">
        <v>198</v>
      </c>
      <c r="DP28" s="90" t="s">
        <v>198</v>
      </c>
      <c r="DQ28" s="90" t="s">
        <v>198</v>
      </c>
      <c r="DR28" s="90" t="s">
        <v>198</v>
      </c>
      <c r="DS28" s="90" t="s">
        <v>198</v>
      </c>
      <c r="DT28" s="90" t="s">
        <v>198</v>
      </c>
      <c r="DU28" s="90" t="s">
        <v>198</v>
      </c>
      <c r="DV28" s="90" t="s">
        <v>198</v>
      </c>
      <c r="DW28" s="90" t="s">
        <v>198</v>
      </c>
      <c r="DX28" s="90" t="s">
        <v>198</v>
      </c>
      <c r="DY28" s="90" t="s">
        <v>198</v>
      </c>
      <c r="DZ28" s="90" t="s">
        <v>198</v>
      </c>
      <c r="EA28" s="90"/>
      <c r="EB28" s="90" t="s">
        <v>199</v>
      </c>
      <c r="EC28" s="90" t="s">
        <v>198</v>
      </c>
      <c r="ED28" s="90" t="s">
        <v>198</v>
      </c>
      <c r="EE28" s="90" t="s">
        <v>198</v>
      </c>
      <c r="EF28" s="90" t="s">
        <v>198</v>
      </c>
      <c r="EG28" s="90" t="s">
        <v>198</v>
      </c>
      <c r="EH28" s="102" t="s">
        <v>198</v>
      </c>
    </row>
    <row r="29" spans="1:138" ht="23.25" customHeight="1" x14ac:dyDescent="0.25">
      <c r="A29" s="98" t="s">
        <v>17</v>
      </c>
      <c r="B29" s="99" t="s">
        <v>193</v>
      </c>
      <c r="C29" s="99" t="s">
        <v>199</v>
      </c>
      <c r="D29" s="99" t="s">
        <v>198</v>
      </c>
      <c r="E29" s="99" t="s">
        <v>198</v>
      </c>
      <c r="F29" s="99" t="s">
        <v>198</v>
      </c>
      <c r="G29" s="99" t="s">
        <v>198</v>
      </c>
      <c r="H29" s="99" t="s">
        <v>198</v>
      </c>
      <c r="I29" s="99" t="s">
        <v>198</v>
      </c>
      <c r="J29" s="99" t="s">
        <v>198</v>
      </c>
      <c r="K29" s="99" t="s">
        <v>198</v>
      </c>
      <c r="L29" s="99" t="s">
        <v>198</v>
      </c>
      <c r="M29" s="99" t="s">
        <v>198</v>
      </c>
      <c r="N29" s="99" t="s">
        <v>198</v>
      </c>
      <c r="O29" s="99" t="s">
        <v>198</v>
      </c>
      <c r="P29" s="99" t="s">
        <v>198</v>
      </c>
      <c r="Q29" s="99" t="s">
        <v>198</v>
      </c>
      <c r="R29" s="99" t="s">
        <v>198</v>
      </c>
      <c r="S29" s="99" t="s">
        <v>198</v>
      </c>
      <c r="T29" s="99"/>
      <c r="U29" s="99" t="s">
        <v>199</v>
      </c>
      <c r="V29" s="99" t="s">
        <v>198</v>
      </c>
      <c r="W29" s="99" t="s">
        <v>198</v>
      </c>
      <c r="X29" s="99" t="s">
        <v>198</v>
      </c>
      <c r="Y29" s="99" t="s">
        <v>198</v>
      </c>
      <c r="Z29" s="99" t="s">
        <v>197</v>
      </c>
      <c r="AA29" s="99" t="s">
        <v>198</v>
      </c>
      <c r="AB29" s="99" t="s">
        <v>198</v>
      </c>
      <c r="AC29" s="99" t="s">
        <v>198</v>
      </c>
      <c r="AD29" s="99" t="s">
        <v>198</v>
      </c>
      <c r="AE29" s="99" t="s">
        <v>198</v>
      </c>
      <c r="AF29" s="99" t="s">
        <v>198</v>
      </c>
      <c r="AG29" s="99" t="s">
        <v>198</v>
      </c>
      <c r="AH29" s="99" t="s">
        <v>198</v>
      </c>
      <c r="AI29" s="99" t="s">
        <v>199</v>
      </c>
      <c r="AJ29" s="99" t="s">
        <v>198</v>
      </c>
      <c r="AK29" s="99" t="s">
        <v>198</v>
      </c>
      <c r="AL29" s="99" t="s">
        <v>198</v>
      </c>
      <c r="AM29" s="99"/>
      <c r="AN29" s="99" t="s">
        <v>194</v>
      </c>
      <c r="AO29" s="99" t="s">
        <v>195</v>
      </c>
      <c r="AP29" s="99" t="s">
        <v>195</v>
      </c>
      <c r="AQ29" s="99" t="s">
        <v>204</v>
      </c>
      <c r="AR29" s="99" t="s">
        <v>204</v>
      </c>
      <c r="AS29" s="99" t="s">
        <v>30</v>
      </c>
      <c r="AT29" s="99" t="s">
        <v>196</v>
      </c>
      <c r="AU29" s="99" t="s">
        <v>196</v>
      </c>
      <c r="AV29" s="99" t="s">
        <v>196</v>
      </c>
      <c r="AW29" s="99" t="s">
        <v>196</v>
      </c>
      <c r="AX29" s="99" t="s">
        <v>195</v>
      </c>
      <c r="AY29" s="99"/>
      <c r="AZ29" s="99" t="s">
        <v>199</v>
      </c>
      <c r="BA29" s="99" t="s">
        <v>199</v>
      </c>
      <c r="BB29" s="99" t="s">
        <v>198</v>
      </c>
      <c r="BC29" s="99" t="s">
        <v>198</v>
      </c>
      <c r="BD29" s="99" t="s">
        <v>198</v>
      </c>
      <c r="BE29" s="99" t="s">
        <v>198</v>
      </c>
      <c r="BF29" s="99" t="s">
        <v>198</v>
      </c>
      <c r="BG29" s="99" t="s">
        <v>198</v>
      </c>
      <c r="BH29" s="99" t="s">
        <v>198</v>
      </c>
      <c r="BI29" s="99" t="s">
        <v>198</v>
      </c>
      <c r="BJ29" s="99" t="s">
        <v>198</v>
      </c>
      <c r="BK29" s="99" t="s">
        <v>198</v>
      </c>
      <c r="BL29" s="99" t="s">
        <v>198</v>
      </c>
      <c r="BM29" s="99" t="s">
        <v>198</v>
      </c>
      <c r="BN29" s="99" t="s">
        <v>198</v>
      </c>
      <c r="BO29" s="99" t="s">
        <v>198</v>
      </c>
      <c r="BP29" s="99" t="s">
        <v>198</v>
      </c>
      <c r="BQ29" s="99" t="s">
        <v>198</v>
      </c>
      <c r="BR29" s="99" t="s">
        <v>198</v>
      </c>
      <c r="BS29" s="99" t="s">
        <v>198</v>
      </c>
      <c r="BT29" s="99"/>
      <c r="BU29" s="99" t="s">
        <v>202</v>
      </c>
      <c r="BV29" s="99" t="s">
        <v>202</v>
      </c>
      <c r="BW29" s="99" t="s">
        <v>202</v>
      </c>
      <c r="BX29" s="99" t="s">
        <v>202</v>
      </c>
      <c r="BY29" s="99" t="s">
        <v>202</v>
      </c>
      <c r="BZ29" s="99" t="s">
        <v>202</v>
      </c>
      <c r="CA29" s="99" t="s">
        <v>202</v>
      </c>
      <c r="CB29" s="99"/>
      <c r="CC29" s="99" t="s">
        <v>203</v>
      </c>
      <c r="CD29" s="99"/>
      <c r="CE29" s="99" t="s">
        <v>194</v>
      </c>
      <c r="CF29" s="99"/>
      <c r="CG29" s="99"/>
      <c r="CH29" s="99"/>
      <c r="CI29" s="99" t="s">
        <v>199</v>
      </c>
      <c r="CJ29" s="99" t="s">
        <v>198</v>
      </c>
      <c r="CK29" s="99" t="s">
        <v>198</v>
      </c>
      <c r="CL29" s="99" t="s">
        <v>198</v>
      </c>
      <c r="CM29" s="99" t="s">
        <v>198</v>
      </c>
      <c r="CN29" s="99" t="s">
        <v>198</v>
      </c>
      <c r="CO29" s="99" t="s">
        <v>198</v>
      </c>
      <c r="CP29" s="99" t="s">
        <v>198</v>
      </c>
      <c r="CQ29" s="99" t="s">
        <v>198</v>
      </c>
      <c r="CR29" s="99" t="s">
        <v>198</v>
      </c>
      <c r="CS29" s="99" t="s">
        <v>198</v>
      </c>
      <c r="CT29" s="99" t="s">
        <v>198</v>
      </c>
      <c r="CU29" s="99" t="s">
        <v>198</v>
      </c>
      <c r="CV29" s="99" t="s">
        <v>198</v>
      </c>
      <c r="CW29" s="99" t="s">
        <v>198</v>
      </c>
      <c r="CX29" s="99" t="s">
        <v>198</v>
      </c>
      <c r="CY29" s="99" t="s">
        <v>198</v>
      </c>
      <c r="CZ29" s="99" t="s">
        <v>198</v>
      </c>
      <c r="DA29" s="99" t="s">
        <v>198</v>
      </c>
      <c r="DB29" s="99" t="s">
        <v>198</v>
      </c>
      <c r="DC29" s="99" t="s">
        <v>198</v>
      </c>
      <c r="DD29" s="99" t="s">
        <v>198</v>
      </c>
      <c r="DE29" s="99" t="s">
        <v>198</v>
      </c>
      <c r="DF29" s="99" t="s">
        <v>198</v>
      </c>
      <c r="DG29" s="99" t="s">
        <v>198</v>
      </c>
      <c r="DH29" s="99" t="s">
        <v>198</v>
      </c>
      <c r="DI29" s="99" t="s">
        <v>198</v>
      </c>
      <c r="DJ29" s="99" t="s">
        <v>198</v>
      </c>
      <c r="DK29" s="99"/>
      <c r="DL29" s="99" t="s">
        <v>199</v>
      </c>
      <c r="DM29" s="99" t="s">
        <v>198</v>
      </c>
      <c r="DN29" s="99" t="s">
        <v>198</v>
      </c>
      <c r="DO29" s="99" t="s">
        <v>198</v>
      </c>
      <c r="DP29" s="99" t="s">
        <v>198</v>
      </c>
      <c r="DQ29" s="99" t="s">
        <v>198</v>
      </c>
      <c r="DR29" s="99" t="s">
        <v>198</v>
      </c>
      <c r="DS29" s="99" t="s">
        <v>198</v>
      </c>
      <c r="DT29" s="99" t="s">
        <v>198</v>
      </c>
      <c r="DU29" s="99" t="s">
        <v>198</v>
      </c>
      <c r="DV29" s="99" t="s">
        <v>198</v>
      </c>
      <c r="DW29" s="99" t="s">
        <v>198</v>
      </c>
      <c r="DX29" s="99" t="s">
        <v>198</v>
      </c>
      <c r="DY29" s="99" t="s">
        <v>198</v>
      </c>
      <c r="DZ29" s="99" t="s">
        <v>198</v>
      </c>
      <c r="EA29" s="99"/>
      <c r="EB29" s="99" t="s">
        <v>199</v>
      </c>
      <c r="EC29" s="99" t="s">
        <v>198</v>
      </c>
      <c r="ED29" s="99" t="s">
        <v>198</v>
      </c>
      <c r="EE29" s="99" t="s">
        <v>198</v>
      </c>
      <c r="EF29" s="99" t="s">
        <v>198</v>
      </c>
      <c r="EG29" s="99" t="s">
        <v>198</v>
      </c>
      <c r="EH29" s="100" t="s">
        <v>198</v>
      </c>
    </row>
    <row r="30" spans="1:138" ht="23.25" customHeight="1" x14ac:dyDescent="0.25">
      <c r="A30" s="101" t="s">
        <v>17</v>
      </c>
      <c r="B30" s="90" t="s">
        <v>193</v>
      </c>
      <c r="C30" s="90" t="s">
        <v>199</v>
      </c>
      <c r="D30" s="90" t="s">
        <v>198</v>
      </c>
      <c r="E30" s="90" t="s">
        <v>198</v>
      </c>
      <c r="F30" s="90" t="s">
        <v>198</v>
      </c>
      <c r="G30" s="90" t="s">
        <v>198</v>
      </c>
      <c r="H30" s="90" t="s">
        <v>198</v>
      </c>
      <c r="I30" s="90" t="s">
        <v>198</v>
      </c>
      <c r="J30" s="90" t="s">
        <v>198</v>
      </c>
      <c r="K30" s="90" t="s">
        <v>198</v>
      </c>
      <c r="L30" s="90" t="s">
        <v>198</v>
      </c>
      <c r="M30" s="90" t="s">
        <v>198</v>
      </c>
      <c r="N30" s="90" t="s">
        <v>198</v>
      </c>
      <c r="O30" s="90" t="s">
        <v>198</v>
      </c>
      <c r="P30" s="90" t="s">
        <v>198</v>
      </c>
      <c r="Q30" s="90" t="s">
        <v>198</v>
      </c>
      <c r="R30" s="90" t="s">
        <v>198</v>
      </c>
      <c r="S30" s="90" t="s">
        <v>198</v>
      </c>
      <c r="T30" s="90"/>
      <c r="U30" s="90" t="s">
        <v>199</v>
      </c>
      <c r="V30" s="90" t="s">
        <v>198</v>
      </c>
      <c r="W30" s="90" t="s">
        <v>198</v>
      </c>
      <c r="X30" s="90" t="s">
        <v>198</v>
      </c>
      <c r="Y30" s="90" t="s">
        <v>198</v>
      </c>
      <c r="Z30" s="90" t="s">
        <v>197</v>
      </c>
      <c r="AA30" s="90" t="s">
        <v>198</v>
      </c>
      <c r="AB30" s="90" t="s">
        <v>198</v>
      </c>
      <c r="AC30" s="90" t="s">
        <v>198</v>
      </c>
      <c r="AD30" s="90" t="s">
        <v>198</v>
      </c>
      <c r="AE30" s="90" t="s">
        <v>198</v>
      </c>
      <c r="AF30" s="90" t="s">
        <v>198</v>
      </c>
      <c r="AG30" s="90" t="s">
        <v>198</v>
      </c>
      <c r="AH30" s="90" t="s">
        <v>198</v>
      </c>
      <c r="AI30" s="90" t="s">
        <v>199</v>
      </c>
      <c r="AJ30" s="90" t="s">
        <v>198</v>
      </c>
      <c r="AK30" s="90" t="s">
        <v>198</v>
      </c>
      <c r="AL30" s="90" t="s">
        <v>198</v>
      </c>
      <c r="AM30" s="90"/>
      <c r="AN30" s="90" t="s">
        <v>199</v>
      </c>
      <c r="AO30" s="90" t="s">
        <v>198</v>
      </c>
      <c r="AP30" s="90" t="s">
        <v>198</v>
      </c>
      <c r="AQ30" s="90" t="s">
        <v>198</v>
      </c>
      <c r="AR30" s="90" t="s">
        <v>198</v>
      </c>
      <c r="AS30" s="90" t="s">
        <v>198</v>
      </c>
      <c r="AT30" s="90" t="s">
        <v>198</v>
      </c>
      <c r="AU30" s="90" t="s">
        <v>198</v>
      </c>
      <c r="AV30" s="90" t="s">
        <v>198</v>
      </c>
      <c r="AW30" s="90" t="s">
        <v>198</v>
      </c>
      <c r="AX30" s="90" t="s">
        <v>198</v>
      </c>
      <c r="AY30" s="90"/>
      <c r="AZ30" s="90" t="s">
        <v>194</v>
      </c>
      <c r="BA30" s="90" t="s">
        <v>194</v>
      </c>
      <c r="BB30" s="90" t="s">
        <v>195</v>
      </c>
      <c r="BC30" s="90" t="s">
        <v>195</v>
      </c>
      <c r="BD30" s="90" t="s">
        <v>195</v>
      </c>
      <c r="BE30" s="90" t="s">
        <v>196</v>
      </c>
      <c r="BF30" s="90" t="s">
        <v>195</v>
      </c>
      <c r="BG30" s="90" t="s">
        <v>196</v>
      </c>
      <c r="BH30" s="90" t="s">
        <v>195</v>
      </c>
      <c r="BI30" s="90" t="s">
        <v>196</v>
      </c>
      <c r="BJ30" s="90" t="s">
        <v>196</v>
      </c>
      <c r="BK30" s="90" t="s">
        <v>195</v>
      </c>
      <c r="BL30" s="90" t="s">
        <v>196</v>
      </c>
      <c r="BM30" s="90" t="s">
        <v>196</v>
      </c>
      <c r="BN30" s="90" t="s">
        <v>195</v>
      </c>
      <c r="BO30" s="90" t="s">
        <v>195</v>
      </c>
      <c r="BP30" s="90" t="s">
        <v>196</v>
      </c>
      <c r="BQ30" s="90" t="s">
        <v>196</v>
      </c>
      <c r="BR30" s="90" t="s">
        <v>196</v>
      </c>
      <c r="BS30" s="90" t="s">
        <v>195</v>
      </c>
      <c r="BT30" s="90"/>
      <c r="BU30" s="90" t="s">
        <v>202</v>
      </c>
      <c r="BV30" s="90" t="s">
        <v>202</v>
      </c>
      <c r="BW30" s="90" t="s">
        <v>202</v>
      </c>
      <c r="BX30" s="90" t="s">
        <v>202</v>
      </c>
      <c r="BY30" s="90" t="s">
        <v>202</v>
      </c>
      <c r="BZ30" s="90" t="s">
        <v>202</v>
      </c>
      <c r="CA30" s="90" t="s">
        <v>202</v>
      </c>
      <c r="CB30" s="90"/>
      <c r="CC30" s="90" t="s">
        <v>206</v>
      </c>
      <c r="CD30" s="90"/>
      <c r="CE30" s="90" t="s">
        <v>194</v>
      </c>
      <c r="CF30" s="90"/>
      <c r="CG30" s="90"/>
      <c r="CH30" s="90"/>
      <c r="CI30" s="90" t="s">
        <v>199</v>
      </c>
      <c r="CJ30" s="90" t="s">
        <v>198</v>
      </c>
      <c r="CK30" s="90" t="s">
        <v>198</v>
      </c>
      <c r="CL30" s="90" t="s">
        <v>198</v>
      </c>
      <c r="CM30" s="90" t="s">
        <v>198</v>
      </c>
      <c r="CN30" s="90" t="s">
        <v>198</v>
      </c>
      <c r="CO30" s="90" t="s">
        <v>198</v>
      </c>
      <c r="CP30" s="90" t="s">
        <v>198</v>
      </c>
      <c r="CQ30" s="90" t="s">
        <v>198</v>
      </c>
      <c r="CR30" s="90" t="s">
        <v>198</v>
      </c>
      <c r="CS30" s="90" t="s">
        <v>198</v>
      </c>
      <c r="CT30" s="90" t="s">
        <v>198</v>
      </c>
      <c r="CU30" s="90" t="s">
        <v>198</v>
      </c>
      <c r="CV30" s="90" t="s">
        <v>198</v>
      </c>
      <c r="CW30" s="90" t="s">
        <v>198</v>
      </c>
      <c r="CX30" s="90" t="s">
        <v>198</v>
      </c>
      <c r="CY30" s="90" t="s">
        <v>198</v>
      </c>
      <c r="CZ30" s="90" t="s">
        <v>198</v>
      </c>
      <c r="DA30" s="90" t="s">
        <v>198</v>
      </c>
      <c r="DB30" s="90" t="s">
        <v>198</v>
      </c>
      <c r="DC30" s="90" t="s">
        <v>198</v>
      </c>
      <c r="DD30" s="90" t="s">
        <v>198</v>
      </c>
      <c r="DE30" s="90" t="s">
        <v>198</v>
      </c>
      <c r="DF30" s="90" t="s">
        <v>198</v>
      </c>
      <c r="DG30" s="90" t="s">
        <v>198</v>
      </c>
      <c r="DH30" s="90" t="s">
        <v>198</v>
      </c>
      <c r="DI30" s="90" t="s">
        <v>198</v>
      </c>
      <c r="DJ30" s="90" t="s">
        <v>198</v>
      </c>
      <c r="DK30" s="90"/>
      <c r="DL30" s="90" t="s">
        <v>199</v>
      </c>
      <c r="DM30" s="90" t="s">
        <v>198</v>
      </c>
      <c r="DN30" s="90" t="s">
        <v>198</v>
      </c>
      <c r="DO30" s="90" t="s">
        <v>198</v>
      </c>
      <c r="DP30" s="90" t="s">
        <v>198</v>
      </c>
      <c r="DQ30" s="90" t="s">
        <v>198</v>
      </c>
      <c r="DR30" s="90" t="s">
        <v>198</v>
      </c>
      <c r="DS30" s="90" t="s">
        <v>198</v>
      </c>
      <c r="DT30" s="90" t="s">
        <v>198</v>
      </c>
      <c r="DU30" s="90" t="s">
        <v>198</v>
      </c>
      <c r="DV30" s="90" t="s">
        <v>198</v>
      </c>
      <c r="DW30" s="90" t="s">
        <v>198</v>
      </c>
      <c r="DX30" s="90" t="s">
        <v>198</v>
      </c>
      <c r="DY30" s="90" t="s">
        <v>198</v>
      </c>
      <c r="DZ30" s="90" t="s">
        <v>198</v>
      </c>
      <c r="EA30" s="90"/>
      <c r="EB30" s="90" t="s">
        <v>199</v>
      </c>
      <c r="EC30" s="90" t="s">
        <v>198</v>
      </c>
      <c r="ED30" s="90" t="s">
        <v>198</v>
      </c>
      <c r="EE30" s="90" t="s">
        <v>198</v>
      </c>
      <c r="EF30" s="90" t="s">
        <v>198</v>
      </c>
      <c r="EG30" s="90" t="s">
        <v>198</v>
      </c>
      <c r="EH30" s="102" t="s">
        <v>198</v>
      </c>
    </row>
    <row r="31" spans="1:138" ht="23.25" customHeight="1" x14ac:dyDescent="0.25">
      <c r="A31" s="98" t="s">
        <v>17</v>
      </c>
      <c r="B31" s="99" t="s">
        <v>193</v>
      </c>
      <c r="C31" s="99" t="s">
        <v>199</v>
      </c>
      <c r="D31" s="99" t="s">
        <v>198</v>
      </c>
      <c r="E31" s="99" t="s">
        <v>198</v>
      </c>
      <c r="F31" s="99" t="s">
        <v>198</v>
      </c>
      <c r="G31" s="99" t="s">
        <v>198</v>
      </c>
      <c r="H31" s="99" t="s">
        <v>198</v>
      </c>
      <c r="I31" s="99" t="s">
        <v>198</v>
      </c>
      <c r="J31" s="99" t="s">
        <v>198</v>
      </c>
      <c r="K31" s="99" t="s">
        <v>198</v>
      </c>
      <c r="L31" s="99" t="s">
        <v>198</v>
      </c>
      <c r="M31" s="99" t="s">
        <v>198</v>
      </c>
      <c r="N31" s="99" t="s">
        <v>198</v>
      </c>
      <c r="O31" s="99" t="s">
        <v>198</v>
      </c>
      <c r="P31" s="99" t="s">
        <v>198</v>
      </c>
      <c r="Q31" s="99" t="s">
        <v>198</v>
      </c>
      <c r="R31" s="99" t="s">
        <v>198</v>
      </c>
      <c r="S31" s="99" t="s">
        <v>198</v>
      </c>
      <c r="T31" s="99"/>
      <c r="U31" s="99" t="s">
        <v>199</v>
      </c>
      <c r="V31" s="99" t="s">
        <v>198</v>
      </c>
      <c r="W31" s="99" t="s">
        <v>198</v>
      </c>
      <c r="X31" s="99" t="s">
        <v>198</v>
      </c>
      <c r="Y31" s="99" t="s">
        <v>198</v>
      </c>
      <c r="Z31" s="99" t="s">
        <v>197</v>
      </c>
      <c r="AA31" s="99" t="s">
        <v>198</v>
      </c>
      <c r="AB31" s="99" t="s">
        <v>198</v>
      </c>
      <c r="AC31" s="99" t="s">
        <v>198</v>
      </c>
      <c r="AD31" s="99" t="s">
        <v>198</v>
      </c>
      <c r="AE31" s="99" t="s">
        <v>198</v>
      </c>
      <c r="AF31" s="99" t="s">
        <v>198</v>
      </c>
      <c r="AG31" s="99" t="s">
        <v>198</v>
      </c>
      <c r="AH31" s="99" t="s">
        <v>198</v>
      </c>
      <c r="AI31" s="99" t="s">
        <v>199</v>
      </c>
      <c r="AJ31" s="99" t="s">
        <v>198</v>
      </c>
      <c r="AK31" s="99" t="s">
        <v>198</v>
      </c>
      <c r="AL31" s="99" t="s">
        <v>198</v>
      </c>
      <c r="AM31" s="99"/>
      <c r="AN31" s="99" t="s">
        <v>199</v>
      </c>
      <c r="AO31" s="99" t="s">
        <v>198</v>
      </c>
      <c r="AP31" s="99" t="s">
        <v>198</v>
      </c>
      <c r="AQ31" s="99" t="s">
        <v>198</v>
      </c>
      <c r="AR31" s="99" t="s">
        <v>198</v>
      </c>
      <c r="AS31" s="99" t="s">
        <v>198</v>
      </c>
      <c r="AT31" s="99" t="s">
        <v>198</v>
      </c>
      <c r="AU31" s="99" t="s">
        <v>198</v>
      </c>
      <c r="AV31" s="99" t="s">
        <v>198</v>
      </c>
      <c r="AW31" s="99" t="s">
        <v>198</v>
      </c>
      <c r="AX31" s="99" t="s">
        <v>198</v>
      </c>
      <c r="AY31" s="99"/>
      <c r="AZ31" s="99" t="s">
        <v>199</v>
      </c>
      <c r="BA31" s="99" t="s">
        <v>199</v>
      </c>
      <c r="BB31" s="99" t="s">
        <v>198</v>
      </c>
      <c r="BC31" s="99" t="s">
        <v>198</v>
      </c>
      <c r="BD31" s="99" t="s">
        <v>198</v>
      </c>
      <c r="BE31" s="99" t="s">
        <v>198</v>
      </c>
      <c r="BF31" s="99" t="s">
        <v>198</v>
      </c>
      <c r="BG31" s="99" t="s">
        <v>198</v>
      </c>
      <c r="BH31" s="99" t="s">
        <v>198</v>
      </c>
      <c r="BI31" s="99" t="s">
        <v>198</v>
      </c>
      <c r="BJ31" s="99" t="s">
        <v>198</v>
      </c>
      <c r="BK31" s="99" t="s">
        <v>198</v>
      </c>
      <c r="BL31" s="99" t="s">
        <v>198</v>
      </c>
      <c r="BM31" s="99" t="s">
        <v>198</v>
      </c>
      <c r="BN31" s="99" t="s">
        <v>198</v>
      </c>
      <c r="BO31" s="99" t="s">
        <v>198</v>
      </c>
      <c r="BP31" s="99" t="s">
        <v>198</v>
      </c>
      <c r="BQ31" s="99" t="s">
        <v>198</v>
      </c>
      <c r="BR31" s="99" t="s">
        <v>198</v>
      </c>
      <c r="BS31" s="99" t="s">
        <v>198</v>
      </c>
      <c r="BT31" s="99"/>
      <c r="BU31" s="99" t="s">
        <v>198</v>
      </c>
      <c r="BV31" s="99" t="s">
        <v>195</v>
      </c>
      <c r="BW31" s="99" t="s">
        <v>196</v>
      </c>
      <c r="BX31" s="99" t="s">
        <v>196</v>
      </c>
      <c r="BY31" s="99" t="s">
        <v>198</v>
      </c>
      <c r="BZ31" s="99" t="s">
        <v>198</v>
      </c>
      <c r="CA31" s="99" t="s">
        <v>198</v>
      </c>
      <c r="CB31" s="99"/>
      <c r="CC31" s="99" t="s">
        <v>206</v>
      </c>
      <c r="CD31" s="99"/>
      <c r="CE31" s="99" t="s">
        <v>194</v>
      </c>
      <c r="CF31" s="99"/>
      <c r="CG31" s="99"/>
      <c r="CH31" s="99"/>
      <c r="CI31" s="99" t="s">
        <v>199</v>
      </c>
      <c r="CJ31" s="99" t="s">
        <v>198</v>
      </c>
      <c r="CK31" s="99" t="s">
        <v>198</v>
      </c>
      <c r="CL31" s="99" t="s">
        <v>198</v>
      </c>
      <c r="CM31" s="99" t="s">
        <v>198</v>
      </c>
      <c r="CN31" s="99" t="s">
        <v>198</v>
      </c>
      <c r="CO31" s="99" t="s">
        <v>198</v>
      </c>
      <c r="CP31" s="99" t="s">
        <v>198</v>
      </c>
      <c r="CQ31" s="99" t="s">
        <v>198</v>
      </c>
      <c r="CR31" s="99" t="s">
        <v>198</v>
      </c>
      <c r="CS31" s="99" t="s">
        <v>198</v>
      </c>
      <c r="CT31" s="99" t="s">
        <v>198</v>
      </c>
      <c r="CU31" s="99" t="s">
        <v>198</v>
      </c>
      <c r="CV31" s="99" t="s">
        <v>198</v>
      </c>
      <c r="CW31" s="99" t="s">
        <v>198</v>
      </c>
      <c r="CX31" s="99" t="s">
        <v>198</v>
      </c>
      <c r="CY31" s="99" t="s">
        <v>198</v>
      </c>
      <c r="CZ31" s="99" t="s">
        <v>198</v>
      </c>
      <c r="DA31" s="99" t="s">
        <v>198</v>
      </c>
      <c r="DB31" s="99" t="s">
        <v>198</v>
      </c>
      <c r="DC31" s="99" t="s">
        <v>198</v>
      </c>
      <c r="DD31" s="99" t="s">
        <v>198</v>
      </c>
      <c r="DE31" s="99" t="s">
        <v>198</v>
      </c>
      <c r="DF31" s="99" t="s">
        <v>198</v>
      </c>
      <c r="DG31" s="99" t="s">
        <v>198</v>
      </c>
      <c r="DH31" s="99" t="s">
        <v>198</v>
      </c>
      <c r="DI31" s="99" t="s">
        <v>198</v>
      </c>
      <c r="DJ31" s="99" t="s">
        <v>198</v>
      </c>
      <c r="DK31" s="99"/>
      <c r="DL31" s="99" t="s">
        <v>194</v>
      </c>
      <c r="DM31" s="99" t="s">
        <v>195</v>
      </c>
      <c r="DN31" s="99" t="s">
        <v>195</v>
      </c>
      <c r="DO31" s="99" t="s">
        <v>30</v>
      </c>
      <c r="DP31" s="99" t="s">
        <v>30</v>
      </c>
      <c r="DQ31" s="99" t="s">
        <v>196</v>
      </c>
      <c r="DR31" s="99" t="s">
        <v>196</v>
      </c>
      <c r="DS31" s="99" t="s">
        <v>196</v>
      </c>
      <c r="DT31" s="99" t="s">
        <v>196</v>
      </c>
      <c r="DU31" s="99" t="s">
        <v>195</v>
      </c>
      <c r="DV31" s="99" t="s">
        <v>196</v>
      </c>
      <c r="DW31" s="99" t="s">
        <v>196</v>
      </c>
      <c r="DX31" s="99" t="s">
        <v>196</v>
      </c>
      <c r="DY31" s="99" t="s">
        <v>196</v>
      </c>
      <c r="DZ31" s="99" t="s">
        <v>195</v>
      </c>
      <c r="EA31" s="99"/>
      <c r="EB31" s="99" t="s">
        <v>199</v>
      </c>
      <c r="EC31" s="99" t="s">
        <v>198</v>
      </c>
      <c r="ED31" s="99" t="s">
        <v>198</v>
      </c>
      <c r="EE31" s="99" t="s">
        <v>198</v>
      </c>
      <c r="EF31" s="99" t="s">
        <v>198</v>
      </c>
      <c r="EG31" s="99" t="s">
        <v>198</v>
      </c>
      <c r="EH31" s="100" t="s">
        <v>198</v>
      </c>
    </row>
    <row r="32" spans="1:138" ht="23.25" customHeight="1" x14ac:dyDescent="0.25">
      <c r="A32" s="101" t="s">
        <v>17</v>
      </c>
      <c r="B32" s="90" t="s">
        <v>193</v>
      </c>
      <c r="C32" s="90" t="s">
        <v>194</v>
      </c>
      <c r="D32" s="90" t="s">
        <v>196</v>
      </c>
      <c r="E32" s="90" t="s">
        <v>195</v>
      </c>
      <c r="F32" s="90" t="s">
        <v>195</v>
      </c>
      <c r="G32" s="90" t="s">
        <v>196</v>
      </c>
      <c r="H32" s="90" t="s">
        <v>195</v>
      </c>
      <c r="I32" s="90" t="s">
        <v>195</v>
      </c>
      <c r="J32" s="90" t="s">
        <v>196</v>
      </c>
      <c r="K32" s="90" t="s">
        <v>196</v>
      </c>
      <c r="L32" s="90" t="s">
        <v>196</v>
      </c>
      <c r="M32" s="90" t="s">
        <v>195</v>
      </c>
      <c r="N32" s="90" t="s">
        <v>195</v>
      </c>
      <c r="O32" s="90" t="s">
        <v>195</v>
      </c>
      <c r="P32" s="90" t="s">
        <v>196</v>
      </c>
      <c r="Q32" s="90" t="s">
        <v>196</v>
      </c>
      <c r="R32" s="90" t="s">
        <v>195</v>
      </c>
      <c r="S32" s="90" t="s">
        <v>195</v>
      </c>
      <c r="T32" s="90"/>
      <c r="U32" s="90" t="s">
        <v>194</v>
      </c>
      <c r="V32" s="90" t="s">
        <v>196</v>
      </c>
      <c r="W32" s="90" t="s">
        <v>196</v>
      </c>
      <c r="X32" s="90" t="s">
        <v>196</v>
      </c>
      <c r="Y32" s="90" t="s">
        <v>196</v>
      </c>
      <c r="Z32" s="90" t="s">
        <v>197</v>
      </c>
      <c r="AA32" s="90" t="s">
        <v>201</v>
      </c>
      <c r="AB32" s="90" t="s">
        <v>201</v>
      </c>
      <c r="AC32" s="90" t="s">
        <v>201</v>
      </c>
      <c r="AD32" s="90" t="s">
        <v>201</v>
      </c>
      <c r="AE32" s="90" t="s">
        <v>198</v>
      </c>
      <c r="AF32" s="90" t="s">
        <v>198</v>
      </c>
      <c r="AG32" s="90" t="s">
        <v>198</v>
      </c>
      <c r="AH32" s="90" t="s">
        <v>198</v>
      </c>
      <c r="AI32" s="90" t="s">
        <v>199</v>
      </c>
      <c r="AJ32" s="90" t="s">
        <v>198</v>
      </c>
      <c r="AK32" s="90" t="s">
        <v>198</v>
      </c>
      <c r="AL32" s="90" t="s">
        <v>198</v>
      </c>
      <c r="AM32" s="90"/>
      <c r="AN32" s="90" t="s">
        <v>199</v>
      </c>
      <c r="AO32" s="90" t="s">
        <v>198</v>
      </c>
      <c r="AP32" s="90" t="s">
        <v>198</v>
      </c>
      <c r="AQ32" s="90" t="s">
        <v>198</v>
      </c>
      <c r="AR32" s="90" t="s">
        <v>198</v>
      </c>
      <c r="AS32" s="90" t="s">
        <v>198</v>
      </c>
      <c r="AT32" s="90" t="s">
        <v>198</v>
      </c>
      <c r="AU32" s="90" t="s">
        <v>198</v>
      </c>
      <c r="AV32" s="90" t="s">
        <v>198</v>
      </c>
      <c r="AW32" s="90" t="s">
        <v>198</v>
      </c>
      <c r="AX32" s="90" t="s">
        <v>198</v>
      </c>
      <c r="AY32" s="90"/>
      <c r="AZ32" s="90" t="s">
        <v>194</v>
      </c>
      <c r="BA32" s="90" t="s">
        <v>199</v>
      </c>
      <c r="BB32" s="90" t="s">
        <v>198</v>
      </c>
      <c r="BC32" s="90" t="s">
        <v>195</v>
      </c>
      <c r="BD32" s="90" t="s">
        <v>195</v>
      </c>
      <c r="BE32" s="90" t="s">
        <v>195</v>
      </c>
      <c r="BF32" s="90" t="s">
        <v>195</v>
      </c>
      <c r="BG32" s="90" t="s">
        <v>195</v>
      </c>
      <c r="BH32" s="90" t="s">
        <v>30</v>
      </c>
      <c r="BI32" s="90" t="s">
        <v>195</v>
      </c>
      <c r="BJ32" s="90" t="s">
        <v>195</v>
      </c>
      <c r="BK32" s="90" t="s">
        <v>196</v>
      </c>
      <c r="BL32" s="90" t="s">
        <v>196</v>
      </c>
      <c r="BM32" s="90" t="s">
        <v>196</v>
      </c>
      <c r="BN32" s="90" t="s">
        <v>201</v>
      </c>
      <c r="BO32" s="90" t="s">
        <v>201</v>
      </c>
      <c r="BP32" s="90" t="s">
        <v>201</v>
      </c>
      <c r="BQ32" s="90" t="s">
        <v>201</v>
      </c>
      <c r="BR32" s="90" t="s">
        <v>201</v>
      </c>
      <c r="BS32" s="90" t="s">
        <v>201</v>
      </c>
      <c r="BT32" s="90"/>
      <c r="BU32" s="90" t="s">
        <v>202</v>
      </c>
      <c r="BV32" s="90" t="s">
        <v>202</v>
      </c>
      <c r="BW32" s="90" t="s">
        <v>202</v>
      </c>
      <c r="BX32" s="90" t="s">
        <v>202</v>
      </c>
      <c r="BY32" s="90" t="s">
        <v>202</v>
      </c>
      <c r="BZ32" s="90" t="s">
        <v>202</v>
      </c>
      <c r="CA32" s="90" t="s">
        <v>202</v>
      </c>
      <c r="CB32" s="90"/>
      <c r="CC32" s="90" t="s">
        <v>203</v>
      </c>
      <c r="CD32" s="90"/>
      <c r="CE32" s="90" t="s">
        <v>194</v>
      </c>
      <c r="CF32" s="90"/>
      <c r="CG32" s="90"/>
      <c r="CH32" s="90"/>
      <c r="CI32" s="90" t="s">
        <v>199</v>
      </c>
      <c r="CJ32" s="90" t="s">
        <v>198</v>
      </c>
      <c r="CK32" s="90" t="s">
        <v>198</v>
      </c>
      <c r="CL32" s="90" t="s">
        <v>198</v>
      </c>
      <c r="CM32" s="90" t="s">
        <v>198</v>
      </c>
      <c r="CN32" s="90" t="s">
        <v>198</v>
      </c>
      <c r="CO32" s="90" t="s">
        <v>198</v>
      </c>
      <c r="CP32" s="90" t="s">
        <v>198</v>
      </c>
      <c r="CQ32" s="90" t="s">
        <v>198</v>
      </c>
      <c r="CR32" s="90" t="s">
        <v>198</v>
      </c>
      <c r="CS32" s="90" t="s">
        <v>198</v>
      </c>
      <c r="CT32" s="90" t="s">
        <v>198</v>
      </c>
      <c r="CU32" s="90" t="s">
        <v>198</v>
      </c>
      <c r="CV32" s="90" t="s">
        <v>198</v>
      </c>
      <c r="CW32" s="90" t="s">
        <v>198</v>
      </c>
      <c r="CX32" s="90" t="s">
        <v>198</v>
      </c>
      <c r="CY32" s="90" t="s">
        <v>198</v>
      </c>
      <c r="CZ32" s="90" t="s">
        <v>198</v>
      </c>
      <c r="DA32" s="90" t="s">
        <v>198</v>
      </c>
      <c r="DB32" s="90" t="s">
        <v>198</v>
      </c>
      <c r="DC32" s="90" t="s">
        <v>198</v>
      </c>
      <c r="DD32" s="90" t="s">
        <v>198</v>
      </c>
      <c r="DE32" s="90" t="s">
        <v>198</v>
      </c>
      <c r="DF32" s="90" t="s">
        <v>198</v>
      </c>
      <c r="DG32" s="90" t="s">
        <v>198</v>
      </c>
      <c r="DH32" s="90" t="s">
        <v>198</v>
      </c>
      <c r="DI32" s="90" t="s">
        <v>198</v>
      </c>
      <c r="DJ32" s="90" t="s">
        <v>198</v>
      </c>
      <c r="DK32" s="90"/>
      <c r="DL32" s="90" t="s">
        <v>194</v>
      </c>
      <c r="DM32" s="90" t="s">
        <v>30</v>
      </c>
      <c r="DN32" s="90" t="s">
        <v>196</v>
      </c>
      <c r="DO32" s="90" t="s">
        <v>195</v>
      </c>
      <c r="DP32" s="90" t="s">
        <v>195</v>
      </c>
      <c r="DQ32" s="90" t="s">
        <v>196</v>
      </c>
      <c r="DR32" s="90" t="s">
        <v>196</v>
      </c>
      <c r="DS32" s="90" t="s">
        <v>196</v>
      </c>
      <c r="DT32" s="90" t="s">
        <v>196</v>
      </c>
      <c r="DU32" s="90" t="s">
        <v>196</v>
      </c>
      <c r="DV32" s="90" t="s">
        <v>196</v>
      </c>
      <c r="DW32" s="90" t="s">
        <v>196</v>
      </c>
      <c r="DX32" s="90" t="s">
        <v>196</v>
      </c>
      <c r="DY32" s="90" t="s">
        <v>195</v>
      </c>
      <c r="DZ32" s="90" t="s">
        <v>196</v>
      </c>
      <c r="EA32" s="90"/>
      <c r="EB32" s="90" t="s">
        <v>199</v>
      </c>
      <c r="EC32" s="90" t="s">
        <v>198</v>
      </c>
      <c r="ED32" s="90" t="s">
        <v>198</v>
      </c>
      <c r="EE32" s="90" t="s">
        <v>198</v>
      </c>
      <c r="EF32" s="90" t="s">
        <v>198</v>
      </c>
      <c r="EG32" s="90" t="s">
        <v>198</v>
      </c>
      <c r="EH32" s="102" t="s">
        <v>198</v>
      </c>
    </row>
    <row r="33" spans="1:138" ht="23.25" customHeight="1" x14ac:dyDescent="0.25">
      <c r="A33" s="98" t="s">
        <v>17</v>
      </c>
      <c r="B33" s="99" t="s">
        <v>193</v>
      </c>
      <c r="C33" s="99" t="s">
        <v>194</v>
      </c>
      <c r="D33" s="99" t="s">
        <v>30</v>
      </c>
      <c r="E33" s="99" t="s">
        <v>195</v>
      </c>
      <c r="F33" s="99" t="s">
        <v>195</v>
      </c>
      <c r="G33" s="99" t="s">
        <v>201</v>
      </c>
      <c r="H33" s="99" t="s">
        <v>195</v>
      </c>
      <c r="I33" s="99" t="s">
        <v>195</v>
      </c>
      <c r="J33" s="99" t="s">
        <v>30</v>
      </c>
      <c r="K33" s="99" t="s">
        <v>207</v>
      </c>
      <c r="L33" s="99" t="s">
        <v>207</v>
      </c>
      <c r="M33" s="99" t="s">
        <v>207</v>
      </c>
      <c r="N33" s="99" t="s">
        <v>30</v>
      </c>
      <c r="O33" s="99" t="s">
        <v>196</v>
      </c>
      <c r="P33" s="99" t="s">
        <v>195</v>
      </c>
      <c r="Q33" s="99" t="s">
        <v>204</v>
      </c>
      <c r="R33" s="99" t="s">
        <v>30</v>
      </c>
      <c r="S33" s="99" t="s">
        <v>195</v>
      </c>
      <c r="T33" s="99"/>
      <c r="U33" s="99" t="s">
        <v>194</v>
      </c>
      <c r="V33" s="99" t="s">
        <v>195</v>
      </c>
      <c r="W33" s="99" t="s">
        <v>30</v>
      </c>
      <c r="X33" s="99" t="s">
        <v>30</v>
      </c>
      <c r="Y33" s="99" t="s">
        <v>196</v>
      </c>
      <c r="Z33" s="99" t="s">
        <v>17</v>
      </c>
      <c r="AA33" s="99" t="s">
        <v>196</v>
      </c>
      <c r="AB33" s="99" t="s">
        <v>195</v>
      </c>
      <c r="AC33" s="99" t="s">
        <v>195</v>
      </c>
      <c r="AD33" s="99" t="s">
        <v>195</v>
      </c>
      <c r="AE33" s="99" t="s">
        <v>198</v>
      </c>
      <c r="AF33" s="99" t="s">
        <v>198</v>
      </c>
      <c r="AG33" s="99" t="s">
        <v>198</v>
      </c>
      <c r="AH33" s="99" t="s">
        <v>198</v>
      </c>
      <c r="AI33" s="99" t="s">
        <v>194</v>
      </c>
      <c r="AJ33" s="99" t="s">
        <v>30</v>
      </c>
      <c r="AK33" s="99" t="s">
        <v>30</v>
      </c>
      <c r="AL33" s="99" t="s">
        <v>30</v>
      </c>
      <c r="AM33" s="99"/>
      <c r="AN33" s="99" t="s">
        <v>194</v>
      </c>
      <c r="AO33" s="99" t="s">
        <v>196</v>
      </c>
      <c r="AP33" s="99" t="s">
        <v>196</v>
      </c>
      <c r="AQ33" s="99" t="s">
        <v>196</v>
      </c>
      <c r="AR33" s="99" t="s">
        <v>196</v>
      </c>
      <c r="AS33" s="99" t="s">
        <v>195</v>
      </c>
      <c r="AT33" s="99" t="s">
        <v>196</v>
      </c>
      <c r="AU33" s="99" t="s">
        <v>30</v>
      </c>
      <c r="AV33" s="99" t="s">
        <v>195</v>
      </c>
      <c r="AW33" s="99" t="s">
        <v>196</v>
      </c>
      <c r="AX33" s="99" t="s">
        <v>196</v>
      </c>
      <c r="AY33" s="99"/>
      <c r="AZ33" s="99" t="s">
        <v>194</v>
      </c>
      <c r="BA33" s="99" t="s">
        <v>194</v>
      </c>
      <c r="BB33" s="99" t="s">
        <v>204</v>
      </c>
      <c r="BC33" s="99" t="s">
        <v>204</v>
      </c>
      <c r="BD33" s="99" t="s">
        <v>195</v>
      </c>
      <c r="BE33" s="99" t="s">
        <v>30</v>
      </c>
      <c r="BF33" s="99" t="s">
        <v>204</v>
      </c>
      <c r="BG33" s="99" t="s">
        <v>30</v>
      </c>
      <c r="BH33" s="99" t="s">
        <v>204</v>
      </c>
      <c r="BI33" s="99" t="s">
        <v>195</v>
      </c>
      <c r="BJ33" s="99" t="s">
        <v>207</v>
      </c>
      <c r="BK33" s="99" t="s">
        <v>195</v>
      </c>
      <c r="BL33" s="99" t="s">
        <v>195</v>
      </c>
      <c r="BM33" s="99" t="s">
        <v>195</v>
      </c>
      <c r="BN33" s="99" t="s">
        <v>195</v>
      </c>
      <c r="BO33" s="99" t="s">
        <v>204</v>
      </c>
      <c r="BP33" s="99" t="s">
        <v>195</v>
      </c>
      <c r="BQ33" s="99" t="s">
        <v>195</v>
      </c>
      <c r="BR33" s="99" t="s">
        <v>195</v>
      </c>
      <c r="BS33" s="99" t="s">
        <v>195</v>
      </c>
      <c r="BT33" s="99"/>
      <c r="BU33" s="99" t="s">
        <v>202</v>
      </c>
      <c r="BV33" s="99" t="s">
        <v>202</v>
      </c>
      <c r="BW33" s="99" t="s">
        <v>202</v>
      </c>
      <c r="BX33" s="99" t="s">
        <v>202</v>
      </c>
      <c r="BY33" s="99" t="s">
        <v>202</v>
      </c>
      <c r="BZ33" s="99" t="s">
        <v>202</v>
      </c>
      <c r="CA33" s="99" t="s">
        <v>202</v>
      </c>
      <c r="CB33" s="99"/>
      <c r="CC33" s="99" t="s">
        <v>203</v>
      </c>
      <c r="CD33" s="99"/>
      <c r="CE33" s="99" t="s">
        <v>194</v>
      </c>
      <c r="CF33" s="99"/>
      <c r="CG33" s="99"/>
      <c r="CH33" s="99"/>
      <c r="CI33" s="99" t="s">
        <v>199</v>
      </c>
      <c r="CJ33" s="99" t="s">
        <v>198</v>
      </c>
      <c r="CK33" s="99" t="s">
        <v>198</v>
      </c>
      <c r="CL33" s="99" t="s">
        <v>198</v>
      </c>
      <c r="CM33" s="99" t="s">
        <v>198</v>
      </c>
      <c r="CN33" s="99" t="s">
        <v>198</v>
      </c>
      <c r="CO33" s="99" t="s">
        <v>198</v>
      </c>
      <c r="CP33" s="99" t="s">
        <v>198</v>
      </c>
      <c r="CQ33" s="99" t="s">
        <v>198</v>
      </c>
      <c r="CR33" s="99" t="s">
        <v>198</v>
      </c>
      <c r="CS33" s="99" t="s">
        <v>198</v>
      </c>
      <c r="CT33" s="99" t="s">
        <v>198</v>
      </c>
      <c r="CU33" s="99" t="s">
        <v>198</v>
      </c>
      <c r="CV33" s="99" t="s">
        <v>198</v>
      </c>
      <c r="CW33" s="99" t="s">
        <v>198</v>
      </c>
      <c r="CX33" s="99" t="s">
        <v>198</v>
      </c>
      <c r="CY33" s="99" t="s">
        <v>198</v>
      </c>
      <c r="CZ33" s="99" t="s">
        <v>198</v>
      </c>
      <c r="DA33" s="99" t="s">
        <v>198</v>
      </c>
      <c r="DB33" s="99" t="s">
        <v>198</v>
      </c>
      <c r="DC33" s="99" t="s">
        <v>198</v>
      </c>
      <c r="DD33" s="99" t="s">
        <v>198</v>
      </c>
      <c r="DE33" s="99" t="s">
        <v>198</v>
      </c>
      <c r="DF33" s="99" t="s">
        <v>198</v>
      </c>
      <c r="DG33" s="99" t="s">
        <v>198</v>
      </c>
      <c r="DH33" s="99" t="s">
        <v>198</v>
      </c>
      <c r="DI33" s="99" t="s">
        <v>198</v>
      </c>
      <c r="DJ33" s="99" t="s">
        <v>198</v>
      </c>
      <c r="DK33" s="99"/>
      <c r="DL33" s="99" t="s">
        <v>199</v>
      </c>
      <c r="DM33" s="99" t="s">
        <v>198</v>
      </c>
      <c r="DN33" s="99" t="s">
        <v>198</v>
      </c>
      <c r="DO33" s="99" t="s">
        <v>198</v>
      </c>
      <c r="DP33" s="99" t="s">
        <v>198</v>
      </c>
      <c r="DQ33" s="99" t="s">
        <v>198</v>
      </c>
      <c r="DR33" s="99" t="s">
        <v>198</v>
      </c>
      <c r="DS33" s="99" t="s">
        <v>198</v>
      </c>
      <c r="DT33" s="99" t="s">
        <v>198</v>
      </c>
      <c r="DU33" s="99" t="s">
        <v>198</v>
      </c>
      <c r="DV33" s="99" t="s">
        <v>198</v>
      </c>
      <c r="DW33" s="99" t="s">
        <v>198</v>
      </c>
      <c r="DX33" s="99" t="s">
        <v>198</v>
      </c>
      <c r="DY33" s="99" t="s">
        <v>198</v>
      </c>
      <c r="DZ33" s="99" t="s">
        <v>198</v>
      </c>
      <c r="EA33" s="99"/>
      <c r="EB33" s="99" t="s">
        <v>199</v>
      </c>
      <c r="EC33" s="99" t="s">
        <v>198</v>
      </c>
      <c r="ED33" s="99" t="s">
        <v>198</v>
      </c>
      <c r="EE33" s="99" t="s">
        <v>198</v>
      </c>
      <c r="EF33" s="99" t="s">
        <v>198</v>
      </c>
      <c r="EG33" s="99" t="s">
        <v>198</v>
      </c>
      <c r="EH33" s="100" t="s">
        <v>198</v>
      </c>
    </row>
    <row r="34" spans="1:138" ht="23.25" customHeight="1" x14ac:dyDescent="0.25">
      <c r="A34" s="98" t="s">
        <v>17</v>
      </c>
      <c r="B34" s="99" t="s">
        <v>193</v>
      </c>
      <c r="C34" s="99" t="s">
        <v>194</v>
      </c>
      <c r="D34" s="99" t="s">
        <v>204</v>
      </c>
      <c r="E34" s="99" t="s">
        <v>204</v>
      </c>
      <c r="F34" s="99" t="s">
        <v>207</v>
      </c>
      <c r="G34" s="99" t="s">
        <v>207</v>
      </c>
      <c r="H34" s="99" t="s">
        <v>195</v>
      </c>
      <c r="I34" s="99" t="s">
        <v>195</v>
      </c>
      <c r="J34" s="99" t="s">
        <v>201</v>
      </c>
      <c r="K34" s="99" t="s">
        <v>207</v>
      </c>
      <c r="L34" s="99" t="s">
        <v>207</v>
      </c>
      <c r="M34" s="99" t="s">
        <v>195</v>
      </c>
      <c r="N34" s="99" t="s">
        <v>207</v>
      </c>
      <c r="O34" s="99" t="s">
        <v>195</v>
      </c>
      <c r="P34" s="99" t="s">
        <v>207</v>
      </c>
      <c r="Q34" s="99" t="s">
        <v>207</v>
      </c>
      <c r="R34" s="99" t="s">
        <v>207</v>
      </c>
      <c r="S34" s="99" t="s">
        <v>201</v>
      </c>
      <c r="T34" s="99"/>
      <c r="U34" s="99" t="s">
        <v>199</v>
      </c>
      <c r="V34" s="99" t="s">
        <v>198</v>
      </c>
      <c r="W34" s="99" t="s">
        <v>198</v>
      </c>
      <c r="X34" s="99" t="s">
        <v>198</v>
      </c>
      <c r="Y34" s="99" t="s">
        <v>198</v>
      </c>
      <c r="Z34" s="99" t="s">
        <v>17</v>
      </c>
      <c r="AA34" s="99" t="s">
        <v>198</v>
      </c>
      <c r="AB34" s="99" t="s">
        <v>198</v>
      </c>
      <c r="AC34" s="99" t="s">
        <v>198</v>
      </c>
      <c r="AD34" s="99" t="s">
        <v>198</v>
      </c>
      <c r="AE34" s="99" t="s">
        <v>198</v>
      </c>
      <c r="AF34" s="99" t="s">
        <v>198</v>
      </c>
      <c r="AG34" s="99" t="s">
        <v>198</v>
      </c>
      <c r="AH34" s="99" t="s">
        <v>198</v>
      </c>
      <c r="AI34" s="99" t="s">
        <v>199</v>
      </c>
      <c r="AJ34" s="99" t="s">
        <v>198</v>
      </c>
      <c r="AK34" s="99" t="s">
        <v>198</v>
      </c>
      <c r="AL34" s="99" t="s">
        <v>198</v>
      </c>
      <c r="AM34" s="99"/>
      <c r="AN34" s="99" t="s">
        <v>199</v>
      </c>
      <c r="AO34" s="99" t="s">
        <v>198</v>
      </c>
      <c r="AP34" s="99" t="s">
        <v>198</v>
      </c>
      <c r="AQ34" s="99" t="s">
        <v>198</v>
      </c>
      <c r="AR34" s="99" t="s">
        <v>198</v>
      </c>
      <c r="AS34" s="99" t="s">
        <v>198</v>
      </c>
      <c r="AT34" s="99" t="s">
        <v>198</v>
      </c>
      <c r="AU34" s="99" t="s">
        <v>198</v>
      </c>
      <c r="AV34" s="99" t="s">
        <v>198</v>
      </c>
      <c r="AW34" s="99" t="s">
        <v>198</v>
      </c>
      <c r="AX34" s="99" t="s">
        <v>198</v>
      </c>
      <c r="AY34" s="99"/>
      <c r="AZ34" s="99" t="s">
        <v>194</v>
      </c>
      <c r="BA34" s="99" t="s">
        <v>194</v>
      </c>
      <c r="BB34" s="99" t="s">
        <v>201</v>
      </c>
      <c r="BC34" s="99" t="s">
        <v>196</v>
      </c>
      <c r="BD34" s="99" t="s">
        <v>196</v>
      </c>
      <c r="BE34" s="99" t="s">
        <v>196</v>
      </c>
      <c r="BF34" s="99" t="s">
        <v>196</v>
      </c>
      <c r="BG34" s="99" t="s">
        <v>201</v>
      </c>
      <c r="BH34" s="99" t="s">
        <v>196</v>
      </c>
      <c r="BI34" s="99" t="s">
        <v>196</v>
      </c>
      <c r="BJ34" s="99" t="s">
        <v>196</v>
      </c>
      <c r="BK34" s="99" t="s">
        <v>195</v>
      </c>
      <c r="BL34" s="99" t="s">
        <v>196</v>
      </c>
      <c r="BM34" s="99" t="s">
        <v>196</v>
      </c>
      <c r="BN34" s="99" t="s">
        <v>196</v>
      </c>
      <c r="BO34" s="99" t="s">
        <v>196</v>
      </c>
      <c r="BP34" s="99" t="s">
        <v>196</v>
      </c>
      <c r="BQ34" s="99" t="s">
        <v>196</v>
      </c>
      <c r="BR34" s="99" t="s">
        <v>196</v>
      </c>
      <c r="BS34" s="99" t="s">
        <v>196</v>
      </c>
      <c r="BT34" s="99"/>
      <c r="BU34" s="99" t="s">
        <v>202</v>
      </c>
      <c r="BV34" s="99" t="s">
        <v>202</v>
      </c>
      <c r="BW34" s="99" t="s">
        <v>202</v>
      </c>
      <c r="BX34" s="99" t="s">
        <v>202</v>
      </c>
      <c r="BY34" s="99" t="s">
        <v>202</v>
      </c>
      <c r="BZ34" s="99" t="s">
        <v>202</v>
      </c>
      <c r="CA34" s="99" t="s">
        <v>202</v>
      </c>
      <c r="CB34" s="99"/>
      <c r="CC34" s="99" t="s">
        <v>200</v>
      </c>
      <c r="CD34" s="99"/>
      <c r="CE34" s="99" t="s">
        <v>194</v>
      </c>
      <c r="CF34" s="99"/>
      <c r="CG34" s="99"/>
      <c r="CH34" s="99"/>
      <c r="CI34" s="99" t="s">
        <v>194</v>
      </c>
      <c r="CJ34" s="99" t="s">
        <v>196</v>
      </c>
      <c r="CK34" s="99" t="s">
        <v>195</v>
      </c>
      <c r="CL34" s="99" t="s">
        <v>196</v>
      </c>
      <c r="CM34" s="99" t="s">
        <v>196</v>
      </c>
      <c r="CN34" s="99" t="s">
        <v>196</v>
      </c>
      <c r="CO34" s="99" t="s">
        <v>196</v>
      </c>
      <c r="CP34" s="99" t="s">
        <v>195</v>
      </c>
      <c r="CQ34" s="99" t="s">
        <v>195</v>
      </c>
      <c r="CR34" s="99" t="s">
        <v>195</v>
      </c>
      <c r="CS34" s="99" t="s">
        <v>195</v>
      </c>
      <c r="CT34" s="99" t="s">
        <v>195</v>
      </c>
      <c r="CU34" s="99" t="s">
        <v>195</v>
      </c>
      <c r="CV34" s="99" t="s">
        <v>30</v>
      </c>
      <c r="CW34" s="99" t="s">
        <v>195</v>
      </c>
      <c r="CX34" s="99" t="s">
        <v>195</v>
      </c>
      <c r="CY34" s="99" t="s">
        <v>195</v>
      </c>
      <c r="CZ34" s="99" t="s">
        <v>195</v>
      </c>
      <c r="DA34" s="99" t="s">
        <v>195</v>
      </c>
      <c r="DB34" s="99" t="s">
        <v>195</v>
      </c>
      <c r="DC34" s="99" t="s">
        <v>195</v>
      </c>
      <c r="DD34" s="99" t="s">
        <v>195</v>
      </c>
      <c r="DE34" s="99" t="s">
        <v>195</v>
      </c>
      <c r="DF34" s="99" t="s">
        <v>195</v>
      </c>
      <c r="DG34" s="99" t="s">
        <v>195</v>
      </c>
      <c r="DH34" s="99" t="s">
        <v>30</v>
      </c>
      <c r="DI34" s="99" t="s">
        <v>30</v>
      </c>
      <c r="DJ34" s="99" t="s">
        <v>30</v>
      </c>
      <c r="DK34" s="99"/>
      <c r="DL34" s="99" t="s">
        <v>199</v>
      </c>
      <c r="DM34" s="99" t="s">
        <v>198</v>
      </c>
      <c r="DN34" s="99" t="s">
        <v>198</v>
      </c>
      <c r="DO34" s="99" t="s">
        <v>198</v>
      </c>
      <c r="DP34" s="99" t="s">
        <v>198</v>
      </c>
      <c r="DQ34" s="99" t="s">
        <v>198</v>
      </c>
      <c r="DR34" s="99" t="s">
        <v>198</v>
      </c>
      <c r="DS34" s="99" t="s">
        <v>198</v>
      </c>
      <c r="DT34" s="99" t="s">
        <v>198</v>
      </c>
      <c r="DU34" s="99" t="s">
        <v>198</v>
      </c>
      <c r="DV34" s="99" t="s">
        <v>198</v>
      </c>
      <c r="DW34" s="99" t="s">
        <v>198</v>
      </c>
      <c r="DX34" s="99" t="s">
        <v>198</v>
      </c>
      <c r="DY34" s="99" t="s">
        <v>198</v>
      </c>
      <c r="DZ34" s="99" t="s">
        <v>198</v>
      </c>
      <c r="EA34" s="99"/>
      <c r="EB34" s="99" t="s">
        <v>199</v>
      </c>
      <c r="EC34" s="99" t="s">
        <v>198</v>
      </c>
      <c r="ED34" s="99" t="s">
        <v>198</v>
      </c>
      <c r="EE34" s="99" t="s">
        <v>198</v>
      </c>
      <c r="EF34" s="99" t="s">
        <v>198</v>
      </c>
      <c r="EG34" s="99" t="s">
        <v>198</v>
      </c>
      <c r="EH34" s="100" t="s">
        <v>198</v>
      </c>
    </row>
    <row r="35" spans="1:138" ht="23.25" customHeight="1" x14ac:dyDescent="0.25">
      <c r="A35" s="101" t="s">
        <v>17</v>
      </c>
      <c r="B35" s="90" t="s">
        <v>193</v>
      </c>
      <c r="C35" s="90" t="s">
        <v>194</v>
      </c>
      <c r="D35" s="90" t="s">
        <v>204</v>
      </c>
      <c r="E35" s="90" t="s">
        <v>30</v>
      </c>
      <c r="F35" s="90" t="s">
        <v>204</v>
      </c>
      <c r="G35" s="90" t="s">
        <v>204</v>
      </c>
      <c r="H35" s="90" t="s">
        <v>30</v>
      </c>
      <c r="I35" s="90" t="s">
        <v>30</v>
      </c>
      <c r="J35" s="90" t="s">
        <v>30</v>
      </c>
      <c r="K35" s="90" t="s">
        <v>204</v>
      </c>
      <c r="L35" s="90" t="s">
        <v>204</v>
      </c>
      <c r="M35" s="90" t="s">
        <v>30</v>
      </c>
      <c r="N35" s="90" t="s">
        <v>204</v>
      </c>
      <c r="O35" s="90" t="s">
        <v>195</v>
      </c>
      <c r="P35" s="90" t="s">
        <v>195</v>
      </c>
      <c r="Q35" s="90" t="s">
        <v>195</v>
      </c>
      <c r="R35" s="90" t="s">
        <v>204</v>
      </c>
      <c r="S35" s="90" t="s">
        <v>204</v>
      </c>
      <c r="T35" s="90"/>
      <c r="U35" s="90" t="s">
        <v>194</v>
      </c>
      <c r="V35" s="90" t="s">
        <v>204</v>
      </c>
      <c r="W35" s="90" t="s">
        <v>30</v>
      </c>
      <c r="X35" s="90" t="s">
        <v>30</v>
      </c>
      <c r="Y35" s="90" t="s">
        <v>204</v>
      </c>
      <c r="Z35" s="90" t="s">
        <v>17</v>
      </c>
      <c r="AA35" s="90" t="s">
        <v>195</v>
      </c>
      <c r="AB35" s="90" t="s">
        <v>195</v>
      </c>
      <c r="AC35" s="90" t="s">
        <v>30</v>
      </c>
      <c r="AD35" s="90" t="s">
        <v>30</v>
      </c>
      <c r="AE35" s="90" t="s">
        <v>198</v>
      </c>
      <c r="AF35" s="90" t="s">
        <v>198</v>
      </c>
      <c r="AG35" s="90" t="s">
        <v>198</v>
      </c>
      <c r="AH35" s="90" t="s">
        <v>198</v>
      </c>
      <c r="AI35" s="90" t="s">
        <v>194</v>
      </c>
      <c r="AJ35" s="90" t="s">
        <v>195</v>
      </c>
      <c r="AK35" s="90" t="s">
        <v>204</v>
      </c>
      <c r="AL35" s="90" t="s">
        <v>30</v>
      </c>
      <c r="AM35" s="90"/>
      <c r="AN35" s="90" t="s">
        <v>199</v>
      </c>
      <c r="AO35" s="90" t="s">
        <v>198</v>
      </c>
      <c r="AP35" s="90" t="s">
        <v>198</v>
      </c>
      <c r="AQ35" s="90" t="s">
        <v>198</v>
      </c>
      <c r="AR35" s="90" t="s">
        <v>198</v>
      </c>
      <c r="AS35" s="90" t="s">
        <v>198</v>
      </c>
      <c r="AT35" s="90" t="s">
        <v>198</v>
      </c>
      <c r="AU35" s="90" t="s">
        <v>198</v>
      </c>
      <c r="AV35" s="90" t="s">
        <v>198</v>
      </c>
      <c r="AW35" s="90" t="s">
        <v>198</v>
      </c>
      <c r="AX35" s="90" t="s">
        <v>198</v>
      </c>
      <c r="AY35" s="90"/>
      <c r="AZ35" s="90" t="s">
        <v>194</v>
      </c>
      <c r="BA35" s="90" t="s">
        <v>194</v>
      </c>
      <c r="BB35" s="90" t="s">
        <v>30</v>
      </c>
      <c r="BC35" s="90" t="s">
        <v>195</v>
      </c>
      <c r="BD35" s="90" t="s">
        <v>196</v>
      </c>
      <c r="BE35" s="90" t="s">
        <v>196</v>
      </c>
      <c r="BF35" s="90" t="s">
        <v>195</v>
      </c>
      <c r="BG35" s="90" t="s">
        <v>195</v>
      </c>
      <c r="BH35" s="90" t="s">
        <v>30</v>
      </c>
      <c r="BI35" s="90" t="s">
        <v>196</v>
      </c>
      <c r="BJ35" s="90" t="s">
        <v>195</v>
      </c>
      <c r="BK35" s="90" t="s">
        <v>30</v>
      </c>
      <c r="BL35" s="90" t="s">
        <v>195</v>
      </c>
      <c r="BM35" s="90" t="s">
        <v>195</v>
      </c>
      <c r="BN35" s="90" t="s">
        <v>195</v>
      </c>
      <c r="BO35" s="90" t="s">
        <v>195</v>
      </c>
      <c r="BP35" s="90" t="s">
        <v>195</v>
      </c>
      <c r="BQ35" s="90" t="s">
        <v>30</v>
      </c>
      <c r="BR35" s="90" t="s">
        <v>195</v>
      </c>
      <c r="BS35" s="90" t="s">
        <v>30</v>
      </c>
      <c r="BT35" s="90"/>
      <c r="BU35" s="90" t="s">
        <v>202</v>
      </c>
      <c r="BV35" s="90" t="s">
        <v>202</v>
      </c>
      <c r="BW35" s="90" t="s">
        <v>202</v>
      </c>
      <c r="BX35" s="90" t="s">
        <v>202</v>
      </c>
      <c r="BY35" s="90" t="s">
        <v>202</v>
      </c>
      <c r="BZ35" s="90" t="s">
        <v>202</v>
      </c>
      <c r="CA35" s="90" t="s">
        <v>202</v>
      </c>
      <c r="CB35" s="90"/>
      <c r="CC35" s="90" t="s">
        <v>205</v>
      </c>
      <c r="CD35" s="90"/>
      <c r="CE35" s="90" t="s">
        <v>199</v>
      </c>
      <c r="CF35" s="90"/>
      <c r="CG35" s="90"/>
      <c r="CH35" s="90"/>
      <c r="CI35" s="90" t="s">
        <v>199</v>
      </c>
      <c r="CJ35" s="90" t="s">
        <v>198</v>
      </c>
      <c r="CK35" s="90" t="s">
        <v>198</v>
      </c>
      <c r="CL35" s="90" t="s">
        <v>198</v>
      </c>
      <c r="CM35" s="90" t="s">
        <v>198</v>
      </c>
      <c r="CN35" s="90" t="s">
        <v>198</v>
      </c>
      <c r="CO35" s="90" t="s">
        <v>198</v>
      </c>
      <c r="CP35" s="90" t="s">
        <v>198</v>
      </c>
      <c r="CQ35" s="90" t="s">
        <v>198</v>
      </c>
      <c r="CR35" s="90" t="s">
        <v>198</v>
      </c>
      <c r="CS35" s="90" t="s">
        <v>198</v>
      </c>
      <c r="CT35" s="90" t="s">
        <v>198</v>
      </c>
      <c r="CU35" s="90" t="s">
        <v>198</v>
      </c>
      <c r="CV35" s="90" t="s">
        <v>198</v>
      </c>
      <c r="CW35" s="90" t="s">
        <v>198</v>
      </c>
      <c r="CX35" s="90" t="s">
        <v>198</v>
      </c>
      <c r="CY35" s="90" t="s">
        <v>198</v>
      </c>
      <c r="CZ35" s="90" t="s">
        <v>198</v>
      </c>
      <c r="DA35" s="90" t="s">
        <v>198</v>
      </c>
      <c r="DB35" s="90" t="s">
        <v>198</v>
      </c>
      <c r="DC35" s="90" t="s">
        <v>198</v>
      </c>
      <c r="DD35" s="90" t="s">
        <v>198</v>
      </c>
      <c r="DE35" s="90" t="s">
        <v>198</v>
      </c>
      <c r="DF35" s="90" t="s">
        <v>198</v>
      </c>
      <c r="DG35" s="90" t="s">
        <v>198</v>
      </c>
      <c r="DH35" s="90" t="s">
        <v>198</v>
      </c>
      <c r="DI35" s="90" t="s">
        <v>198</v>
      </c>
      <c r="DJ35" s="90" t="s">
        <v>198</v>
      </c>
      <c r="DK35" s="90"/>
      <c r="DL35" s="90" t="s">
        <v>199</v>
      </c>
      <c r="DM35" s="90" t="s">
        <v>198</v>
      </c>
      <c r="DN35" s="90" t="s">
        <v>198</v>
      </c>
      <c r="DO35" s="90" t="s">
        <v>198</v>
      </c>
      <c r="DP35" s="90" t="s">
        <v>198</v>
      </c>
      <c r="DQ35" s="90" t="s">
        <v>198</v>
      </c>
      <c r="DR35" s="90" t="s">
        <v>198</v>
      </c>
      <c r="DS35" s="90" t="s">
        <v>198</v>
      </c>
      <c r="DT35" s="90" t="s">
        <v>198</v>
      </c>
      <c r="DU35" s="90" t="s">
        <v>198</v>
      </c>
      <c r="DV35" s="90" t="s">
        <v>198</v>
      </c>
      <c r="DW35" s="90" t="s">
        <v>198</v>
      </c>
      <c r="DX35" s="90" t="s">
        <v>198</v>
      </c>
      <c r="DY35" s="90" t="s">
        <v>198</v>
      </c>
      <c r="DZ35" s="90" t="s">
        <v>198</v>
      </c>
      <c r="EA35" s="90"/>
      <c r="EB35" s="90" t="s">
        <v>199</v>
      </c>
      <c r="EC35" s="90" t="s">
        <v>198</v>
      </c>
      <c r="ED35" s="90" t="s">
        <v>198</v>
      </c>
      <c r="EE35" s="90" t="s">
        <v>198</v>
      </c>
      <c r="EF35" s="90" t="s">
        <v>198</v>
      </c>
      <c r="EG35" s="90" t="s">
        <v>198</v>
      </c>
      <c r="EH35" s="102" t="s">
        <v>198</v>
      </c>
    </row>
    <row r="36" spans="1:138" ht="23.25" customHeight="1" x14ac:dyDescent="0.25">
      <c r="A36" s="98" t="s">
        <v>17</v>
      </c>
      <c r="B36" s="99" t="s">
        <v>193</v>
      </c>
      <c r="C36" s="99" t="s">
        <v>194</v>
      </c>
      <c r="D36" s="99" t="s">
        <v>30</v>
      </c>
      <c r="E36" s="99" t="s">
        <v>30</v>
      </c>
      <c r="F36" s="99" t="s">
        <v>195</v>
      </c>
      <c r="G36" s="99" t="s">
        <v>195</v>
      </c>
      <c r="H36" s="99" t="s">
        <v>30</v>
      </c>
      <c r="I36" s="99" t="s">
        <v>195</v>
      </c>
      <c r="J36" s="99" t="s">
        <v>30</v>
      </c>
      <c r="K36" s="99" t="s">
        <v>30</v>
      </c>
      <c r="L36" s="99" t="s">
        <v>30</v>
      </c>
      <c r="M36" s="99" t="s">
        <v>30</v>
      </c>
      <c r="N36" s="99" t="s">
        <v>30</v>
      </c>
      <c r="O36" s="99" t="s">
        <v>30</v>
      </c>
      <c r="P36" s="99" t="s">
        <v>207</v>
      </c>
      <c r="Q36" s="99" t="s">
        <v>207</v>
      </c>
      <c r="R36" s="99" t="s">
        <v>207</v>
      </c>
      <c r="S36" s="99" t="s">
        <v>207</v>
      </c>
      <c r="T36" s="99"/>
      <c r="U36" s="99" t="s">
        <v>194</v>
      </c>
      <c r="V36" s="99" t="s">
        <v>204</v>
      </c>
      <c r="W36" s="99" t="s">
        <v>30</v>
      </c>
      <c r="X36" s="99" t="s">
        <v>204</v>
      </c>
      <c r="Y36" s="99" t="s">
        <v>30</v>
      </c>
      <c r="Z36" s="99" t="s">
        <v>208</v>
      </c>
      <c r="AA36" s="99" t="s">
        <v>30</v>
      </c>
      <c r="AB36" s="99" t="s">
        <v>204</v>
      </c>
      <c r="AC36" s="99" t="s">
        <v>204</v>
      </c>
      <c r="AD36" s="99" t="s">
        <v>30</v>
      </c>
      <c r="AE36" s="99" t="s">
        <v>198</v>
      </c>
      <c r="AF36" s="99" t="s">
        <v>198</v>
      </c>
      <c r="AG36" s="99" t="s">
        <v>198</v>
      </c>
      <c r="AH36" s="99" t="s">
        <v>198</v>
      </c>
      <c r="AI36" s="99" t="s">
        <v>194</v>
      </c>
      <c r="AJ36" s="99" t="s">
        <v>195</v>
      </c>
      <c r="AK36" s="99" t="s">
        <v>30</v>
      </c>
      <c r="AL36" s="99" t="s">
        <v>195</v>
      </c>
      <c r="AM36" s="99"/>
      <c r="AN36" s="99" t="s">
        <v>199</v>
      </c>
      <c r="AO36" s="99" t="s">
        <v>198</v>
      </c>
      <c r="AP36" s="99" t="s">
        <v>198</v>
      </c>
      <c r="AQ36" s="99" t="s">
        <v>198</v>
      </c>
      <c r="AR36" s="99" t="s">
        <v>198</v>
      </c>
      <c r="AS36" s="99" t="s">
        <v>198</v>
      </c>
      <c r="AT36" s="99" t="s">
        <v>198</v>
      </c>
      <c r="AU36" s="99" t="s">
        <v>198</v>
      </c>
      <c r="AV36" s="99" t="s">
        <v>198</v>
      </c>
      <c r="AW36" s="99" t="s">
        <v>198</v>
      </c>
      <c r="AX36" s="99" t="s">
        <v>198</v>
      </c>
      <c r="AY36" s="99"/>
      <c r="AZ36" s="99" t="s">
        <v>194</v>
      </c>
      <c r="BA36" s="99" t="s">
        <v>194</v>
      </c>
      <c r="BB36" s="99" t="s">
        <v>204</v>
      </c>
      <c r="BC36" s="99" t="s">
        <v>30</v>
      </c>
      <c r="BD36" s="99" t="s">
        <v>195</v>
      </c>
      <c r="BE36" s="99" t="s">
        <v>195</v>
      </c>
      <c r="BF36" s="99" t="s">
        <v>195</v>
      </c>
      <c r="BG36" s="99" t="s">
        <v>195</v>
      </c>
      <c r="BH36" s="99" t="s">
        <v>30</v>
      </c>
      <c r="BI36" s="99" t="s">
        <v>195</v>
      </c>
      <c r="BJ36" s="99" t="s">
        <v>204</v>
      </c>
      <c r="BK36" s="99" t="s">
        <v>30</v>
      </c>
      <c r="BL36" s="99" t="s">
        <v>196</v>
      </c>
      <c r="BM36" s="99" t="s">
        <v>30</v>
      </c>
      <c r="BN36" s="99" t="s">
        <v>204</v>
      </c>
      <c r="BO36" s="99" t="s">
        <v>204</v>
      </c>
      <c r="BP36" s="99" t="s">
        <v>195</v>
      </c>
      <c r="BQ36" s="99" t="s">
        <v>204</v>
      </c>
      <c r="BR36" s="99" t="s">
        <v>30</v>
      </c>
      <c r="BS36" s="99" t="s">
        <v>30</v>
      </c>
      <c r="BT36" s="99"/>
      <c r="BU36" s="99" t="s">
        <v>202</v>
      </c>
      <c r="BV36" s="99" t="s">
        <v>202</v>
      </c>
      <c r="BW36" s="99" t="s">
        <v>202</v>
      </c>
      <c r="BX36" s="99" t="s">
        <v>202</v>
      </c>
      <c r="BY36" s="99" t="s">
        <v>202</v>
      </c>
      <c r="BZ36" s="99" t="s">
        <v>202</v>
      </c>
      <c r="CA36" s="99" t="s">
        <v>202</v>
      </c>
      <c r="CB36" s="99"/>
      <c r="CC36" s="99" t="s">
        <v>200</v>
      </c>
      <c r="CD36" s="99"/>
      <c r="CE36" s="99" t="s">
        <v>194</v>
      </c>
      <c r="CF36" s="99"/>
      <c r="CG36" s="99"/>
      <c r="CH36" s="99"/>
      <c r="CI36" s="99" t="s">
        <v>199</v>
      </c>
      <c r="CJ36" s="99" t="s">
        <v>198</v>
      </c>
      <c r="CK36" s="99" t="s">
        <v>198</v>
      </c>
      <c r="CL36" s="99" t="s">
        <v>198</v>
      </c>
      <c r="CM36" s="99" t="s">
        <v>198</v>
      </c>
      <c r="CN36" s="99" t="s">
        <v>198</v>
      </c>
      <c r="CO36" s="99" t="s">
        <v>198</v>
      </c>
      <c r="CP36" s="99" t="s">
        <v>198</v>
      </c>
      <c r="CQ36" s="99" t="s">
        <v>198</v>
      </c>
      <c r="CR36" s="99" t="s">
        <v>198</v>
      </c>
      <c r="CS36" s="99" t="s">
        <v>198</v>
      </c>
      <c r="CT36" s="99" t="s">
        <v>198</v>
      </c>
      <c r="CU36" s="99" t="s">
        <v>198</v>
      </c>
      <c r="CV36" s="99" t="s">
        <v>198</v>
      </c>
      <c r="CW36" s="99" t="s">
        <v>198</v>
      </c>
      <c r="CX36" s="99" t="s">
        <v>198</v>
      </c>
      <c r="CY36" s="99" t="s">
        <v>198</v>
      </c>
      <c r="CZ36" s="99" t="s">
        <v>198</v>
      </c>
      <c r="DA36" s="99" t="s">
        <v>198</v>
      </c>
      <c r="DB36" s="99" t="s">
        <v>198</v>
      </c>
      <c r="DC36" s="99" t="s">
        <v>198</v>
      </c>
      <c r="DD36" s="99" t="s">
        <v>198</v>
      </c>
      <c r="DE36" s="99" t="s">
        <v>198</v>
      </c>
      <c r="DF36" s="99" t="s">
        <v>198</v>
      </c>
      <c r="DG36" s="99" t="s">
        <v>198</v>
      </c>
      <c r="DH36" s="99" t="s">
        <v>198</v>
      </c>
      <c r="DI36" s="99" t="s">
        <v>198</v>
      </c>
      <c r="DJ36" s="99" t="s">
        <v>198</v>
      </c>
      <c r="DK36" s="99"/>
      <c r="DL36" s="99" t="s">
        <v>199</v>
      </c>
      <c r="DM36" s="99" t="s">
        <v>198</v>
      </c>
      <c r="DN36" s="99" t="s">
        <v>198</v>
      </c>
      <c r="DO36" s="99" t="s">
        <v>198</v>
      </c>
      <c r="DP36" s="99" t="s">
        <v>198</v>
      </c>
      <c r="DQ36" s="99" t="s">
        <v>198</v>
      </c>
      <c r="DR36" s="99" t="s">
        <v>198</v>
      </c>
      <c r="DS36" s="99" t="s">
        <v>198</v>
      </c>
      <c r="DT36" s="99" t="s">
        <v>198</v>
      </c>
      <c r="DU36" s="99" t="s">
        <v>198</v>
      </c>
      <c r="DV36" s="99" t="s">
        <v>198</v>
      </c>
      <c r="DW36" s="99" t="s">
        <v>198</v>
      </c>
      <c r="DX36" s="99" t="s">
        <v>198</v>
      </c>
      <c r="DY36" s="99" t="s">
        <v>198</v>
      </c>
      <c r="DZ36" s="99" t="s">
        <v>198</v>
      </c>
      <c r="EA36" s="99"/>
      <c r="EB36" s="99" t="s">
        <v>199</v>
      </c>
      <c r="EC36" s="99" t="s">
        <v>198</v>
      </c>
      <c r="ED36" s="99" t="s">
        <v>198</v>
      </c>
      <c r="EE36" s="99" t="s">
        <v>198</v>
      </c>
      <c r="EF36" s="99" t="s">
        <v>198</v>
      </c>
      <c r="EG36" s="99" t="s">
        <v>198</v>
      </c>
      <c r="EH36" s="100" t="s">
        <v>198</v>
      </c>
    </row>
    <row r="37" spans="1:138" ht="23.25" customHeight="1" x14ac:dyDescent="0.25">
      <c r="A37" s="101" t="s">
        <v>17</v>
      </c>
      <c r="B37" s="90" t="s">
        <v>193</v>
      </c>
      <c r="C37" s="90" t="s">
        <v>199</v>
      </c>
      <c r="D37" s="90" t="s">
        <v>198</v>
      </c>
      <c r="E37" s="90" t="s">
        <v>198</v>
      </c>
      <c r="F37" s="90" t="s">
        <v>198</v>
      </c>
      <c r="G37" s="90" t="s">
        <v>198</v>
      </c>
      <c r="H37" s="90" t="s">
        <v>198</v>
      </c>
      <c r="I37" s="90" t="s">
        <v>198</v>
      </c>
      <c r="J37" s="90" t="s">
        <v>198</v>
      </c>
      <c r="K37" s="90" t="s">
        <v>198</v>
      </c>
      <c r="L37" s="90" t="s">
        <v>198</v>
      </c>
      <c r="M37" s="90" t="s">
        <v>198</v>
      </c>
      <c r="N37" s="90" t="s">
        <v>198</v>
      </c>
      <c r="O37" s="90" t="s">
        <v>198</v>
      </c>
      <c r="P37" s="90" t="s">
        <v>198</v>
      </c>
      <c r="Q37" s="90" t="s">
        <v>198</v>
      </c>
      <c r="R37" s="90" t="s">
        <v>198</v>
      </c>
      <c r="S37" s="90" t="s">
        <v>198</v>
      </c>
      <c r="T37" s="90"/>
      <c r="U37" s="90" t="s">
        <v>199</v>
      </c>
      <c r="V37" s="90" t="s">
        <v>198</v>
      </c>
      <c r="W37" s="90" t="s">
        <v>198</v>
      </c>
      <c r="X37" s="90" t="s">
        <v>198</v>
      </c>
      <c r="Y37" s="90" t="s">
        <v>198</v>
      </c>
      <c r="Z37" s="90" t="s">
        <v>17</v>
      </c>
      <c r="AA37" s="90" t="s">
        <v>198</v>
      </c>
      <c r="AB37" s="90" t="s">
        <v>198</v>
      </c>
      <c r="AC37" s="90" t="s">
        <v>198</v>
      </c>
      <c r="AD37" s="90" t="s">
        <v>198</v>
      </c>
      <c r="AE37" s="90" t="s">
        <v>198</v>
      </c>
      <c r="AF37" s="90" t="s">
        <v>198</v>
      </c>
      <c r="AG37" s="90" t="s">
        <v>198</v>
      </c>
      <c r="AH37" s="90" t="s">
        <v>198</v>
      </c>
      <c r="AI37" s="90" t="s">
        <v>199</v>
      </c>
      <c r="AJ37" s="90" t="s">
        <v>198</v>
      </c>
      <c r="AK37" s="90" t="s">
        <v>198</v>
      </c>
      <c r="AL37" s="90" t="s">
        <v>198</v>
      </c>
      <c r="AM37" s="90"/>
      <c r="AN37" s="90" t="s">
        <v>199</v>
      </c>
      <c r="AO37" s="90" t="s">
        <v>198</v>
      </c>
      <c r="AP37" s="90" t="s">
        <v>198</v>
      </c>
      <c r="AQ37" s="90" t="s">
        <v>198</v>
      </c>
      <c r="AR37" s="90" t="s">
        <v>198</v>
      </c>
      <c r="AS37" s="90" t="s">
        <v>198</v>
      </c>
      <c r="AT37" s="90" t="s">
        <v>198</v>
      </c>
      <c r="AU37" s="90" t="s">
        <v>198</v>
      </c>
      <c r="AV37" s="90" t="s">
        <v>198</v>
      </c>
      <c r="AW37" s="90" t="s">
        <v>198</v>
      </c>
      <c r="AX37" s="90" t="s">
        <v>198</v>
      </c>
      <c r="AY37" s="90"/>
      <c r="AZ37" s="90" t="s">
        <v>199</v>
      </c>
      <c r="BA37" s="90" t="s">
        <v>199</v>
      </c>
      <c r="BB37" s="90" t="s">
        <v>198</v>
      </c>
      <c r="BC37" s="90" t="s">
        <v>198</v>
      </c>
      <c r="BD37" s="90" t="s">
        <v>198</v>
      </c>
      <c r="BE37" s="90" t="s">
        <v>198</v>
      </c>
      <c r="BF37" s="90" t="s">
        <v>198</v>
      </c>
      <c r="BG37" s="90" t="s">
        <v>198</v>
      </c>
      <c r="BH37" s="90" t="s">
        <v>198</v>
      </c>
      <c r="BI37" s="90" t="s">
        <v>198</v>
      </c>
      <c r="BJ37" s="90" t="s">
        <v>198</v>
      </c>
      <c r="BK37" s="90" t="s">
        <v>198</v>
      </c>
      <c r="BL37" s="90" t="s">
        <v>198</v>
      </c>
      <c r="BM37" s="90" t="s">
        <v>198</v>
      </c>
      <c r="BN37" s="90" t="s">
        <v>198</v>
      </c>
      <c r="BO37" s="90" t="s">
        <v>198</v>
      </c>
      <c r="BP37" s="90" t="s">
        <v>198</v>
      </c>
      <c r="BQ37" s="90" t="s">
        <v>198</v>
      </c>
      <c r="BR37" s="90" t="s">
        <v>198</v>
      </c>
      <c r="BS37" s="90" t="s">
        <v>198</v>
      </c>
      <c r="BT37" s="90"/>
      <c r="BU37" s="90" t="s">
        <v>202</v>
      </c>
      <c r="BV37" s="90" t="s">
        <v>202</v>
      </c>
      <c r="BW37" s="90" t="s">
        <v>202</v>
      </c>
      <c r="BX37" s="90" t="s">
        <v>202</v>
      </c>
      <c r="BY37" s="90" t="s">
        <v>202</v>
      </c>
      <c r="BZ37" s="90" t="s">
        <v>202</v>
      </c>
      <c r="CA37" s="90" t="s">
        <v>202</v>
      </c>
      <c r="CB37" s="90"/>
      <c r="CC37" s="90" t="s">
        <v>205</v>
      </c>
      <c r="CD37" s="90"/>
      <c r="CE37" s="90" t="s">
        <v>194</v>
      </c>
      <c r="CF37" s="90"/>
      <c r="CG37" s="90"/>
      <c r="CH37" s="90"/>
      <c r="CI37" s="90" t="s">
        <v>199</v>
      </c>
      <c r="CJ37" s="90" t="s">
        <v>198</v>
      </c>
      <c r="CK37" s="90" t="s">
        <v>198</v>
      </c>
      <c r="CL37" s="90" t="s">
        <v>198</v>
      </c>
      <c r="CM37" s="90" t="s">
        <v>198</v>
      </c>
      <c r="CN37" s="90" t="s">
        <v>198</v>
      </c>
      <c r="CO37" s="90" t="s">
        <v>198</v>
      </c>
      <c r="CP37" s="90" t="s">
        <v>198</v>
      </c>
      <c r="CQ37" s="90" t="s">
        <v>198</v>
      </c>
      <c r="CR37" s="90" t="s">
        <v>198</v>
      </c>
      <c r="CS37" s="90" t="s">
        <v>198</v>
      </c>
      <c r="CT37" s="90" t="s">
        <v>198</v>
      </c>
      <c r="CU37" s="90" t="s">
        <v>198</v>
      </c>
      <c r="CV37" s="90" t="s">
        <v>198</v>
      </c>
      <c r="CW37" s="90" t="s">
        <v>198</v>
      </c>
      <c r="CX37" s="90" t="s">
        <v>198</v>
      </c>
      <c r="CY37" s="90" t="s">
        <v>198</v>
      </c>
      <c r="CZ37" s="90" t="s">
        <v>198</v>
      </c>
      <c r="DA37" s="90" t="s">
        <v>198</v>
      </c>
      <c r="DB37" s="90" t="s">
        <v>198</v>
      </c>
      <c r="DC37" s="90" t="s">
        <v>198</v>
      </c>
      <c r="DD37" s="90" t="s">
        <v>198</v>
      </c>
      <c r="DE37" s="90" t="s">
        <v>198</v>
      </c>
      <c r="DF37" s="90" t="s">
        <v>198</v>
      </c>
      <c r="DG37" s="90" t="s">
        <v>198</v>
      </c>
      <c r="DH37" s="90" t="s">
        <v>198</v>
      </c>
      <c r="DI37" s="90" t="s">
        <v>198</v>
      </c>
      <c r="DJ37" s="90" t="s">
        <v>198</v>
      </c>
      <c r="DK37" s="90"/>
      <c r="DL37" s="90" t="s">
        <v>199</v>
      </c>
      <c r="DM37" s="90" t="s">
        <v>198</v>
      </c>
      <c r="DN37" s="90" t="s">
        <v>198</v>
      </c>
      <c r="DO37" s="90" t="s">
        <v>198</v>
      </c>
      <c r="DP37" s="90" t="s">
        <v>198</v>
      </c>
      <c r="DQ37" s="90" t="s">
        <v>198</v>
      </c>
      <c r="DR37" s="90" t="s">
        <v>198</v>
      </c>
      <c r="DS37" s="90" t="s">
        <v>198</v>
      </c>
      <c r="DT37" s="90" t="s">
        <v>198</v>
      </c>
      <c r="DU37" s="90" t="s">
        <v>198</v>
      </c>
      <c r="DV37" s="90" t="s">
        <v>198</v>
      </c>
      <c r="DW37" s="90" t="s">
        <v>198</v>
      </c>
      <c r="DX37" s="90" t="s">
        <v>198</v>
      </c>
      <c r="DY37" s="90" t="s">
        <v>198</v>
      </c>
      <c r="DZ37" s="90" t="s">
        <v>198</v>
      </c>
      <c r="EA37" s="90"/>
      <c r="EB37" s="90" t="s">
        <v>199</v>
      </c>
      <c r="EC37" s="90" t="s">
        <v>198</v>
      </c>
      <c r="ED37" s="90" t="s">
        <v>198</v>
      </c>
      <c r="EE37" s="90" t="s">
        <v>198</v>
      </c>
      <c r="EF37" s="90" t="s">
        <v>198</v>
      </c>
      <c r="EG37" s="90" t="s">
        <v>198</v>
      </c>
      <c r="EH37" s="102" t="s">
        <v>198</v>
      </c>
    </row>
    <row r="38" spans="1:138" ht="23.25" customHeight="1" x14ac:dyDescent="0.25">
      <c r="A38" s="98" t="s">
        <v>17</v>
      </c>
      <c r="B38" s="99" t="s">
        <v>193</v>
      </c>
      <c r="C38" s="99" t="s">
        <v>194</v>
      </c>
      <c r="D38" s="99" t="s">
        <v>195</v>
      </c>
      <c r="E38" s="99" t="s">
        <v>195</v>
      </c>
      <c r="F38" s="99" t="s">
        <v>195</v>
      </c>
      <c r="G38" s="99" t="s">
        <v>201</v>
      </c>
      <c r="H38" s="99" t="s">
        <v>195</v>
      </c>
      <c r="I38" s="99" t="s">
        <v>196</v>
      </c>
      <c r="J38" s="99" t="s">
        <v>195</v>
      </c>
      <c r="K38" s="99" t="s">
        <v>30</v>
      </c>
      <c r="L38" s="99" t="s">
        <v>195</v>
      </c>
      <c r="M38" s="99" t="s">
        <v>30</v>
      </c>
      <c r="N38" s="99" t="s">
        <v>195</v>
      </c>
      <c r="O38" s="99" t="s">
        <v>195</v>
      </c>
      <c r="P38" s="99" t="s">
        <v>30</v>
      </c>
      <c r="Q38" s="99" t="s">
        <v>201</v>
      </c>
      <c r="R38" s="99" t="s">
        <v>195</v>
      </c>
      <c r="S38" s="99" t="s">
        <v>195</v>
      </c>
      <c r="T38" s="99"/>
      <c r="U38" s="99" t="s">
        <v>194</v>
      </c>
      <c r="V38" s="99" t="s">
        <v>195</v>
      </c>
      <c r="W38" s="99" t="s">
        <v>195</v>
      </c>
      <c r="X38" s="99" t="s">
        <v>195</v>
      </c>
      <c r="Y38" s="99" t="s">
        <v>195</v>
      </c>
      <c r="Z38" s="99" t="s">
        <v>208</v>
      </c>
      <c r="AA38" s="99" t="s">
        <v>195</v>
      </c>
      <c r="AB38" s="99" t="s">
        <v>195</v>
      </c>
      <c r="AC38" s="99" t="s">
        <v>195</v>
      </c>
      <c r="AD38" s="99" t="s">
        <v>195</v>
      </c>
      <c r="AE38" s="99" t="s">
        <v>198</v>
      </c>
      <c r="AF38" s="99" t="s">
        <v>198</v>
      </c>
      <c r="AG38" s="99" t="s">
        <v>198</v>
      </c>
      <c r="AH38" s="99" t="s">
        <v>198</v>
      </c>
      <c r="AI38" s="99" t="s">
        <v>194</v>
      </c>
      <c r="AJ38" s="99" t="s">
        <v>30</v>
      </c>
      <c r="AK38" s="99" t="s">
        <v>30</v>
      </c>
      <c r="AL38" s="99" t="s">
        <v>30</v>
      </c>
      <c r="AM38" s="99"/>
      <c r="AN38" s="99" t="s">
        <v>194</v>
      </c>
      <c r="AO38" s="99" t="s">
        <v>195</v>
      </c>
      <c r="AP38" s="99" t="s">
        <v>195</v>
      </c>
      <c r="AQ38" s="99" t="s">
        <v>195</v>
      </c>
      <c r="AR38" s="99" t="s">
        <v>195</v>
      </c>
      <c r="AS38" s="99" t="s">
        <v>195</v>
      </c>
      <c r="AT38" s="99" t="s">
        <v>195</v>
      </c>
      <c r="AU38" s="99" t="s">
        <v>30</v>
      </c>
      <c r="AV38" s="99" t="s">
        <v>195</v>
      </c>
      <c r="AW38" s="99" t="s">
        <v>195</v>
      </c>
      <c r="AX38" s="99" t="s">
        <v>195</v>
      </c>
      <c r="AY38" s="99"/>
      <c r="AZ38" s="99" t="s">
        <v>194</v>
      </c>
      <c r="BA38" s="99" t="s">
        <v>194</v>
      </c>
      <c r="BB38" s="99" t="s">
        <v>30</v>
      </c>
      <c r="BC38" s="99" t="s">
        <v>30</v>
      </c>
      <c r="BD38" s="99" t="s">
        <v>30</v>
      </c>
      <c r="BE38" s="99" t="s">
        <v>30</v>
      </c>
      <c r="BF38" s="99" t="s">
        <v>30</v>
      </c>
      <c r="BG38" s="99" t="s">
        <v>195</v>
      </c>
      <c r="BH38" s="99" t="s">
        <v>195</v>
      </c>
      <c r="BI38" s="99" t="s">
        <v>195</v>
      </c>
      <c r="BJ38" s="99" t="s">
        <v>30</v>
      </c>
      <c r="BK38" s="99" t="s">
        <v>30</v>
      </c>
      <c r="BL38" s="99" t="s">
        <v>196</v>
      </c>
      <c r="BM38" s="99" t="s">
        <v>196</v>
      </c>
      <c r="BN38" s="99" t="s">
        <v>196</v>
      </c>
      <c r="BO38" s="99" t="s">
        <v>196</v>
      </c>
      <c r="BP38" s="99" t="s">
        <v>195</v>
      </c>
      <c r="BQ38" s="99" t="s">
        <v>196</v>
      </c>
      <c r="BR38" s="99" t="s">
        <v>195</v>
      </c>
      <c r="BS38" s="99" t="s">
        <v>30</v>
      </c>
      <c r="BT38" s="99"/>
      <c r="BU38" s="99" t="s">
        <v>195</v>
      </c>
      <c r="BV38" s="99" t="s">
        <v>198</v>
      </c>
      <c r="BW38" s="99" t="s">
        <v>198</v>
      </c>
      <c r="BX38" s="99" t="s">
        <v>198</v>
      </c>
      <c r="BY38" s="99" t="s">
        <v>198</v>
      </c>
      <c r="BZ38" s="99" t="s">
        <v>198</v>
      </c>
      <c r="CA38" s="99" t="s">
        <v>198</v>
      </c>
      <c r="CB38" s="99"/>
      <c r="CC38" s="99" t="s">
        <v>200</v>
      </c>
      <c r="CD38" s="99"/>
      <c r="CE38" s="99" t="s">
        <v>194</v>
      </c>
      <c r="CF38" s="99"/>
      <c r="CG38" s="99"/>
      <c r="CH38" s="99"/>
      <c r="CI38" s="99" t="s">
        <v>194</v>
      </c>
      <c r="CJ38" s="99" t="s">
        <v>30</v>
      </c>
      <c r="CK38" s="99" t="s">
        <v>195</v>
      </c>
      <c r="CL38" s="99" t="s">
        <v>30</v>
      </c>
      <c r="CM38" s="99" t="s">
        <v>195</v>
      </c>
      <c r="CN38" s="99" t="s">
        <v>30</v>
      </c>
      <c r="CO38" s="99" t="s">
        <v>195</v>
      </c>
      <c r="CP38" s="99" t="s">
        <v>30</v>
      </c>
      <c r="CQ38" s="99" t="s">
        <v>30</v>
      </c>
      <c r="CR38" s="99" t="s">
        <v>30</v>
      </c>
      <c r="CS38" s="99" t="s">
        <v>30</v>
      </c>
      <c r="CT38" s="99" t="s">
        <v>30</v>
      </c>
      <c r="CU38" s="99" t="s">
        <v>195</v>
      </c>
      <c r="CV38" s="99" t="s">
        <v>30</v>
      </c>
      <c r="CW38" s="99" t="s">
        <v>30</v>
      </c>
      <c r="CX38" s="99" t="s">
        <v>30</v>
      </c>
      <c r="CY38" s="99" t="s">
        <v>195</v>
      </c>
      <c r="CZ38" s="99" t="s">
        <v>195</v>
      </c>
      <c r="DA38" s="99" t="s">
        <v>195</v>
      </c>
      <c r="DB38" s="99" t="s">
        <v>201</v>
      </c>
      <c r="DC38" s="99" t="s">
        <v>201</v>
      </c>
      <c r="DD38" s="99" t="s">
        <v>201</v>
      </c>
      <c r="DE38" s="99" t="s">
        <v>201</v>
      </c>
      <c r="DF38" s="99" t="s">
        <v>201</v>
      </c>
      <c r="DG38" s="99" t="s">
        <v>201</v>
      </c>
      <c r="DH38" s="99" t="s">
        <v>201</v>
      </c>
      <c r="DI38" s="99" t="s">
        <v>201</v>
      </c>
      <c r="DJ38" s="99" t="s">
        <v>201</v>
      </c>
      <c r="DK38" s="99"/>
      <c r="DL38" s="99" t="s">
        <v>199</v>
      </c>
      <c r="DM38" s="99" t="s">
        <v>198</v>
      </c>
      <c r="DN38" s="99" t="s">
        <v>198</v>
      </c>
      <c r="DO38" s="99" t="s">
        <v>198</v>
      </c>
      <c r="DP38" s="99" t="s">
        <v>198</v>
      </c>
      <c r="DQ38" s="99" t="s">
        <v>198</v>
      </c>
      <c r="DR38" s="99" t="s">
        <v>198</v>
      </c>
      <c r="DS38" s="99" t="s">
        <v>198</v>
      </c>
      <c r="DT38" s="99" t="s">
        <v>198</v>
      </c>
      <c r="DU38" s="99" t="s">
        <v>198</v>
      </c>
      <c r="DV38" s="99" t="s">
        <v>198</v>
      </c>
      <c r="DW38" s="99" t="s">
        <v>198</v>
      </c>
      <c r="DX38" s="99" t="s">
        <v>198</v>
      </c>
      <c r="DY38" s="99" t="s">
        <v>198</v>
      </c>
      <c r="DZ38" s="99" t="s">
        <v>198</v>
      </c>
      <c r="EA38" s="99"/>
      <c r="EB38" s="99" t="s">
        <v>199</v>
      </c>
      <c r="EC38" s="99" t="s">
        <v>198</v>
      </c>
      <c r="ED38" s="99" t="s">
        <v>198</v>
      </c>
      <c r="EE38" s="99" t="s">
        <v>198</v>
      </c>
      <c r="EF38" s="99" t="s">
        <v>198</v>
      </c>
      <c r="EG38" s="99" t="s">
        <v>198</v>
      </c>
      <c r="EH38" s="100" t="s">
        <v>198</v>
      </c>
    </row>
    <row r="39" spans="1:138" ht="23.25" customHeight="1" x14ac:dyDescent="0.25">
      <c r="A39" s="101" t="s">
        <v>17</v>
      </c>
      <c r="B39" s="90" t="s">
        <v>193</v>
      </c>
      <c r="C39" s="90" t="s">
        <v>194</v>
      </c>
      <c r="D39" s="90" t="s">
        <v>195</v>
      </c>
      <c r="E39" s="90" t="s">
        <v>195</v>
      </c>
      <c r="F39" s="90" t="s">
        <v>30</v>
      </c>
      <c r="G39" s="90" t="s">
        <v>30</v>
      </c>
      <c r="H39" s="90" t="s">
        <v>30</v>
      </c>
      <c r="I39" s="90" t="s">
        <v>30</v>
      </c>
      <c r="J39" s="90" t="s">
        <v>30</v>
      </c>
      <c r="K39" s="90" t="s">
        <v>204</v>
      </c>
      <c r="L39" s="90" t="s">
        <v>30</v>
      </c>
      <c r="M39" s="90" t="s">
        <v>30</v>
      </c>
      <c r="N39" s="90" t="s">
        <v>30</v>
      </c>
      <c r="O39" s="90" t="s">
        <v>30</v>
      </c>
      <c r="P39" s="90" t="s">
        <v>195</v>
      </c>
      <c r="Q39" s="90" t="s">
        <v>195</v>
      </c>
      <c r="R39" s="90" t="s">
        <v>195</v>
      </c>
      <c r="S39" s="90" t="s">
        <v>30</v>
      </c>
      <c r="T39" s="90"/>
      <c r="U39" s="90" t="s">
        <v>194</v>
      </c>
      <c r="V39" s="90" t="s">
        <v>30</v>
      </c>
      <c r="W39" s="90" t="s">
        <v>30</v>
      </c>
      <c r="X39" s="90" t="s">
        <v>30</v>
      </c>
      <c r="Y39" s="90" t="s">
        <v>195</v>
      </c>
      <c r="Z39" s="90" t="s">
        <v>208</v>
      </c>
      <c r="AA39" s="90" t="s">
        <v>30</v>
      </c>
      <c r="AB39" s="90" t="s">
        <v>204</v>
      </c>
      <c r="AC39" s="90" t="s">
        <v>204</v>
      </c>
      <c r="AD39" s="90" t="s">
        <v>204</v>
      </c>
      <c r="AE39" s="90" t="s">
        <v>198</v>
      </c>
      <c r="AF39" s="90" t="s">
        <v>198</v>
      </c>
      <c r="AG39" s="90" t="s">
        <v>198</v>
      </c>
      <c r="AH39" s="90" t="s">
        <v>198</v>
      </c>
      <c r="AI39" s="90" t="s">
        <v>194</v>
      </c>
      <c r="AJ39" s="90" t="s">
        <v>30</v>
      </c>
      <c r="AK39" s="90" t="s">
        <v>30</v>
      </c>
      <c r="AL39" s="90" t="s">
        <v>30</v>
      </c>
      <c r="AM39" s="90"/>
      <c r="AN39" s="90" t="s">
        <v>199</v>
      </c>
      <c r="AO39" s="90" t="s">
        <v>198</v>
      </c>
      <c r="AP39" s="90" t="s">
        <v>198</v>
      </c>
      <c r="AQ39" s="90" t="s">
        <v>198</v>
      </c>
      <c r="AR39" s="90" t="s">
        <v>198</v>
      </c>
      <c r="AS39" s="90" t="s">
        <v>198</v>
      </c>
      <c r="AT39" s="90" t="s">
        <v>198</v>
      </c>
      <c r="AU39" s="90" t="s">
        <v>198</v>
      </c>
      <c r="AV39" s="90" t="s">
        <v>198</v>
      </c>
      <c r="AW39" s="90" t="s">
        <v>198</v>
      </c>
      <c r="AX39" s="90" t="s">
        <v>198</v>
      </c>
      <c r="AY39" s="90"/>
      <c r="AZ39" s="90" t="s">
        <v>194</v>
      </c>
      <c r="BA39" s="90" t="s">
        <v>194</v>
      </c>
      <c r="BB39" s="90" t="s">
        <v>30</v>
      </c>
      <c r="BC39" s="90" t="s">
        <v>204</v>
      </c>
      <c r="BD39" s="90" t="s">
        <v>204</v>
      </c>
      <c r="BE39" s="90" t="s">
        <v>30</v>
      </c>
      <c r="BF39" s="90" t="s">
        <v>30</v>
      </c>
      <c r="BG39" s="90" t="s">
        <v>30</v>
      </c>
      <c r="BH39" s="90" t="s">
        <v>30</v>
      </c>
      <c r="BI39" s="90" t="s">
        <v>30</v>
      </c>
      <c r="BJ39" s="90" t="s">
        <v>204</v>
      </c>
      <c r="BK39" s="90" t="s">
        <v>30</v>
      </c>
      <c r="BL39" s="90" t="s">
        <v>195</v>
      </c>
      <c r="BM39" s="90" t="s">
        <v>196</v>
      </c>
      <c r="BN39" s="90" t="s">
        <v>195</v>
      </c>
      <c r="BO39" s="90" t="s">
        <v>30</v>
      </c>
      <c r="BP39" s="90" t="s">
        <v>30</v>
      </c>
      <c r="BQ39" s="90" t="s">
        <v>30</v>
      </c>
      <c r="BR39" s="90" t="s">
        <v>30</v>
      </c>
      <c r="BS39" s="90" t="s">
        <v>30</v>
      </c>
      <c r="BT39" s="90"/>
      <c r="BU39" s="90" t="s">
        <v>30</v>
      </c>
      <c r="BV39" s="90" t="s">
        <v>30</v>
      </c>
      <c r="BW39" s="90" t="s">
        <v>30</v>
      </c>
      <c r="BX39" s="90" t="s">
        <v>30</v>
      </c>
      <c r="BY39" s="90" t="s">
        <v>30</v>
      </c>
      <c r="BZ39" s="90" t="s">
        <v>30</v>
      </c>
      <c r="CA39" s="90" t="s">
        <v>30</v>
      </c>
      <c r="CB39" s="90"/>
      <c r="CC39" s="90" t="s">
        <v>206</v>
      </c>
      <c r="CD39" s="90"/>
      <c r="CE39" s="90" t="s">
        <v>194</v>
      </c>
      <c r="CF39" s="90"/>
      <c r="CG39" s="90"/>
      <c r="CH39" s="90"/>
      <c r="CI39" s="90" t="s">
        <v>194</v>
      </c>
      <c r="CJ39" s="90" t="s">
        <v>30</v>
      </c>
      <c r="CK39" s="90" t="s">
        <v>30</v>
      </c>
      <c r="CL39" s="90" t="s">
        <v>30</v>
      </c>
      <c r="CM39" s="90" t="s">
        <v>30</v>
      </c>
      <c r="CN39" s="90" t="s">
        <v>30</v>
      </c>
      <c r="CO39" s="90" t="s">
        <v>30</v>
      </c>
      <c r="CP39" s="90" t="s">
        <v>30</v>
      </c>
      <c r="CQ39" s="90" t="s">
        <v>30</v>
      </c>
      <c r="CR39" s="90" t="s">
        <v>30</v>
      </c>
      <c r="CS39" s="90" t="s">
        <v>30</v>
      </c>
      <c r="CT39" s="90" t="s">
        <v>30</v>
      </c>
      <c r="CU39" s="90" t="s">
        <v>30</v>
      </c>
      <c r="CV39" s="90" t="s">
        <v>30</v>
      </c>
      <c r="CW39" s="90" t="s">
        <v>30</v>
      </c>
      <c r="CX39" s="90" t="s">
        <v>30</v>
      </c>
      <c r="CY39" s="90" t="s">
        <v>204</v>
      </c>
      <c r="CZ39" s="90" t="s">
        <v>204</v>
      </c>
      <c r="DA39" s="90" t="s">
        <v>204</v>
      </c>
      <c r="DB39" s="90" t="s">
        <v>30</v>
      </c>
      <c r="DC39" s="90" t="s">
        <v>30</v>
      </c>
      <c r="DD39" s="90" t="s">
        <v>30</v>
      </c>
      <c r="DE39" s="90" t="s">
        <v>30</v>
      </c>
      <c r="DF39" s="90" t="s">
        <v>30</v>
      </c>
      <c r="DG39" s="90" t="s">
        <v>30</v>
      </c>
      <c r="DH39" s="90" t="s">
        <v>30</v>
      </c>
      <c r="DI39" s="90" t="s">
        <v>30</v>
      </c>
      <c r="DJ39" s="90" t="s">
        <v>30</v>
      </c>
      <c r="DK39" s="90"/>
      <c r="DL39" s="90" t="s">
        <v>194</v>
      </c>
      <c r="DM39" s="90" t="s">
        <v>30</v>
      </c>
      <c r="DN39" s="90" t="s">
        <v>30</v>
      </c>
      <c r="DO39" s="90" t="s">
        <v>30</v>
      </c>
      <c r="DP39" s="90" t="s">
        <v>30</v>
      </c>
      <c r="DQ39" s="90" t="s">
        <v>30</v>
      </c>
      <c r="DR39" s="90" t="s">
        <v>30</v>
      </c>
      <c r="DS39" s="90" t="s">
        <v>30</v>
      </c>
      <c r="DT39" s="90" t="s">
        <v>30</v>
      </c>
      <c r="DU39" s="90" t="s">
        <v>30</v>
      </c>
      <c r="DV39" s="90" t="s">
        <v>30</v>
      </c>
      <c r="DW39" s="90" t="s">
        <v>30</v>
      </c>
      <c r="DX39" s="90" t="s">
        <v>30</v>
      </c>
      <c r="DY39" s="90" t="s">
        <v>30</v>
      </c>
      <c r="DZ39" s="90" t="s">
        <v>30</v>
      </c>
      <c r="EA39" s="90"/>
      <c r="EB39" s="90" t="s">
        <v>199</v>
      </c>
      <c r="EC39" s="90" t="s">
        <v>198</v>
      </c>
      <c r="ED39" s="90" t="s">
        <v>198</v>
      </c>
      <c r="EE39" s="90" t="s">
        <v>198</v>
      </c>
      <c r="EF39" s="90" t="s">
        <v>198</v>
      </c>
      <c r="EG39" s="90" t="s">
        <v>198</v>
      </c>
      <c r="EH39" s="102" t="s">
        <v>198</v>
      </c>
    </row>
    <row r="40" spans="1:138" ht="23.25" customHeight="1" x14ac:dyDescent="0.25">
      <c r="A40" s="98" t="s">
        <v>17</v>
      </c>
      <c r="B40" s="99" t="s">
        <v>193</v>
      </c>
      <c r="C40" s="99" t="s">
        <v>194</v>
      </c>
      <c r="D40" s="99" t="s">
        <v>195</v>
      </c>
      <c r="E40" s="99" t="s">
        <v>30</v>
      </c>
      <c r="F40" s="99" t="s">
        <v>204</v>
      </c>
      <c r="G40" s="99" t="s">
        <v>201</v>
      </c>
      <c r="H40" s="99" t="s">
        <v>30</v>
      </c>
      <c r="I40" s="99" t="s">
        <v>204</v>
      </c>
      <c r="J40" s="99" t="s">
        <v>201</v>
      </c>
      <c r="K40" s="99" t="s">
        <v>201</v>
      </c>
      <c r="L40" s="99" t="s">
        <v>201</v>
      </c>
      <c r="M40" s="99" t="s">
        <v>204</v>
      </c>
      <c r="N40" s="99" t="s">
        <v>204</v>
      </c>
      <c r="O40" s="99" t="s">
        <v>30</v>
      </c>
      <c r="P40" s="99" t="s">
        <v>196</v>
      </c>
      <c r="Q40" s="99" t="s">
        <v>30</v>
      </c>
      <c r="R40" s="99" t="s">
        <v>201</v>
      </c>
      <c r="S40" s="99" t="s">
        <v>201</v>
      </c>
      <c r="T40" s="99"/>
      <c r="U40" s="99" t="s">
        <v>194</v>
      </c>
      <c r="V40" s="99" t="s">
        <v>195</v>
      </c>
      <c r="W40" s="99" t="s">
        <v>204</v>
      </c>
      <c r="X40" s="99" t="s">
        <v>204</v>
      </c>
      <c r="Y40" s="99" t="s">
        <v>204</v>
      </c>
      <c r="Z40" s="99" t="s">
        <v>208</v>
      </c>
      <c r="AA40" s="99" t="s">
        <v>207</v>
      </c>
      <c r="AB40" s="99" t="s">
        <v>201</v>
      </c>
      <c r="AC40" s="99" t="s">
        <v>207</v>
      </c>
      <c r="AD40" s="99" t="s">
        <v>207</v>
      </c>
      <c r="AE40" s="99" t="s">
        <v>198</v>
      </c>
      <c r="AF40" s="99" t="s">
        <v>198</v>
      </c>
      <c r="AG40" s="99" t="s">
        <v>198</v>
      </c>
      <c r="AH40" s="99" t="s">
        <v>198</v>
      </c>
      <c r="AI40" s="99" t="s">
        <v>199</v>
      </c>
      <c r="AJ40" s="99" t="s">
        <v>198</v>
      </c>
      <c r="AK40" s="99" t="s">
        <v>198</v>
      </c>
      <c r="AL40" s="99" t="s">
        <v>198</v>
      </c>
      <c r="AM40" s="99"/>
      <c r="AN40" s="99" t="s">
        <v>199</v>
      </c>
      <c r="AO40" s="99" t="s">
        <v>198</v>
      </c>
      <c r="AP40" s="99" t="s">
        <v>198</v>
      </c>
      <c r="AQ40" s="99" t="s">
        <v>198</v>
      </c>
      <c r="AR40" s="99" t="s">
        <v>198</v>
      </c>
      <c r="AS40" s="99" t="s">
        <v>198</v>
      </c>
      <c r="AT40" s="99" t="s">
        <v>198</v>
      </c>
      <c r="AU40" s="99" t="s">
        <v>198</v>
      </c>
      <c r="AV40" s="99" t="s">
        <v>198</v>
      </c>
      <c r="AW40" s="99" t="s">
        <v>198</v>
      </c>
      <c r="AX40" s="99" t="s">
        <v>198</v>
      </c>
      <c r="AY40" s="99"/>
      <c r="AZ40" s="99" t="s">
        <v>194</v>
      </c>
      <c r="BA40" s="99" t="s">
        <v>194</v>
      </c>
      <c r="BB40" s="99" t="s">
        <v>204</v>
      </c>
      <c r="BC40" s="99" t="s">
        <v>30</v>
      </c>
      <c r="BD40" s="99" t="s">
        <v>195</v>
      </c>
      <c r="BE40" s="99" t="s">
        <v>195</v>
      </c>
      <c r="BF40" s="99" t="s">
        <v>30</v>
      </c>
      <c r="BG40" s="99" t="s">
        <v>195</v>
      </c>
      <c r="BH40" s="99" t="s">
        <v>30</v>
      </c>
      <c r="BI40" s="99" t="s">
        <v>30</v>
      </c>
      <c r="BJ40" s="99" t="s">
        <v>204</v>
      </c>
      <c r="BK40" s="99" t="s">
        <v>195</v>
      </c>
      <c r="BL40" s="99" t="s">
        <v>30</v>
      </c>
      <c r="BM40" s="99" t="s">
        <v>195</v>
      </c>
      <c r="BN40" s="99" t="s">
        <v>30</v>
      </c>
      <c r="BO40" s="99" t="s">
        <v>30</v>
      </c>
      <c r="BP40" s="99" t="s">
        <v>195</v>
      </c>
      <c r="BQ40" s="99" t="s">
        <v>195</v>
      </c>
      <c r="BR40" s="99" t="s">
        <v>30</v>
      </c>
      <c r="BS40" s="99" t="s">
        <v>195</v>
      </c>
      <c r="BT40" s="99"/>
      <c r="BU40" s="99" t="s">
        <v>202</v>
      </c>
      <c r="BV40" s="99" t="s">
        <v>202</v>
      </c>
      <c r="BW40" s="99" t="s">
        <v>202</v>
      </c>
      <c r="BX40" s="99" t="s">
        <v>202</v>
      </c>
      <c r="BY40" s="99" t="s">
        <v>202</v>
      </c>
      <c r="BZ40" s="99" t="s">
        <v>202</v>
      </c>
      <c r="CA40" s="99" t="s">
        <v>202</v>
      </c>
      <c r="CB40" s="99"/>
      <c r="CC40" s="99" t="s">
        <v>200</v>
      </c>
      <c r="CD40" s="99"/>
      <c r="CE40" s="99" t="s">
        <v>194</v>
      </c>
      <c r="CF40" s="99"/>
      <c r="CG40" s="99"/>
      <c r="CH40" s="99"/>
      <c r="CI40" s="99" t="s">
        <v>194</v>
      </c>
      <c r="CJ40" s="99" t="s">
        <v>30</v>
      </c>
      <c r="CK40" s="99" t="s">
        <v>204</v>
      </c>
      <c r="CL40" s="99" t="s">
        <v>30</v>
      </c>
      <c r="CM40" s="99" t="s">
        <v>201</v>
      </c>
      <c r="CN40" s="99" t="s">
        <v>207</v>
      </c>
      <c r="CO40" s="99" t="s">
        <v>204</v>
      </c>
      <c r="CP40" s="99" t="s">
        <v>195</v>
      </c>
      <c r="CQ40" s="99" t="s">
        <v>195</v>
      </c>
      <c r="CR40" s="99" t="s">
        <v>204</v>
      </c>
      <c r="CS40" s="99" t="s">
        <v>201</v>
      </c>
      <c r="CT40" s="99" t="s">
        <v>195</v>
      </c>
      <c r="CU40" s="99" t="s">
        <v>195</v>
      </c>
      <c r="CV40" s="99" t="s">
        <v>201</v>
      </c>
      <c r="CW40" s="99" t="s">
        <v>195</v>
      </c>
      <c r="CX40" s="99" t="s">
        <v>195</v>
      </c>
      <c r="CY40" s="99" t="s">
        <v>195</v>
      </c>
      <c r="CZ40" s="99" t="s">
        <v>195</v>
      </c>
      <c r="DA40" s="99" t="s">
        <v>195</v>
      </c>
      <c r="DB40" s="99" t="s">
        <v>201</v>
      </c>
      <c r="DC40" s="99" t="s">
        <v>201</v>
      </c>
      <c r="DD40" s="99" t="s">
        <v>201</v>
      </c>
      <c r="DE40" s="99" t="s">
        <v>201</v>
      </c>
      <c r="DF40" s="99" t="s">
        <v>201</v>
      </c>
      <c r="DG40" s="99" t="s">
        <v>195</v>
      </c>
      <c r="DH40" s="99" t="s">
        <v>30</v>
      </c>
      <c r="DI40" s="99" t="s">
        <v>30</v>
      </c>
      <c r="DJ40" s="99" t="s">
        <v>201</v>
      </c>
      <c r="DK40" s="99"/>
      <c r="DL40" s="99" t="s">
        <v>199</v>
      </c>
      <c r="DM40" s="99" t="s">
        <v>198</v>
      </c>
      <c r="DN40" s="99" t="s">
        <v>198</v>
      </c>
      <c r="DO40" s="99" t="s">
        <v>198</v>
      </c>
      <c r="DP40" s="99" t="s">
        <v>198</v>
      </c>
      <c r="DQ40" s="99" t="s">
        <v>198</v>
      </c>
      <c r="DR40" s="99" t="s">
        <v>198</v>
      </c>
      <c r="DS40" s="99" t="s">
        <v>198</v>
      </c>
      <c r="DT40" s="99" t="s">
        <v>198</v>
      </c>
      <c r="DU40" s="99" t="s">
        <v>198</v>
      </c>
      <c r="DV40" s="99" t="s">
        <v>198</v>
      </c>
      <c r="DW40" s="99" t="s">
        <v>198</v>
      </c>
      <c r="DX40" s="99" t="s">
        <v>198</v>
      </c>
      <c r="DY40" s="99" t="s">
        <v>198</v>
      </c>
      <c r="DZ40" s="99" t="s">
        <v>198</v>
      </c>
      <c r="EA40" s="99"/>
      <c r="EB40" s="99" t="s">
        <v>194</v>
      </c>
      <c r="EC40" s="99" t="s">
        <v>204</v>
      </c>
      <c r="ED40" s="99" t="s">
        <v>207</v>
      </c>
      <c r="EE40" s="99" t="s">
        <v>201</v>
      </c>
      <c r="EF40" s="99" t="s">
        <v>201</v>
      </c>
      <c r="EG40" s="99" t="s">
        <v>204</v>
      </c>
      <c r="EH40" s="100" t="s">
        <v>204</v>
      </c>
    </row>
    <row r="41" spans="1:138" ht="23.25" customHeight="1" x14ac:dyDescent="0.25">
      <c r="A41" s="98" t="s">
        <v>17</v>
      </c>
      <c r="B41" s="99" t="s">
        <v>193</v>
      </c>
      <c r="C41" s="99" t="s">
        <v>194</v>
      </c>
      <c r="D41" s="99" t="s">
        <v>30</v>
      </c>
      <c r="E41" s="99" t="s">
        <v>30</v>
      </c>
      <c r="F41" s="99" t="s">
        <v>204</v>
      </c>
      <c r="G41" s="99" t="s">
        <v>30</v>
      </c>
      <c r="H41" s="99" t="s">
        <v>195</v>
      </c>
      <c r="I41" s="99" t="s">
        <v>195</v>
      </c>
      <c r="J41" s="99" t="s">
        <v>201</v>
      </c>
      <c r="K41" s="99" t="s">
        <v>207</v>
      </c>
      <c r="L41" s="99" t="s">
        <v>195</v>
      </c>
      <c r="M41" s="99" t="s">
        <v>207</v>
      </c>
      <c r="N41" s="99" t="s">
        <v>204</v>
      </c>
      <c r="O41" s="99" t="s">
        <v>207</v>
      </c>
      <c r="P41" s="99" t="s">
        <v>195</v>
      </c>
      <c r="Q41" s="99" t="s">
        <v>195</v>
      </c>
      <c r="R41" s="99" t="s">
        <v>195</v>
      </c>
      <c r="S41" s="99" t="s">
        <v>195</v>
      </c>
      <c r="T41" s="99"/>
      <c r="U41" s="99" t="s">
        <v>194</v>
      </c>
      <c r="V41" s="99" t="s">
        <v>195</v>
      </c>
      <c r="W41" s="99" t="s">
        <v>195</v>
      </c>
      <c r="X41" s="99" t="s">
        <v>195</v>
      </c>
      <c r="Y41" s="99" t="s">
        <v>30</v>
      </c>
      <c r="Z41" s="99" t="s">
        <v>208</v>
      </c>
      <c r="AA41" s="99" t="s">
        <v>195</v>
      </c>
      <c r="AB41" s="99" t="s">
        <v>195</v>
      </c>
      <c r="AC41" s="99" t="s">
        <v>30</v>
      </c>
      <c r="AD41" s="99" t="s">
        <v>30</v>
      </c>
      <c r="AE41" s="99" t="s">
        <v>198</v>
      </c>
      <c r="AF41" s="99" t="s">
        <v>198</v>
      </c>
      <c r="AG41" s="99" t="s">
        <v>198</v>
      </c>
      <c r="AH41" s="99" t="s">
        <v>198</v>
      </c>
      <c r="AI41" s="99" t="s">
        <v>194</v>
      </c>
      <c r="AJ41" s="99" t="s">
        <v>195</v>
      </c>
      <c r="AK41" s="99" t="s">
        <v>195</v>
      </c>
      <c r="AL41" s="99" t="s">
        <v>30</v>
      </c>
      <c r="AM41" s="99"/>
      <c r="AN41" s="99" t="s">
        <v>194</v>
      </c>
      <c r="AO41" s="99" t="s">
        <v>195</v>
      </c>
      <c r="AP41" s="99" t="s">
        <v>195</v>
      </c>
      <c r="AQ41" s="99" t="s">
        <v>195</v>
      </c>
      <c r="AR41" s="99" t="s">
        <v>195</v>
      </c>
      <c r="AS41" s="99" t="s">
        <v>195</v>
      </c>
      <c r="AT41" s="99" t="s">
        <v>195</v>
      </c>
      <c r="AU41" s="99" t="s">
        <v>195</v>
      </c>
      <c r="AV41" s="99" t="s">
        <v>195</v>
      </c>
      <c r="AW41" s="99" t="s">
        <v>195</v>
      </c>
      <c r="AX41" s="99" t="s">
        <v>195</v>
      </c>
      <c r="AY41" s="99"/>
      <c r="AZ41" s="99" t="s">
        <v>194</v>
      </c>
      <c r="BA41" s="99" t="s">
        <v>194</v>
      </c>
      <c r="BB41" s="99" t="s">
        <v>195</v>
      </c>
      <c r="BC41" s="99" t="s">
        <v>204</v>
      </c>
      <c r="BD41" s="99" t="s">
        <v>195</v>
      </c>
      <c r="BE41" s="99" t="s">
        <v>195</v>
      </c>
      <c r="BF41" s="99" t="s">
        <v>195</v>
      </c>
      <c r="BG41" s="99" t="s">
        <v>195</v>
      </c>
      <c r="BH41" s="99" t="s">
        <v>207</v>
      </c>
      <c r="BI41" s="99" t="s">
        <v>195</v>
      </c>
      <c r="BJ41" s="99" t="s">
        <v>204</v>
      </c>
      <c r="BK41" s="99" t="s">
        <v>204</v>
      </c>
      <c r="BL41" s="99" t="s">
        <v>195</v>
      </c>
      <c r="BM41" s="99" t="s">
        <v>195</v>
      </c>
      <c r="BN41" s="99" t="s">
        <v>30</v>
      </c>
      <c r="BO41" s="99" t="s">
        <v>207</v>
      </c>
      <c r="BP41" s="99" t="s">
        <v>30</v>
      </c>
      <c r="BQ41" s="99" t="s">
        <v>30</v>
      </c>
      <c r="BR41" s="99" t="s">
        <v>30</v>
      </c>
      <c r="BS41" s="99" t="s">
        <v>195</v>
      </c>
      <c r="BT41" s="99"/>
      <c r="BU41" s="99" t="s">
        <v>202</v>
      </c>
      <c r="BV41" s="99" t="s">
        <v>202</v>
      </c>
      <c r="BW41" s="99" t="s">
        <v>202</v>
      </c>
      <c r="BX41" s="99" t="s">
        <v>202</v>
      </c>
      <c r="BY41" s="99" t="s">
        <v>202</v>
      </c>
      <c r="BZ41" s="99" t="s">
        <v>202</v>
      </c>
      <c r="CA41" s="99" t="s">
        <v>202</v>
      </c>
      <c r="CB41" s="99"/>
      <c r="CC41" s="99" t="s">
        <v>203</v>
      </c>
      <c r="CD41" s="99"/>
      <c r="CE41" s="99" t="s">
        <v>199</v>
      </c>
      <c r="CF41" s="99"/>
      <c r="CG41" s="99"/>
      <c r="CH41" s="99"/>
      <c r="CI41" s="99" t="s">
        <v>194</v>
      </c>
      <c r="CJ41" s="99" t="s">
        <v>195</v>
      </c>
      <c r="CK41" s="99" t="s">
        <v>195</v>
      </c>
      <c r="CL41" s="99" t="s">
        <v>195</v>
      </c>
      <c r="CM41" s="99" t="s">
        <v>207</v>
      </c>
      <c r="CN41" s="99" t="s">
        <v>30</v>
      </c>
      <c r="CO41" s="99" t="s">
        <v>30</v>
      </c>
      <c r="CP41" s="99" t="s">
        <v>195</v>
      </c>
      <c r="CQ41" s="99" t="s">
        <v>30</v>
      </c>
      <c r="CR41" s="99" t="s">
        <v>204</v>
      </c>
      <c r="CS41" s="99" t="s">
        <v>195</v>
      </c>
      <c r="CT41" s="99" t="s">
        <v>30</v>
      </c>
      <c r="CU41" s="99" t="s">
        <v>195</v>
      </c>
      <c r="CV41" s="99" t="s">
        <v>195</v>
      </c>
      <c r="CW41" s="99" t="s">
        <v>195</v>
      </c>
      <c r="CX41" s="99" t="s">
        <v>195</v>
      </c>
      <c r="CY41" s="99" t="s">
        <v>195</v>
      </c>
      <c r="CZ41" s="99" t="s">
        <v>195</v>
      </c>
      <c r="DA41" s="99" t="s">
        <v>196</v>
      </c>
      <c r="DB41" s="99" t="s">
        <v>30</v>
      </c>
      <c r="DC41" s="99" t="s">
        <v>30</v>
      </c>
      <c r="DD41" s="99" t="s">
        <v>30</v>
      </c>
      <c r="DE41" s="99" t="s">
        <v>30</v>
      </c>
      <c r="DF41" s="99" t="s">
        <v>30</v>
      </c>
      <c r="DG41" s="99" t="s">
        <v>195</v>
      </c>
      <c r="DH41" s="99" t="s">
        <v>195</v>
      </c>
      <c r="DI41" s="99" t="s">
        <v>30</v>
      </c>
      <c r="DJ41" s="99" t="s">
        <v>30</v>
      </c>
      <c r="DK41" s="99"/>
      <c r="DL41" s="99" t="s">
        <v>199</v>
      </c>
      <c r="DM41" s="99" t="s">
        <v>198</v>
      </c>
      <c r="DN41" s="99" t="s">
        <v>198</v>
      </c>
      <c r="DO41" s="99" t="s">
        <v>198</v>
      </c>
      <c r="DP41" s="99" t="s">
        <v>198</v>
      </c>
      <c r="DQ41" s="99" t="s">
        <v>198</v>
      </c>
      <c r="DR41" s="99" t="s">
        <v>198</v>
      </c>
      <c r="DS41" s="99" t="s">
        <v>198</v>
      </c>
      <c r="DT41" s="99" t="s">
        <v>198</v>
      </c>
      <c r="DU41" s="99" t="s">
        <v>198</v>
      </c>
      <c r="DV41" s="99" t="s">
        <v>198</v>
      </c>
      <c r="DW41" s="99" t="s">
        <v>198</v>
      </c>
      <c r="DX41" s="99" t="s">
        <v>198</v>
      </c>
      <c r="DY41" s="99" t="s">
        <v>198</v>
      </c>
      <c r="DZ41" s="99" t="s">
        <v>198</v>
      </c>
      <c r="EA41" s="99"/>
      <c r="EB41" s="99" t="s">
        <v>194</v>
      </c>
      <c r="EC41" s="99" t="s">
        <v>204</v>
      </c>
      <c r="ED41" s="99" t="s">
        <v>204</v>
      </c>
      <c r="EE41" s="99" t="s">
        <v>201</v>
      </c>
      <c r="EF41" s="99" t="s">
        <v>201</v>
      </c>
      <c r="EG41" s="99" t="s">
        <v>30</v>
      </c>
      <c r="EH41" s="100" t="s">
        <v>204</v>
      </c>
    </row>
    <row r="42" spans="1:138" ht="23.25" customHeight="1" x14ac:dyDescent="0.25">
      <c r="A42" s="101" t="s">
        <v>17</v>
      </c>
      <c r="B42" s="90" t="s">
        <v>193</v>
      </c>
      <c r="C42" s="90" t="s">
        <v>194</v>
      </c>
      <c r="D42" s="90" t="s">
        <v>195</v>
      </c>
      <c r="E42" s="90" t="s">
        <v>195</v>
      </c>
      <c r="F42" s="90" t="s">
        <v>195</v>
      </c>
      <c r="G42" s="90" t="s">
        <v>201</v>
      </c>
      <c r="H42" s="90" t="s">
        <v>195</v>
      </c>
      <c r="I42" s="90" t="s">
        <v>196</v>
      </c>
      <c r="J42" s="90" t="s">
        <v>30</v>
      </c>
      <c r="K42" s="90" t="s">
        <v>195</v>
      </c>
      <c r="L42" s="90" t="s">
        <v>201</v>
      </c>
      <c r="M42" s="90" t="s">
        <v>195</v>
      </c>
      <c r="N42" s="90" t="s">
        <v>195</v>
      </c>
      <c r="O42" s="90" t="s">
        <v>195</v>
      </c>
      <c r="P42" s="90" t="s">
        <v>195</v>
      </c>
      <c r="Q42" s="90" t="s">
        <v>195</v>
      </c>
      <c r="R42" s="90" t="s">
        <v>201</v>
      </c>
      <c r="S42" s="90" t="s">
        <v>195</v>
      </c>
      <c r="T42" s="90"/>
      <c r="U42" s="90" t="s">
        <v>194</v>
      </c>
      <c r="V42" s="90" t="s">
        <v>195</v>
      </c>
      <c r="W42" s="90" t="s">
        <v>196</v>
      </c>
      <c r="X42" s="90" t="s">
        <v>195</v>
      </c>
      <c r="Y42" s="90" t="s">
        <v>195</v>
      </c>
      <c r="Z42" s="90" t="s">
        <v>208</v>
      </c>
      <c r="AA42" s="90" t="s">
        <v>195</v>
      </c>
      <c r="AB42" s="90" t="s">
        <v>195</v>
      </c>
      <c r="AC42" s="90" t="s">
        <v>195</v>
      </c>
      <c r="AD42" s="90" t="s">
        <v>195</v>
      </c>
      <c r="AE42" s="90" t="s">
        <v>198</v>
      </c>
      <c r="AF42" s="90" t="s">
        <v>198</v>
      </c>
      <c r="AG42" s="90" t="s">
        <v>198</v>
      </c>
      <c r="AH42" s="90" t="s">
        <v>198</v>
      </c>
      <c r="AI42" s="90" t="s">
        <v>194</v>
      </c>
      <c r="AJ42" s="90" t="s">
        <v>195</v>
      </c>
      <c r="AK42" s="90" t="s">
        <v>195</v>
      </c>
      <c r="AL42" s="90" t="s">
        <v>195</v>
      </c>
      <c r="AM42" s="90"/>
      <c r="AN42" s="90" t="s">
        <v>194</v>
      </c>
      <c r="AO42" s="90" t="s">
        <v>195</v>
      </c>
      <c r="AP42" s="90" t="s">
        <v>195</v>
      </c>
      <c r="AQ42" s="90" t="s">
        <v>195</v>
      </c>
      <c r="AR42" s="90" t="s">
        <v>195</v>
      </c>
      <c r="AS42" s="90" t="s">
        <v>201</v>
      </c>
      <c r="AT42" s="90" t="s">
        <v>195</v>
      </c>
      <c r="AU42" s="90" t="s">
        <v>30</v>
      </c>
      <c r="AV42" s="90" t="s">
        <v>195</v>
      </c>
      <c r="AW42" s="90" t="s">
        <v>195</v>
      </c>
      <c r="AX42" s="90" t="s">
        <v>195</v>
      </c>
      <c r="AY42" s="90"/>
      <c r="AZ42" s="90" t="s">
        <v>194</v>
      </c>
      <c r="BA42" s="90" t="s">
        <v>194</v>
      </c>
      <c r="BB42" s="90" t="s">
        <v>195</v>
      </c>
      <c r="BC42" s="90" t="s">
        <v>195</v>
      </c>
      <c r="BD42" s="90" t="s">
        <v>195</v>
      </c>
      <c r="BE42" s="90" t="s">
        <v>30</v>
      </c>
      <c r="BF42" s="90" t="s">
        <v>195</v>
      </c>
      <c r="BG42" s="90" t="s">
        <v>195</v>
      </c>
      <c r="BH42" s="90" t="s">
        <v>195</v>
      </c>
      <c r="BI42" s="90" t="s">
        <v>30</v>
      </c>
      <c r="BJ42" s="90" t="s">
        <v>195</v>
      </c>
      <c r="BK42" s="90" t="s">
        <v>195</v>
      </c>
      <c r="BL42" s="90" t="s">
        <v>196</v>
      </c>
      <c r="BM42" s="90" t="s">
        <v>196</v>
      </c>
      <c r="BN42" s="90" t="s">
        <v>195</v>
      </c>
      <c r="BO42" s="90" t="s">
        <v>195</v>
      </c>
      <c r="BP42" s="90" t="s">
        <v>195</v>
      </c>
      <c r="BQ42" s="90" t="s">
        <v>195</v>
      </c>
      <c r="BR42" s="90" t="s">
        <v>195</v>
      </c>
      <c r="BS42" s="90" t="s">
        <v>195</v>
      </c>
      <c r="BT42" s="90"/>
      <c r="BU42" s="90" t="s">
        <v>195</v>
      </c>
      <c r="BV42" s="90" t="s">
        <v>195</v>
      </c>
      <c r="BW42" s="90" t="s">
        <v>195</v>
      </c>
      <c r="BX42" s="90" t="s">
        <v>198</v>
      </c>
      <c r="BY42" s="90" t="s">
        <v>198</v>
      </c>
      <c r="BZ42" s="90" t="s">
        <v>198</v>
      </c>
      <c r="CA42" s="90" t="s">
        <v>195</v>
      </c>
      <c r="CB42" s="90"/>
      <c r="CC42" s="90" t="s">
        <v>205</v>
      </c>
      <c r="CD42" s="90"/>
      <c r="CE42" s="90" t="s">
        <v>194</v>
      </c>
      <c r="CF42" s="90"/>
      <c r="CG42" s="90"/>
      <c r="CH42" s="90"/>
      <c r="CI42" s="90" t="s">
        <v>199</v>
      </c>
      <c r="CJ42" s="90" t="s">
        <v>198</v>
      </c>
      <c r="CK42" s="90" t="s">
        <v>198</v>
      </c>
      <c r="CL42" s="90" t="s">
        <v>198</v>
      </c>
      <c r="CM42" s="90" t="s">
        <v>198</v>
      </c>
      <c r="CN42" s="90" t="s">
        <v>198</v>
      </c>
      <c r="CO42" s="90" t="s">
        <v>198</v>
      </c>
      <c r="CP42" s="90" t="s">
        <v>198</v>
      </c>
      <c r="CQ42" s="90" t="s">
        <v>198</v>
      </c>
      <c r="CR42" s="90" t="s">
        <v>198</v>
      </c>
      <c r="CS42" s="90" t="s">
        <v>198</v>
      </c>
      <c r="CT42" s="90" t="s">
        <v>198</v>
      </c>
      <c r="CU42" s="90" t="s">
        <v>198</v>
      </c>
      <c r="CV42" s="90" t="s">
        <v>198</v>
      </c>
      <c r="CW42" s="90" t="s">
        <v>198</v>
      </c>
      <c r="CX42" s="90" t="s">
        <v>198</v>
      </c>
      <c r="CY42" s="90" t="s">
        <v>198</v>
      </c>
      <c r="CZ42" s="90" t="s">
        <v>198</v>
      </c>
      <c r="DA42" s="90" t="s">
        <v>198</v>
      </c>
      <c r="DB42" s="90" t="s">
        <v>198</v>
      </c>
      <c r="DC42" s="90" t="s">
        <v>198</v>
      </c>
      <c r="DD42" s="90" t="s">
        <v>198</v>
      </c>
      <c r="DE42" s="90" t="s">
        <v>198</v>
      </c>
      <c r="DF42" s="90" t="s">
        <v>198</v>
      </c>
      <c r="DG42" s="90" t="s">
        <v>198</v>
      </c>
      <c r="DH42" s="90" t="s">
        <v>198</v>
      </c>
      <c r="DI42" s="90" t="s">
        <v>198</v>
      </c>
      <c r="DJ42" s="90" t="s">
        <v>198</v>
      </c>
      <c r="DK42" s="90"/>
      <c r="DL42" s="90" t="s">
        <v>199</v>
      </c>
      <c r="DM42" s="90" t="s">
        <v>198</v>
      </c>
      <c r="DN42" s="90" t="s">
        <v>198</v>
      </c>
      <c r="DO42" s="90" t="s">
        <v>198</v>
      </c>
      <c r="DP42" s="90" t="s">
        <v>198</v>
      </c>
      <c r="DQ42" s="90" t="s">
        <v>198</v>
      </c>
      <c r="DR42" s="90" t="s">
        <v>198</v>
      </c>
      <c r="DS42" s="90" t="s">
        <v>198</v>
      </c>
      <c r="DT42" s="90" t="s">
        <v>198</v>
      </c>
      <c r="DU42" s="90" t="s">
        <v>198</v>
      </c>
      <c r="DV42" s="90" t="s">
        <v>198</v>
      </c>
      <c r="DW42" s="90" t="s">
        <v>198</v>
      </c>
      <c r="DX42" s="90" t="s">
        <v>198</v>
      </c>
      <c r="DY42" s="90" t="s">
        <v>198</v>
      </c>
      <c r="DZ42" s="90" t="s">
        <v>198</v>
      </c>
      <c r="EA42" s="90"/>
      <c r="EB42" s="90" t="s">
        <v>199</v>
      </c>
      <c r="EC42" s="90" t="s">
        <v>198</v>
      </c>
      <c r="ED42" s="90" t="s">
        <v>198</v>
      </c>
      <c r="EE42" s="90" t="s">
        <v>198</v>
      </c>
      <c r="EF42" s="90" t="s">
        <v>198</v>
      </c>
      <c r="EG42" s="90" t="s">
        <v>198</v>
      </c>
      <c r="EH42" s="102" t="s">
        <v>198</v>
      </c>
    </row>
    <row r="43" spans="1:138" ht="23.25" customHeight="1" x14ac:dyDescent="0.25">
      <c r="A43" s="101" t="s">
        <v>17</v>
      </c>
      <c r="B43" s="90" t="s">
        <v>193</v>
      </c>
      <c r="C43" s="90" t="s">
        <v>194</v>
      </c>
      <c r="D43" s="90" t="s">
        <v>195</v>
      </c>
      <c r="E43" s="90" t="s">
        <v>195</v>
      </c>
      <c r="F43" s="90" t="s">
        <v>195</v>
      </c>
      <c r="G43" s="90" t="s">
        <v>201</v>
      </c>
      <c r="H43" s="90" t="s">
        <v>195</v>
      </c>
      <c r="I43" s="90" t="s">
        <v>195</v>
      </c>
      <c r="J43" s="90" t="s">
        <v>30</v>
      </c>
      <c r="K43" s="90" t="s">
        <v>207</v>
      </c>
      <c r="L43" s="90" t="s">
        <v>30</v>
      </c>
      <c r="M43" s="90" t="s">
        <v>201</v>
      </c>
      <c r="N43" s="90" t="s">
        <v>201</v>
      </c>
      <c r="O43" s="90" t="s">
        <v>30</v>
      </c>
      <c r="P43" s="90" t="s">
        <v>195</v>
      </c>
      <c r="Q43" s="90" t="s">
        <v>195</v>
      </c>
      <c r="R43" s="90" t="s">
        <v>201</v>
      </c>
      <c r="S43" s="90" t="s">
        <v>204</v>
      </c>
      <c r="T43" s="90"/>
      <c r="U43" s="90" t="s">
        <v>194</v>
      </c>
      <c r="V43" s="90" t="s">
        <v>204</v>
      </c>
      <c r="W43" s="90" t="s">
        <v>195</v>
      </c>
      <c r="X43" s="90" t="s">
        <v>207</v>
      </c>
      <c r="Y43" s="90" t="s">
        <v>30</v>
      </c>
      <c r="Z43" s="90" t="s">
        <v>208</v>
      </c>
      <c r="AA43" s="90" t="s">
        <v>196</v>
      </c>
      <c r="AB43" s="90" t="s">
        <v>195</v>
      </c>
      <c r="AC43" s="90" t="s">
        <v>195</v>
      </c>
      <c r="AD43" s="90" t="s">
        <v>196</v>
      </c>
      <c r="AE43" s="90" t="s">
        <v>198</v>
      </c>
      <c r="AF43" s="90" t="s">
        <v>198</v>
      </c>
      <c r="AG43" s="90" t="s">
        <v>198</v>
      </c>
      <c r="AH43" s="90" t="s">
        <v>198</v>
      </c>
      <c r="AI43" s="90" t="s">
        <v>194</v>
      </c>
      <c r="AJ43" s="90" t="s">
        <v>195</v>
      </c>
      <c r="AK43" s="90" t="s">
        <v>30</v>
      </c>
      <c r="AL43" s="90" t="s">
        <v>204</v>
      </c>
      <c r="AM43" s="90"/>
      <c r="AN43" s="90" t="s">
        <v>194</v>
      </c>
      <c r="AO43" s="90" t="s">
        <v>201</v>
      </c>
      <c r="AP43" s="90" t="s">
        <v>30</v>
      </c>
      <c r="AQ43" s="90" t="s">
        <v>30</v>
      </c>
      <c r="AR43" s="90" t="s">
        <v>30</v>
      </c>
      <c r="AS43" s="90" t="s">
        <v>195</v>
      </c>
      <c r="AT43" s="90" t="s">
        <v>195</v>
      </c>
      <c r="AU43" s="90" t="s">
        <v>207</v>
      </c>
      <c r="AV43" s="90" t="s">
        <v>30</v>
      </c>
      <c r="AW43" s="90" t="s">
        <v>195</v>
      </c>
      <c r="AX43" s="90" t="s">
        <v>195</v>
      </c>
      <c r="AY43" s="90"/>
      <c r="AZ43" s="90" t="s">
        <v>199</v>
      </c>
      <c r="BA43" s="90" t="s">
        <v>199</v>
      </c>
      <c r="BB43" s="90" t="s">
        <v>198</v>
      </c>
      <c r="BC43" s="90" t="s">
        <v>198</v>
      </c>
      <c r="BD43" s="90" t="s">
        <v>198</v>
      </c>
      <c r="BE43" s="90" t="s">
        <v>198</v>
      </c>
      <c r="BF43" s="90" t="s">
        <v>198</v>
      </c>
      <c r="BG43" s="90" t="s">
        <v>198</v>
      </c>
      <c r="BH43" s="90" t="s">
        <v>198</v>
      </c>
      <c r="BI43" s="90" t="s">
        <v>198</v>
      </c>
      <c r="BJ43" s="90" t="s">
        <v>198</v>
      </c>
      <c r="BK43" s="90" t="s">
        <v>198</v>
      </c>
      <c r="BL43" s="90" t="s">
        <v>198</v>
      </c>
      <c r="BM43" s="90" t="s">
        <v>198</v>
      </c>
      <c r="BN43" s="90" t="s">
        <v>198</v>
      </c>
      <c r="BO43" s="90" t="s">
        <v>198</v>
      </c>
      <c r="BP43" s="90" t="s">
        <v>198</v>
      </c>
      <c r="BQ43" s="90" t="s">
        <v>198</v>
      </c>
      <c r="BR43" s="90" t="s">
        <v>198</v>
      </c>
      <c r="BS43" s="90" t="s">
        <v>198</v>
      </c>
      <c r="BT43" s="90"/>
      <c r="BU43" s="90" t="s">
        <v>202</v>
      </c>
      <c r="BV43" s="90" t="s">
        <v>202</v>
      </c>
      <c r="BW43" s="90" t="s">
        <v>202</v>
      </c>
      <c r="BX43" s="90" t="s">
        <v>202</v>
      </c>
      <c r="BY43" s="90" t="s">
        <v>202</v>
      </c>
      <c r="BZ43" s="90" t="s">
        <v>202</v>
      </c>
      <c r="CA43" s="90" t="s">
        <v>202</v>
      </c>
      <c r="CB43" s="90"/>
      <c r="CC43" s="90" t="s">
        <v>206</v>
      </c>
      <c r="CD43" s="90"/>
      <c r="CE43" s="90" t="s">
        <v>199</v>
      </c>
      <c r="CF43" s="90"/>
      <c r="CG43" s="90"/>
      <c r="CH43" s="90"/>
      <c r="CI43" s="90" t="s">
        <v>194</v>
      </c>
      <c r="CJ43" s="90" t="s">
        <v>195</v>
      </c>
      <c r="CK43" s="90" t="s">
        <v>195</v>
      </c>
      <c r="CL43" s="90" t="s">
        <v>201</v>
      </c>
      <c r="CM43" s="90" t="s">
        <v>207</v>
      </c>
      <c r="CN43" s="90" t="s">
        <v>207</v>
      </c>
      <c r="CO43" s="90" t="s">
        <v>195</v>
      </c>
      <c r="CP43" s="90" t="s">
        <v>196</v>
      </c>
      <c r="CQ43" s="90" t="s">
        <v>196</v>
      </c>
      <c r="CR43" s="90" t="s">
        <v>30</v>
      </c>
      <c r="CS43" s="90" t="s">
        <v>196</v>
      </c>
      <c r="CT43" s="90" t="s">
        <v>196</v>
      </c>
      <c r="CU43" s="90" t="s">
        <v>196</v>
      </c>
      <c r="CV43" s="90" t="s">
        <v>195</v>
      </c>
      <c r="CW43" s="90" t="s">
        <v>196</v>
      </c>
      <c r="CX43" s="90" t="s">
        <v>201</v>
      </c>
      <c r="CY43" s="90" t="s">
        <v>196</v>
      </c>
      <c r="CZ43" s="90" t="s">
        <v>196</v>
      </c>
      <c r="DA43" s="90" t="s">
        <v>196</v>
      </c>
      <c r="DB43" s="90" t="s">
        <v>201</v>
      </c>
      <c r="DC43" s="90" t="s">
        <v>201</v>
      </c>
      <c r="DD43" s="90" t="s">
        <v>201</v>
      </c>
      <c r="DE43" s="90" t="s">
        <v>201</v>
      </c>
      <c r="DF43" s="90" t="s">
        <v>201</v>
      </c>
      <c r="DG43" s="90" t="s">
        <v>196</v>
      </c>
      <c r="DH43" s="90" t="s">
        <v>196</v>
      </c>
      <c r="DI43" s="90" t="s">
        <v>196</v>
      </c>
      <c r="DJ43" s="90" t="s">
        <v>201</v>
      </c>
      <c r="DK43" s="90"/>
      <c r="DL43" s="90" t="s">
        <v>199</v>
      </c>
      <c r="DM43" s="90" t="s">
        <v>198</v>
      </c>
      <c r="DN43" s="90" t="s">
        <v>198</v>
      </c>
      <c r="DO43" s="90" t="s">
        <v>198</v>
      </c>
      <c r="DP43" s="90" t="s">
        <v>198</v>
      </c>
      <c r="DQ43" s="90" t="s">
        <v>198</v>
      </c>
      <c r="DR43" s="90" t="s">
        <v>198</v>
      </c>
      <c r="DS43" s="90" t="s">
        <v>198</v>
      </c>
      <c r="DT43" s="90" t="s">
        <v>198</v>
      </c>
      <c r="DU43" s="90" t="s">
        <v>198</v>
      </c>
      <c r="DV43" s="90" t="s">
        <v>198</v>
      </c>
      <c r="DW43" s="90" t="s">
        <v>198</v>
      </c>
      <c r="DX43" s="90" t="s">
        <v>198</v>
      </c>
      <c r="DY43" s="90" t="s">
        <v>198</v>
      </c>
      <c r="DZ43" s="90" t="s">
        <v>198</v>
      </c>
      <c r="EA43" s="90"/>
      <c r="EB43" s="90" t="s">
        <v>194</v>
      </c>
      <c r="EC43" s="90" t="s">
        <v>30</v>
      </c>
      <c r="ED43" s="90" t="s">
        <v>204</v>
      </c>
      <c r="EE43" s="90" t="s">
        <v>201</v>
      </c>
      <c r="EF43" s="90" t="s">
        <v>201</v>
      </c>
      <c r="EG43" s="90" t="s">
        <v>30</v>
      </c>
      <c r="EH43" s="102" t="s">
        <v>30</v>
      </c>
    </row>
    <row r="44" spans="1:138" ht="23.25" customHeight="1" x14ac:dyDescent="0.25">
      <c r="A44" s="98" t="s">
        <v>17</v>
      </c>
      <c r="B44" s="99" t="s">
        <v>193</v>
      </c>
      <c r="C44" s="99" t="s">
        <v>194</v>
      </c>
      <c r="D44" s="99" t="s">
        <v>196</v>
      </c>
      <c r="E44" s="99" t="s">
        <v>196</v>
      </c>
      <c r="F44" s="99" t="s">
        <v>196</v>
      </c>
      <c r="G44" s="99" t="s">
        <v>196</v>
      </c>
      <c r="H44" s="99" t="s">
        <v>201</v>
      </c>
      <c r="I44" s="99" t="s">
        <v>201</v>
      </c>
      <c r="J44" s="99" t="s">
        <v>201</v>
      </c>
      <c r="K44" s="99" t="s">
        <v>196</v>
      </c>
      <c r="L44" s="99" t="s">
        <v>196</v>
      </c>
      <c r="M44" s="99" t="s">
        <v>201</v>
      </c>
      <c r="N44" s="99" t="s">
        <v>201</v>
      </c>
      <c r="O44" s="99" t="s">
        <v>201</v>
      </c>
      <c r="P44" s="99" t="s">
        <v>196</v>
      </c>
      <c r="Q44" s="99" t="s">
        <v>196</v>
      </c>
      <c r="R44" s="99" t="s">
        <v>196</v>
      </c>
      <c r="S44" s="99" t="s">
        <v>196</v>
      </c>
      <c r="T44" s="99"/>
      <c r="U44" s="99" t="s">
        <v>199</v>
      </c>
      <c r="V44" s="99" t="s">
        <v>198</v>
      </c>
      <c r="W44" s="99" t="s">
        <v>198</v>
      </c>
      <c r="X44" s="99" t="s">
        <v>198</v>
      </c>
      <c r="Y44" s="99" t="s">
        <v>198</v>
      </c>
      <c r="Z44" s="99" t="s">
        <v>17</v>
      </c>
      <c r="AA44" s="99" t="s">
        <v>198</v>
      </c>
      <c r="AB44" s="99" t="s">
        <v>198</v>
      </c>
      <c r="AC44" s="99" t="s">
        <v>198</v>
      </c>
      <c r="AD44" s="99" t="s">
        <v>198</v>
      </c>
      <c r="AE44" s="99" t="s">
        <v>198</v>
      </c>
      <c r="AF44" s="99" t="s">
        <v>198</v>
      </c>
      <c r="AG44" s="99" t="s">
        <v>198</v>
      </c>
      <c r="AH44" s="99" t="s">
        <v>198</v>
      </c>
      <c r="AI44" s="99" t="s">
        <v>199</v>
      </c>
      <c r="AJ44" s="99" t="s">
        <v>198</v>
      </c>
      <c r="AK44" s="99" t="s">
        <v>198</v>
      </c>
      <c r="AL44" s="99" t="s">
        <v>198</v>
      </c>
      <c r="AM44" s="99"/>
      <c r="AN44" s="99" t="s">
        <v>199</v>
      </c>
      <c r="AO44" s="99" t="s">
        <v>198</v>
      </c>
      <c r="AP44" s="99" t="s">
        <v>198</v>
      </c>
      <c r="AQ44" s="99" t="s">
        <v>198</v>
      </c>
      <c r="AR44" s="99" t="s">
        <v>198</v>
      </c>
      <c r="AS44" s="99" t="s">
        <v>198</v>
      </c>
      <c r="AT44" s="99" t="s">
        <v>198</v>
      </c>
      <c r="AU44" s="99" t="s">
        <v>198</v>
      </c>
      <c r="AV44" s="99" t="s">
        <v>198</v>
      </c>
      <c r="AW44" s="99" t="s">
        <v>198</v>
      </c>
      <c r="AX44" s="99" t="s">
        <v>198</v>
      </c>
      <c r="AY44" s="99"/>
      <c r="AZ44" s="99" t="s">
        <v>199</v>
      </c>
      <c r="BA44" s="99" t="s">
        <v>199</v>
      </c>
      <c r="BB44" s="99" t="s">
        <v>198</v>
      </c>
      <c r="BC44" s="99" t="s">
        <v>198</v>
      </c>
      <c r="BD44" s="99" t="s">
        <v>198</v>
      </c>
      <c r="BE44" s="99" t="s">
        <v>198</v>
      </c>
      <c r="BF44" s="99" t="s">
        <v>198</v>
      </c>
      <c r="BG44" s="99" t="s">
        <v>198</v>
      </c>
      <c r="BH44" s="99" t="s">
        <v>198</v>
      </c>
      <c r="BI44" s="99" t="s">
        <v>198</v>
      </c>
      <c r="BJ44" s="99" t="s">
        <v>198</v>
      </c>
      <c r="BK44" s="99" t="s">
        <v>198</v>
      </c>
      <c r="BL44" s="99" t="s">
        <v>198</v>
      </c>
      <c r="BM44" s="99" t="s">
        <v>198</v>
      </c>
      <c r="BN44" s="99" t="s">
        <v>198</v>
      </c>
      <c r="BO44" s="99" t="s">
        <v>198</v>
      </c>
      <c r="BP44" s="99" t="s">
        <v>198</v>
      </c>
      <c r="BQ44" s="99" t="s">
        <v>198</v>
      </c>
      <c r="BR44" s="99" t="s">
        <v>198</v>
      </c>
      <c r="BS44" s="99" t="s">
        <v>198</v>
      </c>
      <c r="BT44" s="99"/>
      <c r="BU44" s="99" t="s">
        <v>202</v>
      </c>
      <c r="BV44" s="99" t="s">
        <v>202</v>
      </c>
      <c r="BW44" s="99" t="s">
        <v>202</v>
      </c>
      <c r="BX44" s="99" t="s">
        <v>202</v>
      </c>
      <c r="BY44" s="99" t="s">
        <v>202</v>
      </c>
      <c r="BZ44" s="99" t="s">
        <v>202</v>
      </c>
      <c r="CA44" s="99" t="s">
        <v>202</v>
      </c>
      <c r="CB44" s="99"/>
      <c r="CC44" s="99" t="s">
        <v>205</v>
      </c>
      <c r="CD44" s="99"/>
      <c r="CE44" s="99" t="s">
        <v>194</v>
      </c>
      <c r="CF44" s="99"/>
      <c r="CG44" s="99"/>
      <c r="CH44" s="99"/>
      <c r="CI44" s="99" t="s">
        <v>199</v>
      </c>
      <c r="CJ44" s="99" t="s">
        <v>198</v>
      </c>
      <c r="CK44" s="99" t="s">
        <v>198</v>
      </c>
      <c r="CL44" s="99" t="s">
        <v>198</v>
      </c>
      <c r="CM44" s="99" t="s">
        <v>198</v>
      </c>
      <c r="CN44" s="99" t="s">
        <v>198</v>
      </c>
      <c r="CO44" s="99" t="s">
        <v>198</v>
      </c>
      <c r="CP44" s="99" t="s">
        <v>198</v>
      </c>
      <c r="CQ44" s="99" t="s">
        <v>198</v>
      </c>
      <c r="CR44" s="99" t="s">
        <v>198</v>
      </c>
      <c r="CS44" s="99" t="s">
        <v>198</v>
      </c>
      <c r="CT44" s="99" t="s">
        <v>198</v>
      </c>
      <c r="CU44" s="99" t="s">
        <v>198</v>
      </c>
      <c r="CV44" s="99" t="s">
        <v>198</v>
      </c>
      <c r="CW44" s="99" t="s">
        <v>198</v>
      </c>
      <c r="CX44" s="99" t="s">
        <v>198</v>
      </c>
      <c r="CY44" s="99" t="s">
        <v>198</v>
      </c>
      <c r="CZ44" s="99" t="s">
        <v>198</v>
      </c>
      <c r="DA44" s="99" t="s">
        <v>198</v>
      </c>
      <c r="DB44" s="99" t="s">
        <v>198</v>
      </c>
      <c r="DC44" s="99" t="s">
        <v>198</v>
      </c>
      <c r="DD44" s="99" t="s">
        <v>198</v>
      </c>
      <c r="DE44" s="99" t="s">
        <v>198</v>
      </c>
      <c r="DF44" s="99" t="s">
        <v>198</v>
      </c>
      <c r="DG44" s="99" t="s">
        <v>198</v>
      </c>
      <c r="DH44" s="99" t="s">
        <v>198</v>
      </c>
      <c r="DI44" s="99" t="s">
        <v>198</v>
      </c>
      <c r="DJ44" s="99" t="s">
        <v>198</v>
      </c>
      <c r="DK44" s="99"/>
      <c r="DL44" s="99" t="s">
        <v>199</v>
      </c>
      <c r="DM44" s="99" t="s">
        <v>198</v>
      </c>
      <c r="DN44" s="99" t="s">
        <v>198</v>
      </c>
      <c r="DO44" s="99" t="s">
        <v>198</v>
      </c>
      <c r="DP44" s="99" t="s">
        <v>198</v>
      </c>
      <c r="DQ44" s="99" t="s">
        <v>198</v>
      </c>
      <c r="DR44" s="99" t="s">
        <v>198</v>
      </c>
      <c r="DS44" s="99" t="s">
        <v>198</v>
      </c>
      <c r="DT44" s="99" t="s">
        <v>198</v>
      </c>
      <c r="DU44" s="99" t="s">
        <v>198</v>
      </c>
      <c r="DV44" s="99" t="s">
        <v>198</v>
      </c>
      <c r="DW44" s="99" t="s">
        <v>198</v>
      </c>
      <c r="DX44" s="99" t="s">
        <v>198</v>
      </c>
      <c r="DY44" s="99" t="s">
        <v>198</v>
      </c>
      <c r="DZ44" s="99" t="s">
        <v>198</v>
      </c>
      <c r="EA44" s="99"/>
      <c r="EB44" s="99" t="s">
        <v>199</v>
      </c>
      <c r="EC44" s="99" t="s">
        <v>198</v>
      </c>
      <c r="ED44" s="99" t="s">
        <v>198</v>
      </c>
      <c r="EE44" s="99" t="s">
        <v>198</v>
      </c>
      <c r="EF44" s="99" t="s">
        <v>198</v>
      </c>
      <c r="EG44" s="99" t="s">
        <v>198</v>
      </c>
      <c r="EH44" s="100" t="s">
        <v>198</v>
      </c>
    </row>
    <row r="45" spans="1:138" ht="23.25" customHeight="1" x14ac:dyDescent="0.25">
      <c r="A45" s="101" t="s">
        <v>17</v>
      </c>
      <c r="B45" s="90" t="s">
        <v>193</v>
      </c>
      <c r="C45" s="90" t="s">
        <v>194</v>
      </c>
      <c r="D45" s="90" t="s">
        <v>195</v>
      </c>
      <c r="E45" s="90" t="s">
        <v>195</v>
      </c>
      <c r="F45" s="90" t="s">
        <v>196</v>
      </c>
      <c r="G45" s="90" t="s">
        <v>201</v>
      </c>
      <c r="H45" s="90" t="s">
        <v>204</v>
      </c>
      <c r="I45" s="90" t="s">
        <v>195</v>
      </c>
      <c r="J45" s="90" t="s">
        <v>201</v>
      </c>
      <c r="K45" s="90" t="s">
        <v>30</v>
      </c>
      <c r="L45" s="90" t="s">
        <v>195</v>
      </c>
      <c r="M45" s="90" t="s">
        <v>30</v>
      </c>
      <c r="N45" s="90" t="s">
        <v>195</v>
      </c>
      <c r="O45" s="90" t="s">
        <v>30</v>
      </c>
      <c r="P45" s="90" t="s">
        <v>195</v>
      </c>
      <c r="Q45" s="90" t="s">
        <v>195</v>
      </c>
      <c r="R45" s="90" t="s">
        <v>195</v>
      </c>
      <c r="S45" s="90" t="s">
        <v>196</v>
      </c>
      <c r="T45" s="90"/>
      <c r="U45" s="90" t="s">
        <v>194</v>
      </c>
      <c r="V45" s="90" t="s">
        <v>30</v>
      </c>
      <c r="W45" s="90" t="s">
        <v>196</v>
      </c>
      <c r="X45" s="90" t="s">
        <v>195</v>
      </c>
      <c r="Y45" s="90" t="s">
        <v>30</v>
      </c>
      <c r="Z45" s="90" t="s">
        <v>208</v>
      </c>
      <c r="AA45" s="90" t="s">
        <v>30</v>
      </c>
      <c r="AB45" s="90" t="s">
        <v>30</v>
      </c>
      <c r="AC45" s="90" t="s">
        <v>30</v>
      </c>
      <c r="AD45" s="90" t="s">
        <v>204</v>
      </c>
      <c r="AE45" s="90" t="s">
        <v>198</v>
      </c>
      <c r="AF45" s="90" t="s">
        <v>198</v>
      </c>
      <c r="AG45" s="90" t="s">
        <v>198</v>
      </c>
      <c r="AH45" s="90" t="s">
        <v>198</v>
      </c>
      <c r="AI45" s="90" t="s">
        <v>194</v>
      </c>
      <c r="AJ45" s="90" t="s">
        <v>30</v>
      </c>
      <c r="AK45" s="90" t="s">
        <v>30</v>
      </c>
      <c r="AL45" s="90" t="s">
        <v>195</v>
      </c>
      <c r="AM45" s="90"/>
      <c r="AN45" s="90" t="s">
        <v>194</v>
      </c>
      <c r="AO45" s="90" t="s">
        <v>30</v>
      </c>
      <c r="AP45" s="90" t="s">
        <v>195</v>
      </c>
      <c r="AQ45" s="90" t="s">
        <v>195</v>
      </c>
      <c r="AR45" s="90" t="s">
        <v>195</v>
      </c>
      <c r="AS45" s="90" t="s">
        <v>30</v>
      </c>
      <c r="AT45" s="90" t="s">
        <v>30</v>
      </c>
      <c r="AU45" s="90" t="s">
        <v>30</v>
      </c>
      <c r="AV45" s="90" t="s">
        <v>30</v>
      </c>
      <c r="AW45" s="90" t="s">
        <v>195</v>
      </c>
      <c r="AX45" s="90" t="s">
        <v>30</v>
      </c>
      <c r="AY45" s="90"/>
      <c r="AZ45" s="90" t="s">
        <v>194</v>
      </c>
      <c r="BA45" s="90" t="s">
        <v>199</v>
      </c>
      <c r="BB45" s="90" t="s">
        <v>198</v>
      </c>
      <c r="BC45" s="90" t="s">
        <v>201</v>
      </c>
      <c r="BD45" s="90" t="s">
        <v>201</v>
      </c>
      <c r="BE45" s="90" t="s">
        <v>201</v>
      </c>
      <c r="BF45" s="90" t="s">
        <v>201</v>
      </c>
      <c r="BG45" s="90" t="s">
        <v>201</v>
      </c>
      <c r="BH45" s="90" t="s">
        <v>201</v>
      </c>
      <c r="BI45" s="90" t="s">
        <v>201</v>
      </c>
      <c r="BJ45" s="90" t="s">
        <v>201</v>
      </c>
      <c r="BK45" s="90" t="s">
        <v>195</v>
      </c>
      <c r="BL45" s="90" t="s">
        <v>195</v>
      </c>
      <c r="BM45" s="90" t="s">
        <v>195</v>
      </c>
      <c r="BN45" s="90" t="s">
        <v>195</v>
      </c>
      <c r="BO45" s="90" t="s">
        <v>30</v>
      </c>
      <c r="BP45" s="90" t="s">
        <v>201</v>
      </c>
      <c r="BQ45" s="90" t="s">
        <v>201</v>
      </c>
      <c r="BR45" s="90" t="s">
        <v>201</v>
      </c>
      <c r="BS45" s="90" t="s">
        <v>201</v>
      </c>
      <c r="BT45" s="90"/>
      <c r="BU45" s="90" t="s">
        <v>202</v>
      </c>
      <c r="BV45" s="90" t="s">
        <v>202</v>
      </c>
      <c r="BW45" s="90" t="s">
        <v>202</v>
      </c>
      <c r="BX45" s="90" t="s">
        <v>202</v>
      </c>
      <c r="BY45" s="90" t="s">
        <v>202</v>
      </c>
      <c r="BZ45" s="90" t="s">
        <v>202</v>
      </c>
      <c r="CA45" s="90" t="s">
        <v>202</v>
      </c>
      <c r="CB45" s="90"/>
      <c r="CC45" s="90" t="s">
        <v>206</v>
      </c>
      <c r="CD45" s="90"/>
      <c r="CE45" s="90" t="s">
        <v>194</v>
      </c>
      <c r="CF45" s="90"/>
      <c r="CG45" s="90"/>
      <c r="CH45" s="90"/>
      <c r="CI45" s="90" t="s">
        <v>194</v>
      </c>
      <c r="CJ45" s="90" t="s">
        <v>30</v>
      </c>
      <c r="CK45" s="90" t="s">
        <v>195</v>
      </c>
      <c r="CL45" s="90" t="s">
        <v>30</v>
      </c>
      <c r="CM45" s="90" t="s">
        <v>30</v>
      </c>
      <c r="CN45" s="90" t="s">
        <v>30</v>
      </c>
      <c r="CO45" s="90" t="s">
        <v>30</v>
      </c>
      <c r="CP45" s="90" t="s">
        <v>195</v>
      </c>
      <c r="CQ45" s="90" t="s">
        <v>195</v>
      </c>
      <c r="CR45" s="90" t="s">
        <v>195</v>
      </c>
      <c r="CS45" s="90" t="s">
        <v>195</v>
      </c>
      <c r="CT45" s="90" t="s">
        <v>195</v>
      </c>
      <c r="CU45" s="90" t="s">
        <v>195</v>
      </c>
      <c r="CV45" s="90" t="s">
        <v>195</v>
      </c>
      <c r="CW45" s="90" t="s">
        <v>195</v>
      </c>
      <c r="CX45" s="90" t="s">
        <v>195</v>
      </c>
      <c r="CY45" s="90" t="s">
        <v>195</v>
      </c>
      <c r="CZ45" s="90" t="s">
        <v>196</v>
      </c>
      <c r="DA45" s="90" t="s">
        <v>195</v>
      </c>
      <c r="DB45" s="90" t="s">
        <v>30</v>
      </c>
      <c r="DC45" s="90" t="s">
        <v>30</v>
      </c>
      <c r="DD45" s="90" t="s">
        <v>30</v>
      </c>
      <c r="DE45" s="90" t="s">
        <v>30</v>
      </c>
      <c r="DF45" s="90" t="s">
        <v>30</v>
      </c>
      <c r="DG45" s="90" t="s">
        <v>195</v>
      </c>
      <c r="DH45" s="90" t="s">
        <v>195</v>
      </c>
      <c r="DI45" s="90" t="s">
        <v>30</v>
      </c>
      <c r="DJ45" s="90" t="s">
        <v>195</v>
      </c>
      <c r="DK45" s="90"/>
      <c r="DL45" s="90" t="s">
        <v>199</v>
      </c>
      <c r="DM45" s="90" t="s">
        <v>198</v>
      </c>
      <c r="DN45" s="90" t="s">
        <v>198</v>
      </c>
      <c r="DO45" s="90" t="s">
        <v>198</v>
      </c>
      <c r="DP45" s="90" t="s">
        <v>198</v>
      </c>
      <c r="DQ45" s="90" t="s">
        <v>198</v>
      </c>
      <c r="DR45" s="90" t="s">
        <v>198</v>
      </c>
      <c r="DS45" s="90" t="s">
        <v>198</v>
      </c>
      <c r="DT45" s="90" t="s">
        <v>198</v>
      </c>
      <c r="DU45" s="90" t="s">
        <v>198</v>
      </c>
      <c r="DV45" s="90" t="s">
        <v>198</v>
      </c>
      <c r="DW45" s="90" t="s">
        <v>198</v>
      </c>
      <c r="DX45" s="90" t="s">
        <v>198</v>
      </c>
      <c r="DY45" s="90" t="s">
        <v>198</v>
      </c>
      <c r="DZ45" s="90" t="s">
        <v>198</v>
      </c>
      <c r="EA45" s="90"/>
      <c r="EB45" s="90" t="s">
        <v>199</v>
      </c>
      <c r="EC45" s="90" t="s">
        <v>198</v>
      </c>
      <c r="ED45" s="90" t="s">
        <v>198</v>
      </c>
      <c r="EE45" s="90" t="s">
        <v>198</v>
      </c>
      <c r="EF45" s="90" t="s">
        <v>198</v>
      </c>
      <c r="EG45" s="90" t="s">
        <v>198</v>
      </c>
      <c r="EH45" s="102" t="s">
        <v>198</v>
      </c>
    </row>
    <row r="46" spans="1:138" ht="23.25" customHeight="1" x14ac:dyDescent="0.25">
      <c r="A46" s="101" t="s">
        <v>17</v>
      </c>
      <c r="B46" s="90" t="s">
        <v>193</v>
      </c>
      <c r="C46" s="90" t="s">
        <v>194</v>
      </c>
      <c r="D46" s="90" t="s">
        <v>196</v>
      </c>
      <c r="E46" s="90" t="s">
        <v>196</v>
      </c>
      <c r="F46" s="90" t="s">
        <v>196</v>
      </c>
      <c r="G46" s="90" t="s">
        <v>196</v>
      </c>
      <c r="H46" s="90" t="s">
        <v>196</v>
      </c>
      <c r="I46" s="90" t="s">
        <v>195</v>
      </c>
      <c r="J46" s="90" t="s">
        <v>196</v>
      </c>
      <c r="K46" s="90" t="s">
        <v>196</v>
      </c>
      <c r="L46" s="90" t="s">
        <v>196</v>
      </c>
      <c r="M46" s="90" t="s">
        <v>195</v>
      </c>
      <c r="N46" s="90" t="s">
        <v>195</v>
      </c>
      <c r="O46" s="90" t="s">
        <v>195</v>
      </c>
      <c r="P46" s="90" t="s">
        <v>196</v>
      </c>
      <c r="Q46" s="90" t="s">
        <v>196</v>
      </c>
      <c r="R46" s="90" t="s">
        <v>195</v>
      </c>
      <c r="S46" s="90" t="s">
        <v>195</v>
      </c>
      <c r="T46" s="90"/>
      <c r="U46" s="90" t="s">
        <v>194</v>
      </c>
      <c r="V46" s="90" t="s">
        <v>195</v>
      </c>
      <c r="W46" s="90" t="s">
        <v>195</v>
      </c>
      <c r="X46" s="90" t="s">
        <v>195</v>
      </c>
      <c r="Y46" s="90" t="s">
        <v>196</v>
      </c>
      <c r="Z46" s="90" t="s">
        <v>208</v>
      </c>
      <c r="AA46" s="90" t="s">
        <v>196</v>
      </c>
      <c r="AB46" s="90" t="s">
        <v>201</v>
      </c>
      <c r="AC46" s="90" t="s">
        <v>201</v>
      </c>
      <c r="AD46" s="90" t="s">
        <v>201</v>
      </c>
      <c r="AE46" s="90" t="s">
        <v>198</v>
      </c>
      <c r="AF46" s="90" t="s">
        <v>198</v>
      </c>
      <c r="AG46" s="90" t="s">
        <v>198</v>
      </c>
      <c r="AH46" s="90" t="s">
        <v>198</v>
      </c>
      <c r="AI46" s="90" t="s">
        <v>194</v>
      </c>
      <c r="AJ46" s="90" t="s">
        <v>196</v>
      </c>
      <c r="AK46" s="90" t="s">
        <v>195</v>
      </c>
      <c r="AL46" s="90" t="s">
        <v>195</v>
      </c>
      <c r="AM46" s="90"/>
      <c r="AN46" s="90" t="s">
        <v>194</v>
      </c>
      <c r="AO46" s="90" t="s">
        <v>196</v>
      </c>
      <c r="AP46" s="90" t="s">
        <v>196</v>
      </c>
      <c r="AQ46" s="90" t="s">
        <v>195</v>
      </c>
      <c r="AR46" s="90" t="s">
        <v>196</v>
      </c>
      <c r="AS46" s="90" t="s">
        <v>196</v>
      </c>
      <c r="AT46" s="90" t="s">
        <v>195</v>
      </c>
      <c r="AU46" s="90" t="s">
        <v>195</v>
      </c>
      <c r="AV46" s="90" t="s">
        <v>195</v>
      </c>
      <c r="AW46" s="90" t="s">
        <v>195</v>
      </c>
      <c r="AX46" s="90" t="s">
        <v>195</v>
      </c>
      <c r="AY46" s="90"/>
      <c r="AZ46" s="90" t="s">
        <v>194</v>
      </c>
      <c r="BA46" s="90" t="s">
        <v>194</v>
      </c>
      <c r="BB46" s="90" t="s">
        <v>195</v>
      </c>
      <c r="BC46" s="90" t="s">
        <v>195</v>
      </c>
      <c r="BD46" s="90" t="s">
        <v>195</v>
      </c>
      <c r="BE46" s="90" t="s">
        <v>196</v>
      </c>
      <c r="BF46" s="90" t="s">
        <v>195</v>
      </c>
      <c r="BG46" s="90" t="s">
        <v>196</v>
      </c>
      <c r="BH46" s="90" t="s">
        <v>196</v>
      </c>
      <c r="BI46" s="90" t="s">
        <v>195</v>
      </c>
      <c r="BJ46" s="90" t="s">
        <v>195</v>
      </c>
      <c r="BK46" s="90" t="s">
        <v>195</v>
      </c>
      <c r="BL46" s="90" t="s">
        <v>196</v>
      </c>
      <c r="BM46" s="90" t="s">
        <v>195</v>
      </c>
      <c r="BN46" s="90" t="s">
        <v>196</v>
      </c>
      <c r="BO46" s="90" t="s">
        <v>195</v>
      </c>
      <c r="BP46" s="90" t="s">
        <v>196</v>
      </c>
      <c r="BQ46" s="90" t="s">
        <v>196</v>
      </c>
      <c r="BR46" s="90" t="s">
        <v>196</v>
      </c>
      <c r="BS46" s="90" t="s">
        <v>196</v>
      </c>
      <c r="BT46" s="90"/>
      <c r="BU46" s="90" t="s">
        <v>202</v>
      </c>
      <c r="BV46" s="90" t="s">
        <v>202</v>
      </c>
      <c r="BW46" s="90" t="s">
        <v>202</v>
      </c>
      <c r="BX46" s="90" t="s">
        <v>202</v>
      </c>
      <c r="BY46" s="90" t="s">
        <v>202</v>
      </c>
      <c r="BZ46" s="90" t="s">
        <v>202</v>
      </c>
      <c r="CA46" s="90" t="s">
        <v>202</v>
      </c>
      <c r="CB46" s="90"/>
      <c r="CC46" s="90" t="s">
        <v>203</v>
      </c>
      <c r="CD46" s="90"/>
      <c r="CE46" s="90" t="s">
        <v>194</v>
      </c>
      <c r="CF46" s="90"/>
      <c r="CG46" s="90"/>
      <c r="CH46" s="90"/>
      <c r="CI46" s="90" t="s">
        <v>194</v>
      </c>
      <c r="CJ46" s="90" t="s">
        <v>196</v>
      </c>
      <c r="CK46" s="90" t="s">
        <v>195</v>
      </c>
      <c r="CL46" s="90" t="s">
        <v>195</v>
      </c>
      <c r="CM46" s="90" t="s">
        <v>195</v>
      </c>
      <c r="CN46" s="90" t="s">
        <v>195</v>
      </c>
      <c r="CO46" s="90" t="s">
        <v>195</v>
      </c>
      <c r="CP46" s="90" t="s">
        <v>196</v>
      </c>
      <c r="CQ46" s="90" t="s">
        <v>201</v>
      </c>
      <c r="CR46" s="90" t="s">
        <v>196</v>
      </c>
      <c r="CS46" s="90" t="s">
        <v>196</v>
      </c>
      <c r="CT46" s="90" t="s">
        <v>195</v>
      </c>
      <c r="CU46" s="90" t="s">
        <v>195</v>
      </c>
      <c r="CV46" s="90" t="s">
        <v>201</v>
      </c>
      <c r="CW46" s="90" t="s">
        <v>195</v>
      </c>
      <c r="CX46" s="90" t="s">
        <v>195</v>
      </c>
      <c r="CY46" s="90" t="s">
        <v>195</v>
      </c>
      <c r="CZ46" s="90" t="s">
        <v>195</v>
      </c>
      <c r="DA46" s="90" t="s">
        <v>195</v>
      </c>
      <c r="DB46" s="90" t="s">
        <v>195</v>
      </c>
      <c r="DC46" s="90" t="s">
        <v>195</v>
      </c>
      <c r="DD46" s="90" t="s">
        <v>195</v>
      </c>
      <c r="DE46" s="90" t="s">
        <v>196</v>
      </c>
      <c r="DF46" s="90" t="s">
        <v>196</v>
      </c>
      <c r="DG46" s="90" t="s">
        <v>196</v>
      </c>
      <c r="DH46" s="90" t="s">
        <v>195</v>
      </c>
      <c r="DI46" s="90" t="s">
        <v>195</v>
      </c>
      <c r="DJ46" s="90" t="s">
        <v>201</v>
      </c>
      <c r="DK46" s="90"/>
      <c r="DL46" s="90" t="s">
        <v>199</v>
      </c>
      <c r="DM46" s="90" t="s">
        <v>198</v>
      </c>
      <c r="DN46" s="90" t="s">
        <v>198</v>
      </c>
      <c r="DO46" s="90" t="s">
        <v>198</v>
      </c>
      <c r="DP46" s="90" t="s">
        <v>198</v>
      </c>
      <c r="DQ46" s="90" t="s">
        <v>198</v>
      </c>
      <c r="DR46" s="90" t="s">
        <v>198</v>
      </c>
      <c r="DS46" s="90" t="s">
        <v>198</v>
      </c>
      <c r="DT46" s="90" t="s">
        <v>198</v>
      </c>
      <c r="DU46" s="90" t="s">
        <v>198</v>
      </c>
      <c r="DV46" s="90" t="s">
        <v>198</v>
      </c>
      <c r="DW46" s="90" t="s">
        <v>198</v>
      </c>
      <c r="DX46" s="90" t="s">
        <v>198</v>
      </c>
      <c r="DY46" s="90" t="s">
        <v>198</v>
      </c>
      <c r="DZ46" s="90" t="s">
        <v>198</v>
      </c>
      <c r="EA46" s="90"/>
      <c r="EB46" s="90" t="s">
        <v>199</v>
      </c>
      <c r="EC46" s="90" t="s">
        <v>198</v>
      </c>
      <c r="ED46" s="90" t="s">
        <v>198</v>
      </c>
      <c r="EE46" s="90" t="s">
        <v>198</v>
      </c>
      <c r="EF46" s="90" t="s">
        <v>198</v>
      </c>
      <c r="EG46" s="90" t="s">
        <v>198</v>
      </c>
      <c r="EH46" s="102" t="s">
        <v>198</v>
      </c>
    </row>
    <row r="47" spans="1:138" ht="23.25" customHeight="1" x14ac:dyDescent="0.25">
      <c r="A47" s="98" t="s">
        <v>17</v>
      </c>
      <c r="B47" s="99" t="s">
        <v>193</v>
      </c>
      <c r="C47" s="99" t="s">
        <v>194</v>
      </c>
      <c r="D47" s="99" t="s">
        <v>30</v>
      </c>
      <c r="E47" s="99" t="s">
        <v>195</v>
      </c>
      <c r="F47" s="99" t="s">
        <v>195</v>
      </c>
      <c r="G47" s="99" t="s">
        <v>195</v>
      </c>
      <c r="H47" s="99" t="s">
        <v>195</v>
      </c>
      <c r="I47" s="99" t="s">
        <v>195</v>
      </c>
      <c r="J47" s="99" t="s">
        <v>195</v>
      </c>
      <c r="K47" s="99" t="s">
        <v>195</v>
      </c>
      <c r="L47" s="99" t="s">
        <v>195</v>
      </c>
      <c r="M47" s="99" t="s">
        <v>30</v>
      </c>
      <c r="N47" s="99" t="s">
        <v>195</v>
      </c>
      <c r="O47" s="99" t="s">
        <v>195</v>
      </c>
      <c r="P47" s="99" t="s">
        <v>195</v>
      </c>
      <c r="Q47" s="99" t="s">
        <v>195</v>
      </c>
      <c r="R47" s="99" t="s">
        <v>195</v>
      </c>
      <c r="S47" s="99" t="s">
        <v>195</v>
      </c>
      <c r="T47" s="99"/>
      <c r="U47" s="99" t="s">
        <v>194</v>
      </c>
      <c r="V47" s="99" t="s">
        <v>204</v>
      </c>
      <c r="W47" s="99" t="s">
        <v>30</v>
      </c>
      <c r="X47" s="99" t="s">
        <v>30</v>
      </c>
      <c r="Y47" s="99" t="s">
        <v>30</v>
      </c>
      <c r="Z47" s="99" t="s">
        <v>208</v>
      </c>
      <c r="AA47" s="99" t="s">
        <v>204</v>
      </c>
      <c r="AB47" s="99" t="s">
        <v>204</v>
      </c>
      <c r="AC47" s="99" t="s">
        <v>204</v>
      </c>
      <c r="AD47" s="99" t="s">
        <v>204</v>
      </c>
      <c r="AE47" s="99" t="s">
        <v>198</v>
      </c>
      <c r="AF47" s="99" t="s">
        <v>198</v>
      </c>
      <c r="AG47" s="99" t="s">
        <v>198</v>
      </c>
      <c r="AH47" s="99" t="s">
        <v>198</v>
      </c>
      <c r="AI47" s="99" t="s">
        <v>194</v>
      </c>
      <c r="AJ47" s="99" t="s">
        <v>195</v>
      </c>
      <c r="AK47" s="99" t="s">
        <v>195</v>
      </c>
      <c r="AL47" s="99" t="s">
        <v>30</v>
      </c>
      <c r="AM47" s="99"/>
      <c r="AN47" s="99" t="s">
        <v>194</v>
      </c>
      <c r="AO47" s="99" t="s">
        <v>195</v>
      </c>
      <c r="AP47" s="99" t="s">
        <v>195</v>
      </c>
      <c r="AQ47" s="99" t="s">
        <v>195</v>
      </c>
      <c r="AR47" s="99" t="s">
        <v>30</v>
      </c>
      <c r="AS47" s="99" t="s">
        <v>204</v>
      </c>
      <c r="AT47" s="99" t="s">
        <v>30</v>
      </c>
      <c r="AU47" s="99" t="s">
        <v>195</v>
      </c>
      <c r="AV47" s="99" t="s">
        <v>195</v>
      </c>
      <c r="AW47" s="99" t="s">
        <v>195</v>
      </c>
      <c r="AX47" s="99" t="s">
        <v>195</v>
      </c>
      <c r="AY47" s="99"/>
      <c r="AZ47" s="99" t="s">
        <v>194</v>
      </c>
      <c r="BA47" s="99" t="s">
        <v>194</v>
      </c>
      <c r="BB47" s="99" t="s">
        <v>195</v>
      </c>
      <c r="BC47" s="99" t="s">
        <v>195</v>
      </c>
      <c r="BD47" s="99" t="s">
        <v>195</v>
      </c>
      <c r="BE47" s="99" t="s">
        <v>195</v>
      </c>
      <c r="BF47" s="99" t="s">
        <v>195</v>
      </c>
      <c r="BG47" s="99" t="s">
        <v>195</v>
      </c>
      <c r="BH47" s="99" t="s">
        <v>195</v>
      </c>
      <c r="BI47" s="99" t="s">
        <v>195</v>
      </c>
      <c r="BJ47" s="99" t="s">
        <v>30</v>
      </c>
      <c r="BK47" s="99" t="s">
        <v>195</v>
      </c>
      <c r="BL47" s="99" t="s">
        <v>196</v>
      </c>
      <c r="BM47" s="99" t="s">
        <v>196</v>
      </c>
      <c r="BN47" s="99" t="s">
        <v>195</v>
      </c>
      <c r="BO47" s="99" t="s">
        <v>195</v>
      </c>
      <c r="BP47" s="99" t="s">
        <v>195</v>
      </c>
      <c r="BQ47" s="99" t="s">
        <v>30</v>
      </c>
      <c r="BR47" s="99" t="s">
        <v>195</v>
      </c>
      <c r="BS47" s="99" t="s">
        <v>30</v>
      </c>
      <c r="BT47" s="99"/>
      <c r="BU47" s="99" t="s">
        <v>202</v>
      </c>
      <c r="BV47" s="99" t="s">
        <v>202</v>
      </c>
      <c r="BW47" s="99" t="s">
        <v>202</v>
      </c>
      <c r="BX47" s="99" t="s">
        <v>202</v>
      </c>
      <c r="BY47" s="99" t="s">
        <v>202</v>
      </c>
      <c r="BZ47" s="99" t="s">
        <v>202</v>
      </c>
      <c r="CA47" s="99" t="s">
        <v>202</v>
      </c>
      <c r="CB47" s="99"/>
      <c r="CC47" s="99" t="s">
        <v>206</v>
      </c>
      <c r="CD47" s="99"/>
      <c r="CE47" s="99" t="s">
        <v>194</v>
      </c>
      <c r="CF47" s="99"/>
      <c r="CG47" s="99"/>
      <c r="CH47" s="99"/>
      <c r="CI47" s="99" t="s">
        <v>199</v>
      </c>
      <c r="CJ47" s="99" t="s">
        <v>198</v>
      </c>
      <c r="CK47" s="99" t="s">
        <v>198</v>
      </c>
      <c r="CL47" s="99" t="s">
        <v>198</v>
      </c>
      <c r="CM47" s="99" t="s">
        <v>198</v>
      </c>
      <c r="CN47" s="99" t="s">
        <v>198</v>
      </c>
      <c r="CO47" s="99" t="s">
        <v>198</v>
      </c>
      <c r="CP47" s="99" t="s">
        <v>198</v>
      </c>
      <c r="CQ47" s="99" t="s">
        <v>198</v>
      </c>
      <c r="CR47" s="99" t="s">
        <v>198</v>
      </c>
      <c r="CS47" s="99" t="s">
        <v>198</v>
      </c>
      <c r="CT47" s="99" t="s">
        <v>198</v>
      </c>
      <c r="CU47" s="99" t="s">
        <v>198</v>
      </c>
      <c r="CV47" s="99" t="s">
        <v>198</v>
      </c>
      <c r="CW47" s="99" t="s">
        <v>198</v>
      </c>
      <c r="CX47" s="99" t="s">
        <v>198</v>
      </c>
      <c r="CY47" s="99" t="s">
        <v>198</v>
      </c>
      <c r="CZ47" s="99" t="s">
        <v>198</v>
      </c>
      <c r="DA47" s="99" t="s">
        <v>198</v>
      </c>
      <c r="DB47" s="99" t="s">
        <v>198</v>
      </c>
      <c r="DC47" s="99" t="s">
        <v>198</v>
      </c>
      <c r="DD47" s="99" t="s">
        <v>198</v>
      </c>
      <c r="DE47" s="99" t="s">
        <v>198</v>
      </c>
      <c r="DF47" s="99" t="s">
        <v>198</v>
      </c>
      <c r="DG47" s="99" t="s">
        <v>198</v>
      </c>
      <c r="DH47" s="99" t="s">
        <v>198</v>
      </c>
      <c r="DI47" s="99" t="s">
        <v>198</v>
      </c>
      <c r="DJ47" s="99" t="s">
        <v>198</v>
      </c>
      <c r="DK47" s="99"/>
      <c r="DL47" s="99" t="s">
        <v>199</v>
      </c>
      <c r="DM47" s="99" t="s">
        <v>198</v>
      </c>
      <c r="DN47" s="99" t="s">
        <v>198</v>
      </c>
      <c r="DO47" s="99" t="s">
        <v>198</v>
      </c>
      <c r="DP47" s="99" t="s">
        <v>198</v>
      </c>
      <c r="DQ47" s="99" t="s">
        <v>198</v>
      </c>
      <c r="DR47" s="99" t="s">
        <v>198</v>
      </c>
      <c r="DS47" s="99" t="s">
        <v>198</v>
      </c>
      <c r="DT47" s="99" t="s">
        <v>198</v>
      </c>
      <c r="DU47" s="99" t="s">
        <v>198</v>
      </c>
      <c r="DV47" s="99" t="s">
        <v>198</v>
      </c>
      <c r="DW47" s="99" t="s">
        <v>198</v>
      </c>
      <c r="DX47" s="99" t="s">
        <v>198</v>
      </c>
      <c r="DY47" s="99" t="s">
        <v>198</v>
      </c>
      <c r="DZ47" s="99" t="s">
        <v>198</v>
      </c>
      <c r="EA47" s="99"/>
      <c r="EB47" s="99" t="s">
        <v>194</v>
      </c>
      <c r="EC47" s="99" t="s">
        <v>201</v>
      </c>
      <c r="ED47" s="99" t="s">
        <v>201</v>
      </c>
      <c r="EE47" s="99" t="s">
        <v>201</v>
      </c>
      <c r="EF47" s="99" t="s">
        <v>201</v>
      </c>
      <c r="EG47" s="99" t="s">
        <v>204</v>
      </c>
      <c r="EH47" s="100" t="s">
        <v>204</v>
      </c>
    </row>
    <row r="48" spans="1:138" ht="23.25" customHeight="1" x14ac:dyDescent="0.25">
      <c r="A48" s="101" t="s">
        <v>17</v>
      </c>
      <c r="B48" s="90" t="s">
        <v>193</v>
      </c>
      <c r="C48" s="90" t="s">
        <v>194</v>
      </c>
      <c r="D48" s="90" t="s">
        <v>196</v>
      </c>
      <c r="E48" s="90" t="s">
        <v>196</v>
      </c>
      <c r="F48" s="90" t="s">
        <v>196</v>
      </c>
      <c r="G48" s="90" t="s">
        <v>196</v>
      </c>
      <c r="H48" s="90" t="s">
        <v>196</v>
      </c>
      <c r="I48" s="90" t="s">
        <v>196</v>
      </c>
      <c r="J48" s="90" t="s">
        <v>196</v>
      </c>
      <c r="K48" s="90" t="s">
        <v>196</v>
      </c>
      <c r="L48" s="90" t="s">
        <v>196</v>
      </c>
      <c r="M48" s="90" t="s">
        <v>196</v>
      </c>
      <c r="N48" s="90" t="s">
        <v>196</v>
      </c>
      <c r="O48" s="90" t="s">
        <v>196</v>
      </c>
      <c r="P48" s="90" t="s">
        <v>196</v>
      </c>
      <c r="Q48" s="90" t="s">
        <v>196</v>
      </c>
      <c r="R48" s="90" t="s">
        <v>196</v>
      </c>
      <c r="S48" s="90" t="s">
        <v>196</v>
      </c>
      <c r="T48" s="90"/>
      <c r="U48" s="90" t="s">
        <v>194</v>
      </c>
      <c r="V48" s="90" t="s">
        <v>196</v>
      </c>
      <c r="W48" s="90" t="s">
        <v>196</v>
      </c>
      <c r="X48" s="90" t="s">
        <v>196</v>
      </c>
      <c r="Y48" s="90" t="s">
        <v>196</v>
      </c>
      <c r="Z48" s="90" t="s">
        <v>208</v>
      </c>
      <c r="AA48" s="90" t="s">
        <v>196</v>
      </c>
      <c r="AB48" s="90" t="s">
        <v>196</v>
      </c>
      <c r="AC48" s="90" t="s">
        <v>196</v>
      </c>
      <c r="AD48" s="90" t="s">
        <v>196</v>
      </c>
      <c r="AE48" s="90" t="s">
        <v>198</v>
      </c>
      <c r="AF48" s="90" t="s">
        <v>198</v>
      </c>
      <c r="AG48" s="90" t="s">
        <v>198</v>
      </c>
      <c r="AH48" s="90" t="s">
        <v>198</v>
      </c>
      <c r="AI48" s="90" t="s">
        <v>194</v>
      </c>
      <c r="AJ48" s="90" t="s">
        <v>196</v>
      </c>
      <c r="AK48" s="90" t="s">
        <v>196</v>
      </c>
      <c r="AL48" s="90" t="s">
        <v>196</v>
      </c>
      <c r="AM48" s="90"/>
      <c r="AN48" s="90" t="s">
        <v>199</v>
      </c>
      <c r="AO48" s="90" t="s">
        <v>198</v>
      </c>
      <c r="AP48" s="90" t="s">
        <v>198</v>
      </c>
      <c r="AQ48" s="90" t="s">
        <v>198</v>
      </c>
      <c r="AR48" s="90" t="s">
        <v>198</v>
      </c>
      <c r="AS48" s="90" t="s">
        <v>198</v>
      </c>
      <c r="AT48" s="90" t="s">
        <v>198</v>
      </c>
      <c r="AU48" s="90" t="s">
        <v>198</v>
      </c>
      <c r="AV48" s="90" t="s">
        <v>198</v>
      </c>
      <c r="AW48" s="90" t="s">
        <v>198</v>
      </c>
      <c r="AX48" s="90" t="s">
        <v>198</v>
      </c>
      <c r="AY48" s="90"/>
      <c r="AZ48" s="90" t="s">
        <v>199</v>
      </c>
      <c r="BA48" s="90" t="s">
        <v>199</v>
      </c>
      <c r="BB48" s="90" t="s">
        <v>198</v>
      </c>
      <c r="BC48" s="90" t="s">
        <v>198</v>
      </c>
      <c r="BD48" s="90" t="s">
        <v>198</v>
      </c>
      <c r="BE48" s="90" t="s">
        <v>198</v>
      </c>
      <c r="BF48" s="90" t="s">
        <v>198</v>
      </c>
      <c r="BG48" s="90" t="s">
        <v>198</v>
      </c>
      <c r="BH48" s="90" t="s">
        <v>198</v>
      </c>
      <c r="BI48" s="90" t="s">
        <v>198</v>
      </c>
      <c r="BJ48" s="90" t="s">
        <v>198</v>
      </c>
      <c r="BK48" s="90" t="s">
        <v>198</v>
      </c>
      <c r="BL48" s="90" t="s">
        <v>198</v>
      </c>
      <c r="BM48" s="90" t="s">
        <v>198</v>
      </c>
      <c r="BN48" s="90" t="s">
        <v>198</v>
      </c>
      <c r="BO48" s="90" t="s">
        <v>198</v>
      </c>
      <c r="BP48" s="90" t="s">
        <v>198</v>
      </c>
      <c r="BQ48" s="90" t="s">
        <v>198</v>
      </c>
      <c r="BR48" s="90" t="s">
        <v>198</v>
      </c>
      <c r="BS48" s="90" t="s">
        <v>198</v>
      </c>
      <c r="BT48" s="90"/>
      <c r="BU48" s="90" t="s">
        <v>196</v>
      </c>
      <c r="BV48" s="90" t="s">
        <v>196</v>
      </c>
      <c r="BW48" s="90" t="s">
        <v>196</v>
      </c>
      <c r="BX48" s="90" t="s">
        <v>196</v>
      </c>
      <c r="BY48" s="90" t="s">
        <v>196</v>
      </c>
      <c r="BZ48" s="90" t="s">
        <v>196</v>
      </c>
      <c r="CA48" s="90" t="s">
        <v>196</v>
      </c>
      <c r="CB48" s="90"/>
      <c r="CC48" s="90" t="s">
        <v>205</v>
      </c>
      <c r="CD48" s="90"/>
      <c r="CE48" s="90" t="s">
        <v>194</v>
      </c>
      <c r="CF48" s="90"/>
      <c r="CG48" s="90"/>
      <c r="CH48" s="90"/>
      <c r="CI48" s="90" t="s">
        <v>194</v>
      </c>
      <c r="CJ48" s="90" t="s">
        <v>196</v>
      </c>
      <c r="CK48" s="90" t="s">
        <v>196</v>
      </c>
      <c r="CL48" s="90" t="s">
        <v>196</v>
      </c>
      <c r="CM48" s="90" t="s">
        <v>196</v>
      </c>
      <c r="CN48" s="90" t="s">
        <v>196</v>
      </c>
      <c r="CO48" s="90" t="s">
        <v>196</v>
      </c>
      <c r="CP48" s="90" t="s">
        <v>196</v>
      </c>
      <c r="CQ48" s="90" t="s">
        <v>196</v>
      </c>
      <c r="CR48" s="90" t="s">
        <v>196</v>
      </c>
      <c r="CS48" s="90" t="s">
        <v>196</v>
      </c>
      <c r="CT48" s="90" t="s">
        <v>196</v>
      </c>
      <c r="CU48" s="90" t="s">
        <v>196</v>
      </c>
      <c r="CV48" s="90" t="s">
        <v>196</v>
      </c>
      <c r="CW48" s="90" t="s">
        <v>196</v>
      </c>
      <c r="CX48" s="90" t="s">
        <v>196</v>
      </c>
      <c r="CY48" s="90" t="s">
        <v>196</v>
      </c>
      <c r="CZ48" s="90" t="s">
        <v>196</v>
      </c>
      <c r="DA48" s="90" t="s">
        <v>196</v>
      </c>
      <c r="DB48" s="90" t="s">
        <v>196</v>
      </c>
      <c r="DC48" s="90" t="s">
        <v>196</v>
      </c>
      <c r="DD48" s="90" t="s">
        <v>196</v>
      </c>
      <c r="DE48" s="90" t="s">
        <v>196</v>
      </c>
      <c r="DF48" s="90" t="s">
        <v>196</v>
      </c>
      <c r="DG48" s="90" t="s">
        <v>196</v>
      </c>
      <c r="DH48" s="90" t="s">
        <v>196</v>
      </c>
      <c r="DI48" s="90" t="s">
        <v>196</v>
      </c>
      <c r="DJ48" s="90" t="s">
        <v>196</v>
      </c>
      <c r="DK48" s="90"/>
      <c r="DL48" s="90" t="s">
        <v>194</v>
      </c>
      <c r="DM48" s="90" t="s">
        <v>196</v>
      </c>
      <c r="DN48" s="90" t="s">
        <v>196</v>
      </c>
      <c r="DO48" s="90" t="s">
        <v>196</v>
      </c>
      <c r="DP48" s="90" t="s">
        <v>196</v>
      </c>
      <c r="DQ48" s="90" t="s">
        <v>196</v>
      </c>
      <c r="DR48" s="90" t="s">
        <v>196</v>
      </c>
      <c r="DS48" s="90" t="s">
        <v>196</v>
      </c>
      <c r="DT48" s="90" t="s">
        <v>196</v>
      </c>
      <c r="DU48" s="90" t="s">
        <v>196</v>
      </c>
      <c r="DV48" s="90" t="s">
        <v>196</v>
      </c>
      <c r="DW48" s="90" t="s">
        <v>196</v>
      </c>
      <c r="DX48" s="90" t="s">
        <v>196</v>
      </c>
      <c r="DY48" s="90" t="s">
        <v>196</v>
      </c>
      <c r="DZ48" s="90" t="s">
        <v>196</v>
      </c>
      <c r="EA48" s="90"/>
      <c r="EB48" s="90" t="s">
        <v>194</v>
      </c>
      <c r="EC48" s="90" t="s">
        <v>204</v>
      </c>
      <c r="ED48" s="90" t="s">
        <v>204</v>
      </c>
      <c r="EE48" s="90" t="s">
        <v>204</v>
      </c>
      <c r="EF48" s="90" t="s">
        <v>204</v>
      </c>
      <c r="EG48" s="90" t="s">
        <v>204</v>
      </c>
      <c r="EH48" s="102" t="s">
        <v>204</v>
      </c>
    </row>
    <row r="49" spans="1:138" ht="23.25" customHeight="1" x14ac:dyDescent="0.25">
      <c r="A49" s="101" t="s">
        <v>17</v>
      </c>
      <c r="B49" s="90" t="s">
        <v>193</v>
      </c>
      <c r="C49" s="90" t="s">
        <v>194</v>
      </c>
      <c r="D49" s="90" t="s">
        <v>204</v>
      </c>
      <c r="E49" s="90" t="s">
        <v>204</v>
      </c>
      <c r="F49" s="90" t="s">
        <v>207</v>
      </c>
      <c r="G49" s="90" t="s">
        <v>207</v>
      </c>
      <c r="H49" s="90" t="s">
        <v>195</v>
      </c>
      <c r="I49" s="90" t="s">
        <v>195</v>
      </c>
      <c r="J49" s="90" t="s">
        <v>30</v>
      </c>
      <c r="K49" s="90" t="s">
        <v>195</v>
      </c>
      <c r="L49" s="90" t="s">
        <v>204</v>
      </c>
      <c r="M49" s="90" t="s">
        <v>201</v>
      </c>
      <c r="N49" s="90" t="s">
        <v>207</v>
      </c>
      <c r="O49" s="90" t="s">
        <v>30</v>
      </c>
      <c r="P49" s="90" t="s">
        <v>195</v>
      </c>
      <c r="Q49" s="90" t="s">
        <v>195</v>
      </c>
      <c r="R49" s="90" t="s">
        <v>30</v>
      </c>
      <c r="S49" s="90" t="s">
        <v>30</v>
      </c>
      <c r="T49" s="90"/>
      <c r="U49" s="90" t="s">
        <v>194</v>
      </c>
      <c r="V49" s="90" t="s">
        <v>207</v>
      </c>
      <c r="W49" s="90" t="s">
        <v>204</v>
      </c>
      <c r="X49" s="90" t="s">
        <v>204</v>
      </c>
      <c r="Y49" s="90" t="s">
        <v>195</v>
      </c>
      <c r="Z49" s="90" t="s">
        <v>208</v>
      </c>
      <c r="AA49" s="90" t="s">
        <v>30</v>
      </c>
      <c r="AB49" s="90" t="s">
        <v>30</v>
      </c>
      <c r="AC49" s="90" t="s">
        <v>204</v>
      </c>
      <c r="AD49" s="90" t="s">
        <v>204</v>
      </c>
      <c r="AE49" s="90" t="s">
        <v>198</v>
      </c>
      <c r="AF49" s="90" t="s">
        <v>198</v>
      </c>
      <c r="AG49" s="90" t="s">
        <v>198</v>
      </c>
      <c r="AH49" s="90" t="s">
        <v>198</v>
      </c>
      <c r="AI49" s="90" t="s">
        <v>194</v>
      </c>
      <c r="AJ49" s="90" t="s">
        <v>195</v>
      </c>
      <c r="AK49" s="90" t="s">
        <v>195</v>
      </c>
      <c r="AL49" s="90" t="s">
        <v>30</v>
      </c>
      <c r="AM49" s="90"/>
      <c r="AN49" s="90" t="s">
        <v>199</v>
      </c>
      <c r="AO49" s="90" t="s">
        <v>198</v>
      </c>
      <c r="AP49" s="90" t="s">
        <v>198</v>
      </c>
      <c r="AQ49" s="90" t="s">
        <v>198</v>
      </c>
      <c r="AR49" s="90" t="s">
        <v>198</v>
      </c>
      <c r="AS49" s="90" t="s">
        <v>198</v>
      </c>
      <c r="AT49" s="90" t="s">
        <v>198</v>
      </c>
      <c r="AU49" s="90" t="s">
        <v>198</v>
      </c>
      <c r="AV49" s="90" t="s">
        <v>198</v>
      </c>
      <c r="AW49" s="90" t="s">
        <v>198</v>
      </c>
      <c r="AX49" s="90" t="s">
        <v>198</v>
      </c>
      <c r="AY49" s="90"/>
      <c r="AZ49" s="90" t="s">
        <v>199</v>
      </c>
      <c r="BA49" s="90" t="s">
        <v>199</v>
      </c>
      <c r="BB49" s="90" t="s">
        <v>198</v>
      </c>
      <c r="BC49" s="90" t="s">
        <v>198</v>
      </c>
      <c r="BD49" s="90" t="s">
        <v>198</v>
      </c>
      <c r="BE49" s="90" t="s">
        <v>198</v>
      </c>
      <c r="BF49" s="90" t="s">
        <v>198</v>
      </c>
      <c r="BG49" s="90" t="s">
        <v>198</v>
      </c>
      <c r="BH49" s="90" t="s">
        <v>198</v>
      </c>
      <c r="BI49" s="90" t="s">
        <v>198</v>
      </c>
      <c r="BJ49" s="90" t="s">
        <v>198</v>
      </c>
      <c r="BK49" s="90" t="s">
        <v>198</v>
      </c>
      <c r="BL49" s="90" t="s">
        <v>198</v>
      </c>
      <c r="BM49" s="90" t="s">
        <v>198</v>
      </c>
      <c r="BN49" s="90" t="s">
        <v>198</v>
      </c>
      <c r="BO49" s="90" t="s">
        <v>198</v>
      </c>
      <c r="BP49" s="90" t="s">
        <v>198</v>
      </c>
      <c r="BQ49" s="90" t="s">
        <v>198</v>
      </c>
      <c r="BR49" s="90" t="s">
        <v>198</v>
      </c>
      <c r="BS49" s="90" t="s">
        <v>198</v>
      </c>
      <c r="BT49" s="90"/>
      <c r="BU49" s="90" t="s">
        <v>202</v>
      </c>
      <c r="BV49" s="90" t="s">
        <v>202</v>
      </c>
      <c r="BW49" s="90" t="s">
        <v>202</v>
      </c>
      <c r="BX49" s="90" t="s">
        <v>202</v>
      </c>
      <c r="BY49" s="90" t="s">
        <v>202</v>
      </c>
      <c r="BZ49" s="90" t="s">
        <v>202</v>
      </c>
      <c r="CA49" s="90" t="s">
        <v>202</v>
      </c>
      <c r="CB49" s="90"/>
      <c r="CC49" s="90" t="s">
        <v>200</v>
      </c>
      <c r="CD49" s="90"/>
      <c r="CE49" s="90" t="s">
        <v>194</v>
      </c>
      <c r="CF49" s="90"/>
      <c r="CG49" s="90"/>
      <c r="CH49" s="90"/>
      <c r="CI49" s="90" t="s">
        <v>194</v>
      </c>
      <c r="CJ49" s="90" t="s">
        <v>195</v>
      </c>
      <c r="CK49" s="90" t="s">
        <v>195</v>
      </c>
      <c r="CL49" s="90" t="s">
        <v>195</v>
      </c>
      <c r="CM49" s="90" t="s">
        <v>201</v>
      </c>
      <c r="CN49" s="90" t="s">
        <v>195</v>
      </c>
      <c r="CO49" s="90" t="s">
        <v>195</v>
      </c>
      <c r="CP49" s="90" t="s">
        <v>195</v>
      </c>
      <c r="CQ49" s="90" t="s">
        <v>195</v>
      </c>
      <c r="CR49" s="90" t="s">
        <v>207</v>
      </c>
      <c r="CS49" s="90" t="s">
        <v>195</v>
      </c>
      <c r="CT49" s="90" t="s">
        <v>195</v>
      </c>
      <c r="CU49" s="90" t="s">
        <v>195</v>
      </c>
      <c r="CV49" s="90" t="s">
        <v>204</v>
      </c>
      <c r="CW49" s="90" t="s">
        <v>195</v>
      </c>
      <c r="CX49" s="90" t="s">
        <v>30</v>
      </c>
      <c r="CY49" s="90" t="s">
        <v>195</v>
      </c>
      <c r="CZ49" s="90" t="s">
        <v>195</v>
      </c>
      <c r="DA49" s="90" t="s">
        <v>195</v>
      </c>
      <c r="DB49" s="90" t="s">
        <v>30</v>
      </c>
      <c r="DC49" s="90" t="s">
        <v>30</v>
      </c>
      <c r="DD49" s="90" t="s">
        <v>30</v>
      </c>
      <c r="DE49" s="90" t="s">
        <v>30</v>
      </c>
      <c r="DF49" s="90" t="s">
        <v>30</v>
      </c>
      <c r="DG49" s="90" t="s">
        <v>195</v>
      </c>
      <c r="DH49" s="90" t="s">
        <v>195</v>
      </c>
      <c r="DI49" s="90" t="s">
        <v>195</v>
      </c>
      <c r="DJ49" s="90" t="s">
        <v>195</v>
      </c>
      <c r="DK49" s="90"/>
      <c r="DL49" s="90" t="s">
        <v>199</v>
      </c>
      <c r="DM49" s="90" t="s">
        <v>198</v>
      </c>
      <c r="DN49" s="90" t="s">
        <v>198</v>
      </c>
      <c r="DO49" s="90" t="s">
        <v>198</v>
      </c>
      <c r="DP49" s="90" t="s">
        <v>198</v>
      </c>
      <c r="DQ49" s="90" t="s">
        <v>198</v>
      </c>
      <c r="DR49" s="90" t="s">
        <v>198</v>
      </c>
      <c r="DS49" s="90" t="s">
        <v>198</v>
      </c>
      <c r="DT49" s="90" t="s">
        <v>198</v>
      </c>
      <c r="DU49" s="90" t="s">
        <v>198</v>
      </c>
      <c r="DV49" s="90" t="s">
        <v>198</v>
      </c>
      <c r="DW49" s="90" t="s">
        <v>198</v>
      </c>
      <c r="DX49" s="90" t="s">
        <v>198</v>
      </c>
      <c r="DY49" s="90" t="s">
        <v>198</v>
      </c>
      <c r="DZ49" s="90" t="s">
        <v>198</v>
      </c>
      <c r="EA49" s="90"/>
      <c r="EB49" s="90" t="s">
        <v>199</v>
      </c>
      <c r="EC49" s="90" t="s">
        <v>198</v>
      </c>
      <c r="ED49" s="90" t="s">
        <v>198</v>
      </c>
      <c r="EE49" s="90" t="s">
        <v>198</v>
      </c>
      <c r="EF49" s="90" t="s">
        <v>198</v>
      </c>
      <c r="EG49" s="90" t="s">
        <v>198</v>
      </c>
      <c r="EH49" s="102" t="s">
        <v>198</v>
      </c>
    </row>
    <row r="50" spans="1:138" ht="23.25" customHeight="1" x14ac:dyDescent="0.25">
      <c r="A50" s="98" t="s">
        <v>17</v>
      </c>
      <c r="B50" s="99" t="s">
        <v>193</v>
      </c>
      <c r="C50" s="99" t="s">
        <v>199</v>
      </c>
      <c r="D50" s="99" t="s">
        <v>198</v>
      </c>
      <c r="E50" s="99" t="s">
        <v>198</v>
      </c>
      <c r="F50" s="99" t="s">
        <v>198</v>
      </c>
      <c r="G50" s="99" t="s">
        <v>198</v>
      </c>
      <c r="H50" s="99" t="s">
        <v>198</v>
      </c>
      <c r="I50" s="99" t="s">
        <v>198</v>
      </c>
      <c r="J50" s="99" t="s">
        <v>198</v>
      </c>
      <c r="K50" s="99" t="s">
        <v>198</v>
      </c>
      <c r="L50" s="99" t="s">
        <v>198</v>
      </c>
      <c r="M50" s="99" t="s">
        <v>198</v>
      </c>
      <c r="N50" s="99" t="s">
        <v>198</v>
      </c>
      <c r="O50" s="99" t="s">
        <v>198</v>
      </c>
      <c r="P50" s="99" t="s">
        <v>198</v>
      </c>
      <c r="Q50" s="99" t="s">
        <v>198</v>
      </c>
      <c r="R50" s="99" t="s">
        <v>198</v>
      </c>
      <c r="S50" s="99" t="s">
        <v>198</v>
      </c>
      <c r="T50" s="99"/>
      <c r="U50" s="99" t="s">
        <v>199</v>
      </c>
      <c r="V50" s="99" t="s">
        <v>198</v>
      </c>
      <c r="W50" s="99" t="s">
        <v>198</v>
      </c>
      <c r="X50" s="99" t="s">
        <v>198</v>
      </c>
      <c r="Y50" s="99" t="s">
        <v>198</v>
      </c>
      <c r="Z50" s="99" t="s">
        <v>17</v>
      </c>
      <c r="AA50" s="99" t="s">
        <v>198</v>
      </c>
      <c r="AB50" s="99" t="s">
        <v>198</v>
      </c>
      <c r="AC50" s="99" t="s">
        <v>198</v>
      </c>
      <c r="AD50" s="99" t="s">
        <v>198</v>
      </c>
      <c r="AE50" s="99" t="s">
        <v>198</v>
      </c>
      <c r="AF50" s="99" t="s">
        <v>198</v>
      </c>
      <c r="AG50" s="99" t="s">
        <v>198</v>
      </c>
      <c r="AH50" s="99" t="s">
        <v>198</v>
      </c>
      <c r="AI50" s="99" t="s">
        <v>199</v>
      </c>
      <c r="AJ50" s="99" t="s">
        <v>198</v>
      </c>
      <c r="AK50" s="99" t="s">
        <v>198</v>
      </c>
      <c r="AL50" s="99" t="s">
        <v>198</v>
      </c>
      <c r="AM50" s="99"/>
      <c r="AN50" s="99" t="s">
        <v>194</v>
      </c>
      <c r="AO50" s="99" t="s">
        <v>195</v>
      </c>
      <c r="AP50" s="99" t="s">
        <v>196</v>
      </c>
      <c r="AQ50" s="99" t="s">
        <v>196</v>
      </c>
      <c r="AR50" s="99" t="s">
        <v>30</v>
      </c>
      <c r="AS50" s="99" t="s">
        <v>30</v>
      </c>
      <c r="AT50" s="99" t="s">
        <v>196</v>
      </c>
      <c r="AU50" s="99" t="s">
        <v>196</v>
      </c>
      <c r="AV50" s="99" t="s">
        <v>195</v>
      </c>
      <c r="AW50" s="99" t="s">
        <v>30</v>
      </c>
      <c r="AX50" s="99" t="s">
        <v>30</v>
      </c>
      <c r="AY50" s="99"/>
      <c r="AZ50" s="99" t="s">
        <v>194</v>
      </c>
      <c r="BA50" s="99" t="s">
        <v>194</v>
      </c>
      <c r="BB50" s="99" t="s">
        <v>195</v>
      </c>
      <c r="BC50" s="99" t="s">
        <v>195</v>
      </c>
      <c r="BD50" s="99" t="s">
        <v>195</v>
      </c>
      <c r="BE50" s="99" t="s">
        <v>30</v>
      </c>
      <c r="BF50" s="99" t="s">
        <v>195</v>
      </c>
      <c r="BG50" s="99" t="s">
        <v>195</v>
      </c>
      <c r="BH50" s="99" t="s">
        <v>195</v>
      </c>
      <c r="BI50" s="99" t="s">
        <v>195</v>
      </c>
      <c r="BJ50" s="99" t="s">
        <v>195</v>
      </c>
      <c r="BK50" s="99" t="s">
        <v>195</v>
      </c>
      <c r="BL50" s="99" t="s">
        <v>195</v>
      </c>
      <c r="BM50" s="99" t="s">
        <v>195</v>
      </c>
      <c r="BN50" s="99" t="s">
        <v>196</v>
      </c>
      <c r="BO50" s="99" t="s">
        <v>195</v>
      </c>
      <c r="BP50" s="99" t="s">
        <v>195</v>
      </c>
      <c r="BQ50" s="99" t="s">
        <v>195</v>
      </c>
      <c r="BR50" s="99" t="s">
        <v>195</v>
      </c>
      <c r="BS50" s="99" t="s">
        <v>195</v>
      </c>
      <c r="BT50" s="99"/>
      <c r="BU50" s="99" t="s">
        <v>202</v>
      </c>
      <c r="BV50" s="99" t="s">
        <v>202</v>
      </c>
      <c r="BW50" s="99" t="s">
        <v>202</v>
      </c>
      <c r="BX50" s="99" t="s">
        <v>202</v>
      </c>
      <c r="BY50" s="99" t="s">
        <v>202</v>
      </c>
      <c r="BZ50" s="99" t="s">
        <v>202</v>
      </c>
      <c r="CA50" s="99" t="s">
        <v>202</v>
      </c>
      <c r="CB50" s="99"/>
      <c r="CC50" s="99" t="s">
        <v>200</v>
      </c>
      <c r="CD50" s="99"/>
      <c r="CE50" s="99" t="s">
        <v>194</v>
      </c>
      <c r="CF50" s="99"/>
      <c r="CG50" s="99"/>
      <c r="CH50" s="99"/>
      <c r="CI50" s="99" t="s">
        <v>199</v>
      </c>
      <c r="CJ50" s="99" t="s">
        <v>198</v>
      </c>
      <c r="CK50" s="99" t="s">
        <v>198</v>
      </c>
      <c r="CL50" s="99" t="s">
        <v>198</v>
      </c>
      <c r="CM50" s="99" t="s">
        <v>198</v>
      </c>
      <c r="CN50" s="99" t="s">
        <v>198</v>
      </c>
      <c r="CO50" s="99" t="s">
        <v>198</v>
      </c>
      <c r="CP50" s="99" t="s">
        <v>198</v>
      </c>
      <c r="CQ50" s="99" t="s">
        <v>198</v>
      </c>
      <c r="CR50" s="99" t="s">
        <v>198</v>
      </c>
      <c r="CS50" s="99" t="s">
        <v>198</v>
      </c>
      <c r="CT50" s="99" t="s">
        <v>198</v>
      </c>
      <c r="CU50" s="99" t="s">
        <v>198</v>
      </c>
      <c r="CV50" s="99" t="s">
        <v>198</v>
      </c>
      <c r="CW50" s="99" t="s">
        <v>198</v>
      </c>
      <c r="CX50" s="99" t="s">
        <v>198</v>
      </c>
      <c r="CY50" s="99" t="s">
        <v>198</v>
      </c>
      <c r="CZ50" s="99" t="s">
        <v>198</v>
      </c>
      <c r="DA50" s="99" t="s">
        <v>198</v>
      </c>
      <c r="DB50" s="99" t="s">
        <v>198</v>
      </c>
      <c r="DC50" s="99" t="s">
        <v>198</v>
      </c>
      <c r="DD50" s="99" t="s">
        <v>198</v>
      </c>
      <c r="DE50" s="99" t="s">
        <v>198</v>
      </c>
      <c r="DF50" s="99" t="s">
        <v>198</v>
      </c>
      <c r="DG50" s="99" t="s">
        <v>198</v>
      </c>
      <c r="DH50" s="99" t="s">
        <v>198</v>
      </c>
      <c r="DI50" s="99" t="s">
        <v>198</v>
      </c>
      <c r="DJ50" s="99" t="s">
        <v>198</v>
      </c>
      <c r="DK50" s="99"/>
      <c r="DL50" s="99" t="s">
        <v>199</v>
      </c>
      <c r="DM50" s="99" t="s">
        <v>198</v>
      </c>
      <c r="DN50" s="99" t="s">
        <v>198</v>
      </c>
      <c r="DO50" s="99" t="s">
        <v>198</v>
      </c>
      <c r="DP50" s="99" t="s">
        <v>198</v>
      </c>
      <c r="DQ50" s="99" t="s">
        <v>198</v>
      </c>
      <c r="DR50" s="99" t="s">
        <v>198</v>
      </c>
      <c r="DS50" s="99" t="s">
        <v>198</v>
      </c>
      <c r="DT50" s="99" t="s">
        <v>198</v>
      </c>
      <c r="DU50" s="99" t="s">
        <v>198</v>
      </c>
      <c r="DV50" s="99" t="s">
        <v>198</v>
      </c>
      <c r="DW50" s="99" t="s">
        <v>198</v>
      </c>
      <c r="DX50" s="99" t="s">
        <v>198</v>
      </c>
      <c r="DY50" s="99" t="s">
        <v>198</v>
      </c>
      <c r="DZ50" s="99" t="s">
        <v>198</v>
      </c>
      <c r="EA50" s="99"/>
      <c r="EB50" s="99" t="s">
        <v>199</v>
      </c>
      <c r="EC50" s="99" t="s">
        <v>198</v>
      </c>
      <c r="ED50" s="99" t="s">
        <v>198</v>
      </c>
      <c r="EE50" s="99" t="s">
        <v>198</v>
      </c>
      <c r="EF50" s="99" t="s">
        <v>198</v>
      </c>
      <c r="EG50" s="99" t="s">
        <v>198</v>
      </c>
      <c r="EH50" s="100" t="s">
        <v>198</v>
      </c>
    </row>
    <row r="51" spans="1:138" ht="23.25" customHeight="1" x14ac:dyDescent="0.25">
      <c r="A51" s="98" t="s">
        <v>17</v>
      </c>
      <c r="B51" s="99" t="s">
        <v>193</v>
      </c>
      <c r="C51" s="99" t="s">
        <v>194</v>
      </c>
      <c r="D51" s="99" t="s">
        <v>204</v>
      </c>
      <c r="E51" s="99" t="s">
        <v>30</v>
      </c>
      <c r="F51" s="99" t="s">
        <v>207</v>
      </c>
      <c r="G51" s="99" t="s">
        <v>30</v>
      </c>
      <c r="H51" s="99" t="s">
        <v>195</v>
      </c>
      <c r="I51" s="99" t="s">
        <v>30</v>
      </c>
      <c r="J51" s="99" t="s">
        <v>195</v>
      </c>
      <c r="K51" s="99" t="s">
        <v>30</v>
      </c>
      <c r="L51" s="99" t="s">
        <v>195</v>
      </c>
      <c r="M51" s="99" t="s">
        <v>195</v>
      </c>
      <c r="N51" s="99" t="s">
        <v>30</v>
      </c>
      <c r="O51" s="99" t="s">
        <v>195</v>
      </c>
      <c r="P51" s="99" t="s">
        <v>204</v>
      </c>
      <c r="Q51" s="99" t="s">
        <v>195</v>
      </c>
      <c r="R51" s="99" t="s">
        <v>195</v>
      </c>
      <c r="S51" s="99" t="s">
        <v>195</v>
      </c>
      <c r="T51" s="99"/>
      <c r="U51" s="99" t="s">
        <v>199</v>
      </c>
      <c r="V51" s="99" t="s">
        <v>198</v>
      </c>
      <c r="W51" s="99" t="s">
        <v>198</v>
      </c>
      <c r="X51" s="99" t="s">
        <v>198</v>
      </c>
      <c r="Y51" s="99" t="s">
        <v>198</v>
      </c>
      <c r="Z51" s="99" t="s">
        <v>17</v>
      </c>
      <c r="AA51" s="99" t="s">
        <v>198</v>
      </c>
      <c r="AB51" s="99" t="s">
        <v>198</v>
      </c>
      <c r="AC51" s="99" t="s">
        <v>198</v>
      </c>
      <c r="AD51" s="99" t="s">
        <v>198</v>
      </c>
      <c r="AE51" s="99" t="s">
        <v>198</v>
      </c>
      <c r="AF51" s="99" t="s">
        <v>198</v>
      </c>
      <c r="AG51" s="99" t="s">
        <v>198</v>
      </c>
      <c r="AH51" s="99" t="s">
        <v>198</v>
      </c>
      <c r="AI51" s="99" t="s">
        <v>199</v>
      </c>
      <c r="AJ51" s="99" t="s">
        <v>198</v>
      </c>
      <c r="AK51" s="99" t="s">
        <v>198</v>
      </c>
      <c r="AL51" s="99" t="s">
        <v>198</v>
      </c>
      <c r="AM51" s="99"/>
      <c r="AN51" s="99" t="s">
        <v>199</v>
      </c>
      <c r="AO51" s="99" t="s">
        <v>198</v>
      </c>
      <c r="AP51" s="99" t="s">
        <v>198</v>
      </c>
      <c r="AQ51" s="99" t="s">
        <v>198</v>
      </c>
      <c r="AR51" s="99" t="s">
        <v>198</v>
      </c>
      <c r="AS51" s="99" t="s">
        <v>198</v>
      </c>
      <c r="AT51" s="99" t="s">
        <v>198</v>
      </c>
      <c r="AU51" s="99" t="s">
        <v>198</v>
      </c>
      <c r="AV51" s="99" t="s">
        <v>198</v>
      </c>
      <c r="AW51" s="99" t="s">
        <v>198</v>
      </c>
      <c r="AX51" s="99" t="s">
        <v>198</v>
      </c>
      <c r="AY51" s="99"/>
      <c r="AZ51" s="99" t="s">
        <v>194</v>
      </c>
      <c r="BA51" s="99" t="s">
        <v>194</v>
      </c>
      <c r="BB51" s="99" t="s">
        <v>30</v>
      </c>
      <c r="BC51" s="99" t="s">
        <v>195</v>
      </c>
      <c r="BD51" s="99" t="s">
        <v>195</v>
      </c>
      <c r="BE51" s="99" t="s">
        <v>195</v>
      </c>
      <c r="BF51" s="99" t="s">
        <v>195</v>
      </c>
      <c r="BG51" s="99" t="s">
        <v>195</v>
      </c>
      <c r="BH51" s="99" t="s">
        <v>195</v>
      </c>
      <c r="BI51" s="99" t="s">
        <v>30</v>
      </c>
      <c r="BJ51" s="99" t="s">
        <v>195</v>
      </c>
      <c r="BK51" s="99" t="s">
        <v>195</v>
      </c>
      <c r="BL51" s="99" t="s">
        <v>195</v>
      </c>
      <c r="BM51" s="99" t="s">
        <v>196</v>
      </c>
      <c r="BN51" s="99" t="s">
        <v>195</v>
      </c>
      <c r="BO51" s="99" t="s">
        <v>195</v>
      </c>
      <c r="BP51" s="99" t="s">
        <v>195</v>
      </c>
      <c r="BQ51" s="99" t="s">
        <v>30</v>
      </c>
      <c r="BR51" s="99" t="s">
        <v>195</v>
      </c>
      <c r="BS51" s="99" t="s">
        <v>195</v>
      </c>
      <c r="BT51" s="99"/>
      <c r="BU51" s="99" t="s">
        <v>202</v>
      </c>
      <c r="BV51" s="99" t="s">
        <v>202</v>
      </c>
      <c r="BW51" s="99" t="s">
        <v>202</v>
      </c>
      <c r="BX51" s="99" t="s">
        <v>202</v>
      </c>
      <c r="BY51" s="99" t="s">
        <v>202</v>
      </c>
      <c r="BZ51" s="99" t="s">
        <v>202</v>
      </c>
      <c r="CA51" s="99" t="s">
        <v>202</v>
      </c>
      <c r="CB51" s="99"/>
      <c r="CC51" s="99" t="s">
        <v>206</v>
      </c>
      <c r="CD51" s="99"/>
      <c r="CE51" s="99" t="s">
        <v>194</v>
      </c>
      <c r="CF51" s="99"/>
      <c r="CG51" s="99"/>
      <c r="CH51" s="99"/>
      <c r="CI51" s="99" t="s">
        <v>199</v>
      </c>
      <c r="CJ51" s="99" t="s">
        <v>198</v>
      </c>
      <c r="CK51" s="99" t="s">
        <v>198</v>
      </c>
      <c r="CL51" s="99" t="s">
        <v>198</v>
      </c>
      <c r="CM51" s="99" t="s">
        <v>198</v>
      </c>
      <c r="CN51" s="99" t="s">
        <v>198</v>
      </c>
      <c r="CO51" s="99" t="s">
        <v>198</v>
      </c>
      <c r="CP51" s="99" t="s">
        <v>198</v>
      </c>
      <c r="CQ51" s="99" t="s">
        <v>198</v>
      </c>
      <c r="CR51" s="99" t="s">
        <v>198</v>
      </c>
      <c r="CS51" s="99" t="s">
        <v>198</v>
      </c>
      <c r="CT51" s="99" t="s">
        <v>198</v>
      </c>
      <c r="CU51" s="99" t="s">
        <v>198</v>
      </c>
      <c r="CV51" s="99" t="s">
        <v>198</v>
      </c>
      <c r="CW51" s="99" t="s">
        <v>198</v>
      </c>
      <c r="CX51" s="99" t="s">
        <v>198</v>
      </c>
      <c r="CY51" s="99" t="s">
        <v>198</v>
      </c>
      <c r="CZ51" s="99" t="s">
        <v>198</v>
      </c>
      <c r="DA51" s="99" t="s">
        <v>198</v>
      </c>
      <c r="DB51" s="99" t="s">
        <v>198</v>
      </c>
      <c r="DC51" s="99" t="s">
        <v>198</v>
      </c>
      <c r="DD51" s="99" t="s">
        <v>198</v>
      </c>
      <c r="DE51" s="99" t="s">
        <v>198</v>
      </c>
      <c r="DF51" s="99" t="s">
        <v>198</v>
      </c>
      <c r="DG51" s="99" t="s">
        <v>198</v>
      </c>
      <c r="DH51" s="99" t="s">
        <v>198</v>
      </c>
      <c r="DI51" s="99" t="s">
        <v>198</v>
      </c>
      <c r="DJ51" s="99" t="s">
        <v>198</v>
      </c>
      <c r="DK51" s="99"/>
      <c r="DL51" s="99" t="s">
        <v>199</v>
      </c>
      <c r="DM51" s="99" t="s">
        <v>198</v>
      </c>
      <c r="DN51" s="99" t="s">
        <v>198</v>
      </c>
      <c r="DO51" s="99" t="s">
        <v>198</v>
      </c>
      <c r="DP51" s="99" t="s">
        <v>198</v>
      </c>
      <c r="DQ51" s="99" t="s">
        <v>198</v>
      </c>
      <c r="DR51" s="99" t="s">
        <v>198</v>
      </c>
      <c r="DS51" s="99" t="s">
        <v>198</v>
      </c>
      <c r="DT51" s="99" t="s">
        <v>198</v>
      </c>
      <c r="DU51" s="99" t="s">
        <v>198</v>
      </c>
      <c r="DV51" s="99" t="s">
        <v>198</v>
      </c>
      <c r="DW51" s="99" t="s">
        <v>198</v>
      </c>
      <c r="DX51" s="99" t="s">
        <v>198</v>
      </c>
      <c r="DY51" s="99" t="s">
        <v>198</v>
      </c>
      <c r="DZ51" s="99" t="s">
        <v>198</v>
      </c>
      <c r="EA51" s="99"/>
      <c r="EB51" s="99" t="s">
        <v>194</v>
      </c>
      <c r="EC51" s="99" t="s">
        <v>195</v>
      </c>
      <c r="ED51" s="99" t="s">
        <v>195</v>
      </c>
      <c r="EE51" s="99" t="s">
        <v>195</v>
      </c>
      <c r="EF51" s="99" t="s">
        <v>195</v>
      </c>
      <c r="EG51" s="99" t="s">
        <v>196</v>
      </c>
      <c r="EH51" s="100" t="s">
        <v>195</v>
      </c>
    </row>
    <row r="52" spans="1:138" ht="23.25" customHeight="1" x14ac:dyDescent="0.25">
      <c r="A52" s="101" t="s">
        <v>17</v>
      </c>
      <c r="B52" s="90" t="s">
        <v>193</v>
      </c>
      <c r="C52" s="90" t="s">
        <v>194</v>
      </c>
      <c r="D52" s="90" t="s">
        <v>207</v>
      </c>
      <c r="E52" s="90" t="s">
        <v>207</v>
      </c>
      <c r="F52" s="90" t="s">
        <v>207</v>
      </c>
      <c r="G52" s="90" t="s">
        <v>207</v>
      </c>
      <c r="H52" s="90" t="s">
        <v>207</v>
      </c>
      <c r="I52" s="90" t="s">
        <v>207</v>
      </c>
      <c r="J52" s="90" t="s">
        <v>207</v>
      </c>
      <c r="K52" s="90" t="s">
        <v>207</v>
      </c>
      <c r="L52" s="90" t="s">
        <v>207</v>
      </c>
      <c r="M52" s="90" t="s">
        <v>201</v>
      </c>
      <c r="N52" s="90" t="s">
        <v>201</v>
      </c>
      <c r="O52" s="90" t="s">
        <v>201</v>
      </c>
      <c r="P52" s="90" t="s">
        <v>30</v>
      </c>
      <c r="Q52" s="90" t="s">
        <v>201</v>
      </c>
      <c r="R52" s="90" t="s">
        <v>207</v>
      </c>
      <c r="S52" s="90" t="s">
        <v>30</v>
      </c>
      <c r="T52" s="90"/>
      <c r="U52" s="90" t="s">
        <v>194</v>
      </c>
      <c r="V52" s="90" t="s">
        <v>207</v>
      </c>
      <c r="W52" s="90" t="s">
        <v>207</v>
      </c>
      <c r="X52" s="90" t="s">
        <v>207</v>
      </c>
      <c r="Y52" s="90" t="s">
        <v>195</v>
      </c>
      <c r="Z52" s="90" t="s">
        <v>208</v>
      </c>
      <c r="AA52" s="90" t="s">
        <v>30</v>
      </c>
      <c r="AB52" s="90" t="s">
        <v>30</v>
      </c>
      <c r="AC52" s="90" t="s">
        <v>204</v>
      </c>
      <c r="AD52" s="90" t="s">
        <v>207</v>
      </c>
      <c r="AE52" s="90" t="s">
        <v>198</v>
      </c>
      <c r="AF52" s="90" t="s">
        <v>198</v>
      </c>
      <c r="AG52" s="90" t="s">
        <v>198</v>
      </c>
      <c r="AH52" s="90" t="s">
        <v>198</v>
      </c>
      <c r="AI52" s="90" t="s">
        <v>194</v>
      </c>
      <c r="AJ52" s="90" t="s">
        <v>204</v>
      </c>
      <c r="AK52" s="90" t="s">
        <v>204</v>
      </c>
      <c r="AL52" s="90" t="s">
        <v>204</v>
      </c>
      <c r="AM52" s="90"/>
      <c r="AN52" s="90" t="s">
        <v>194</v>
      </c>
      <c r="AO52" s="90" t="s">
        <v>195</v>
      </c>
      <c r="AP52" s="90" t="s">
        <v>195</v>
      </c>
      <c r="AQ52" s="90" t="s">
        <v>195</v>
      </c>
      <c r="AR52" s="90" t="s">
        <v>195</v>
      </c>
      <c r="AS52" s="90" t="s">
        <v>195</v>
      </c>
      <c r="AT52" s="90" t="s">
        <v>195</v>
      </c>
      <c r="AU52" s="90" t="s">
        <v>195</v>
      </c>
      <c r="AV52" s="90" t="s">
        <v>195</v>
      </c>
      <c r="AW52" s="90" t="s">
        <v>196</v>
      </c>
      <c r="AX52" s="90" t="s">
        <v>195</v>
      </c>
      <c r="AY52" s="90"/>
      <c r="AZ52" s="90" t="s">
        <v>194</v>
      </c>
      <c r="BA52" s="90" t="s">
        <v>194</v>
      </c>
      <c r="BB52" s="90" t="s">
        <v>201</v>
      </c>
      <c r="BC52" s="90" t="s">
        <v>204</v>
      </c>
      <c r="BD52" s="90" t="s">
        <v>204</v>
      </c>
      <c r="BE52" s="90" t="s">
        <v>195</v>
      </c>
      <c r="BF52" s="90" t="s">
        <v>204</v>
      </c>
      <c r="BG52" s="90" t="s">
        <v>201</v>
      </c>
      <c r="BH52" s="90" t="s">
        <v>195</v>
      </c>
      <c r="BI52" s="90" t="s">
        <v>195</v>
      </c>
      <c r="BJ52" s="90" t="s">
        <v>201</v>
      </c>
      <c r="BK52" s="90" t="s">
        <v>195</v>
      </c>
      <c r="BL52" s="90" t="s">
        <v>196</v>
      </c>
      <c r="BM52" s="90" t="s">
        <v>196</v>
      </c>
      <c r="BN52" s="90" t="s">
        <v>30</v>
      </c>
      <c r="BO52" s="90" t="s">
        <v>201</v>
      </c>
      <c r="BP52" s="90" t="s">
        <v>195</v>
      </c>
      <c r="BQ52" s="90" t="s">
        <v>30</v>
      </c>
      <c r="BR52" s="90" t="s">
        <v>30</v>
      </c>
      <c r="BS52" s="90" t="s">
        <v>30</v>
      </c>
      <c r="BT52" s="90"/>
      <c r="BU52" s="90" t="s">
        <v>202</v>
      </c>
      <c r="BV52" s="90" t="s">
        <v>202</v>
      </c>
      <c r="BW52" s="90" t="s">
        <v>202</v>
      </c>
      <c r="BX52" s="90" t="s">
        <v>202</v>
      </c>
      <c r="BY52" s="90" t="s">
        <v>202</v>
      </c>
      <c r="BZ52" s="90" t="s">
        <v>202</v>
      </c>
      <c r="CA52" s="90" t="s">
        <v>202</v>
      </c>
      <c r="CB52" s="90"/>
      <c r="CC52" s="90" t="s">
        <v>200</v>
      </c>
      <c r="CD52" s="90"/>
      <c r="CE52" s="90" t="s">
        <v>194</v>
      </c>
      <c r="CF52" s="90"/>
      <c r="CG52" s="90"/>
      <c r="CH52" s="90"/>
      <c r="CI52" s="90" t="s">
        <v>194</v>
      </c>
      <c r="CJ52" s="90" t="s">
        <v>30</v>
      </c>
      <c r="CK52" s="90" t="s">
        <v>195</v>
      </c>
      <c r="CL52" s="90" t="s">
        <v>207</v>
      </c>
      <c r="CM52" s="90" t="s">
        <v>207</v>
      </c>
      <c r="CN52" s="90" t="s">
        <v>207</v>
      </c>
      <c r="CO52" s="90" t="s">
        <v>207</v>
      </c>
      <c r="CP52" s="90" t="s">
        <v>30</v>
      </c>
      <c r="CQ52" s="90" t="s">
        <v>195</v>
      </c>
      <c r="CR52" s="90" t="s">
        <v>204</v>
      </c>
      <c r="CS52" s="90" t="s">
        <v>30</v>
      </c>
      <c r="CT52" s="90" t="s">
        <v>196</v>
      </c>
      <c r="CU52" s="90" t="s">
        <v>195</v>
      </c>
      <c r="CV52" s="90" t="s">
        <v>30</v>
      </c>
      <c r="CW52" s="90" t="s">
        <v>30</v>
      </c>
      <c r="CX52" s="90" t="s">
        <v>30</v>
      </c>
      <c r="CY52" s="90" t="s">
        <v>30</v>
      </c>
      <c r="CZ52" s="90" t="s">
        <v>30</v>
      </c>
      <c r="DA52" s="90" t="s">
        <v>30</v>
      </c>
      <c r="DB52" s="90" t="s">
        <v>207</v>
      </c>
      <c r="DC52" s="90" t="s">
        <v>207</v>
      </c>
      <c r="DD52" s="90" t="s">
        <v>196</v>
      </c>
      <c r="DE52" s="90" t="s">
        <v>30</v>
      </c>
      <c r="DF52" s="90" t="s">
        <v>30</v>
      </c>
      <c r="DG52" s="90" t="s">
        <v>30</v>
      </c>
      <c r="DH52" s="90" t="s">
        <v>207</v>
      </c>
      <c r="DI52" s="90" t="s">
        <v>207</v>
      </c>
      <c r="DJ52" s="90" t="s">
        <v>207</v>
      </c>
      <c r="DK52" s="90"/>
      <c r="DL52" s="90" t="s">
        <v>194</v>
      </c>
      <c r="DM52" s="90" t="s">
        <v>207</v>
      </c>
      <c r="DN52" s="90" t="s">
        <v>207</v>
      </c>
      <c r="DO52" s="90" t="s">
        <v>30</v>
      </c>
      <c r="DP52" s="90" t="s">
        <v>195</v>
      </c>
      <c r="DQ52" s="90" t="s">
        <v>195</v>
      </c>
      <c r="DR52" s="90" t="s">
        <v>201</v>
      </c>
      <c r="DS52" s="90" t="s">
        <v>207</v>
      </c>
      <c r="DT52" s="90" t="s">
        <v>196</v>
      </c>
      <c r="DU52" s="90" t="s">
        <v>196</v>
      </c>
      <c r="DV52" s="90" t="s">
        <v>196</v>
      </c>
      <c r="DW52" s="90" t="s">
        <v>196</v>
      </c>
      <c r="DX52" s="90" t="s">
        <v>196</v>
      </c>
      <c r="DY52" s="90" t="s">
        <v>196</v>
      </c>
      <c r="DZ52" s="90" t="s">
        <v>195</v>
      </c>
      <c r="EA52" s="90"/>
      <c r="EB52" s="90" t="s">
        <v>199</v>
      </c>
      <c r="EC52" s="90" t="s">
        <v>198</v>
      </c>
      <c r="ED52" s="90" t="s">
        <v>198</v>
      </c>
      <c r="EE52" s="90" t="s">
        <v>198</v>
      </c>
      <c r="EF52" s="90" t="s">
        <v>198</v>
      </c>
      <c r="EG52" s="90" t="s">
        <v>198</v>
      </c>
      <c r="EH52" s="102" t="s">
        <v>198</v>
      </c>
    </row>
    <row r="53" spans="1:138" ht="23.25" customHeight="1" x14ac:dyDescent="0.25">
      <c r="A53" s="98" t="s">
        <v>17</v>
      </c>
      <c r="B53" s="99" t="s">
        <v>193</v>
      </c>
      <c r="C53" s="99" t="s">
        <v>194</v>
      </c>
      <c r="D53" s="99" t="s">
        <v>195</v>
      </c>
      <c r="E53" s="99" t="s">
        <v>195</v>
      </c>
      <c r="F53" s="99" t="s">
        <v>195</v>
      </c>
      <c r="G53" s="99" t="s">
        <v>195</v>
      </c>
      <c r="H53" s="99" t="s">
        <v>30</v>
      </c>
      <c r="I53" s="99" t="s">
        <v>30</v>
      </c>
      <c r="J53" s="99" t="s">
        <v>195</v>
      </c>
      <c r="K53" s="99" t="s">
        <v>195</v>
      </c>
      <c r="L53" s="99" t="s">
        <v>195</v>
      </c>
      <c r="M53" s="99" t="s">
        <v>195</v>
      </c>
      <c r="N53" s="99" t="s">
        <v>195</v>
      </c>
      <c r="O53" s="99" t="s">
        <v>195</v>
      </c>
      <c r="P53" s="99" t="s">
        <v>195</v>
      </c>
      <c r="Q53" s="99" t="s">
        <v>195</v>
      </c>
      <c r="R53" s="99" t="s">
        <v>195</v>
      </c>
      <c r="S53" s="99" t="s">
        <v>195</v>
      </c>
      <c r="T53" s="99"/>
      <c r="U53" s="99" t="s">
        <v>194</v>
      </c>
      <c r="V53" s="99" t="s">
        <v>195</v>
      </c>
      <c r="W53" s="99" t="s">
        <v>195</v>
      </c>
      <c r="X53" s="99" t="s">
        <v>195</v>
      </c>
      <c r="Y53" s="99" t="s">
        <v>195</v>
      </c>
      <c r="Z53" s="99" t="s">
        <v>208</v>
      </c>
      <c r="AA53" s="99" t="s">
        <v>195</v>
      </c>
      <c r="AB53" s="99" t="s">
        <v>195</v>
      </c>
      <c r="AC53" s="99" t="s">
        <v>195</v>
      </c>
      <c r="AD53" s="99" t="s">
        <v>195</v>
      </c>
      <c r="AE53" s="99" t="s">
        <v>198</v>
      </c>
      <c r="AF53" s="99" t="s">
        <v>198</v>
      </c>
      <c r="AG53" s="99" t="s">
        <v>198</v>
      </c>
      <c r="AH53" s="99" t="s">
        <v>198</v>
      </c>
      <c r="AI53" s="99" t="s">
        <v>194</v>
      </c>
      <c r="AJ53" s="99" t="s">
        <v>196</v>
      </c>
      <c r="AK53" s="99" t="s">
        <v>196</v>
      </c>
      <c r="AL53" s="99" t="s">
        <v>196</v>
      </c>
      <c r="AM53" s="99"/>
      <c r="AN53" s="99" t="s">
        <v>194</v>
      </c>
      <c r="AO53" s="99" t="s">
        <v>196</v>
      </c>
      <c r="AP53" s="99" t="s">
        <v>196</v>
      </c>
      <c r="AQ53" s="99" t="s">
        <v>196</v>
      </c>
      <c r="AR53" s="99" t="s">
        <v>196</v>
      </c>
      <c r="AS53" s="99" t="s">
        <v>196</v>
      </c>
      <c r="AT53" s="99" t="s">
        <v>196</v>
      </c>
      <c r="AU53" s="99" t="s">
        <v>196</v>
      </c>
      <c r="AV53" s="99" t="s">
        <v>196</v>
      </c>
      <c r="AW53" s="99" t="s">
        <v>196</v>
      </c>
      <c r="AX53" s="99" t="s">
        <v>195</v>
      </c>
      <c r="AY53" s="99"/>
      <c r="AZ53" s="99" t="s">
        <v>194</v>
      </c>
      <c r="BA53" s="99" t="s">
        <v>194</v>
      </c>
      <c r="BB53" s="99" t="s">
        <v>204</v>
      </c>
      <c r="BC53" s="99" t="s">
        <v>196</v>
      </c>
      <c r="BD53" s="99" t="s">
        <v>196</v>
      </c>
      <c r="BE53" s="99" t="s">
        <v>196</v>
      </c>
      <c r="BF53" s="99" t="s">
        <v>196</v>
      </c>
      <c r="BG53" s="99" t="s">
        <v>196</v>
      </c>
      <c r="BH53" s="99" t="s">
        <v>196</v>
      </c>
      <c r="BI53" s="99" t="s">
        <v>196</v>
      </c>
      <c r="BJ53" s="99" t="s">
        <v>196</v>
      </c>
      <c r="BK53" s="99" t="s">
        <v>196</v>
      </c>
      <c r="BL53" s="99" t="s">
        <v>196</v>
      </c>
      <c r="BM53" s="99" t="s">
        <v>196</v>
      </c>
      <c r="BN53" s="99" t="s">
        <v>196</v>
      </c>
      <c r="BO53" s="99" t="s">
        <v>196</v>
      </c>
      <c r="BP53" s="99" t="s">
        <v>196</v>
      </c>
      <c r="BQ53" s="99" t="s">
        <v>196</v>
      </c>
      <c r="BR53" s="99" t="s">
        <v>196</v>
      </c>
      <c r="BS53" s="99" t="s">
        <v>196</v>
      </c>
      <c r="BT53" s="99"/>
      <c r="BU53" s="99" t="s">
        <v>202</v>
      </c>
      <c r="BV53" s="99" t="s">
        <v>202</v>
      </c>
      <c r="BW53" s="99" t="s">
        <v>202</v>
      </c>
      <c r="BX53" s="99" t="s">
        <v>202</v>
      </c>
      <c r="BY53" s="99" t="s">
        <v>202</v>
      </c>
      <c r="BZ53" s="99" t="s">
        <v>202</v>
      </c>
      <c r="CA53" s="99" t="s">
        <v>202</v>
      </c>
      <c r="CB53" s="99"/>
      <c r="CC53" s="99" t="s">
        <v>205</v>
      </c>
      <c r="CD53" s="99"/>
      <c r="CE53" s="99" t="s">
        <v>194</v>
      </c>
      <c r="CF53" s="99"/>
      <c r="CG53" s="99"/>
      <c r="CH53" s="99"/>
      <c r="CI53" s="99" t="s">
        <v>194</v>
      </c>
      <c r="CJ53" s="99" t="s">
        <v>195</v>
      </c>
      <c r="CK53" s="99" t="s">
        <v>195</v>
      </c>
      <c r="CL53" s="99" t="s">
        <v>195</v>
      </c>
      <c r="CM53" s="99" t="s">
        <v>195</v>
      </c>
      <c r="CN53" s="99" t="s">
        <v>196</v>
      </c>
      <c r="CO53" s="99" t="s">
        <v>196</v>
      </c>
      <c r="CP53" s="99" t="s">
        <v>195</v>
      </c>
      <c r="CQ53" s="99" t="s">
        <v>195</v>
      </c>
      <c r="CR53" s="99" t="s">
        <v>195</v>
      </c>
      <c r="CS53" s="99" t="s">
        <v>195</v>
      </c>
      <c r="CT53" s="99" t="s">
        <v>196</v>
      </c>
      <c r="CU53" s="99" t="s">
        <v>196</v>
      </c>
      <c r="CV53" s="99" t="s">
        <v>196</v>
      </c>
      <c r="CW53" s="99" t="s">
        <v>196</v>
      </c>
      <c r="CX53" s="99" t="s">
        <v>196</v>
      </c>
      <c r="CY53" s="99" t="s">
        <v>196</v>
      </c>
      <c r="CZ53" s="99" t="s">
        <v>196</v>
      </c>
      <c r="DA53" s="99" t="s">
        <v>196</v>
      </c>
      <c r="DB53" s="99" t="s">
        <v>196</v>
      </c>
      <c r="DC53" s="99" t="s">
        <v>196</v>
      </c>
      <c r="DD53" s="99" t="s">
        <v>196</v>
      </c>
      <c r="DE53" s="99" t="s">
        <v>196</v>
      </c>
      <c r="DF53" s="99" t="s">
        <v>196</v>
      </c>
      <c r="DG53" s="99" t="s">
        <v>196</v>
      </c>
      <c r="DH53" s="99" t="s">
        <v>196</v>
      </c>
      <c r="DI53" s="99" t="s">
        <v>196</v>
      </c>
      <c r="DJ53" s="99" t="s">
        <v>196</v>
      </c>
      <c r="DK53" s="99"/>
      <c r="DL53" s="99" t="s">
        <v>199</v>
      </c>
      <c r="DM53" s="99" t="s">
        <v>198</v>
      </c>
      <c r="DN53" s="99" t="s">
        <v>198</v>
      </c>
      <c r="DO53" s="99" t="s">
        <v>198</v>
      </c>
      <c r="DP53" s="99" t="s">
        <v>198</v>
      </c>
      <c r="DQ53" s="99" t="s">
        <v>198</v>
      </c>
      <c r="DR53" s="99" t="s">
        <v>198</v>
      </c>
      <c r="DS53" s="99" t="s">
        <v>198</v>
      </c>
      <c r="DT53" s="99" t="s">
        <v>198</v>
      </c>
      <c r="DU53" s="99" t="s">
        <v>198</v>
      </c>
      <c r="DV53" s="99" t="s">
        <v>198</v>
      </c>
      <c r="DW53" s="99" t="s">
        <v>198</v>
      </c>
      <c r="DX53" s="99" t="s">
        <v>198</v>
      </c>
      <c r="DY53" s="99" t="s">
        <v>198</v>
      </c>
      <c r="DZ53" s="99" t="s">
        <v>198</v>
      </c>
      <c r="EA53" s="99"/>
      <c r="EB53" s="99" t="s">
        <v>194</v>
      </c>
      <c r="EC53" s="99" t="s">
        <v>195</v>
      </c>
      <c r="ED53" s="99" t="s">
        <v>195</v>
      </c>
      <c r="EE53" s="99" t="s">
        <v>195</v>
      </c>
      <c r="EF53" s="99" t="s">
        <v>195</v>
      </c>
      <c r="EG53" s="99" t="s">
        <v>30</v>
      </c>
      <c r="EH53" s="100" t="s">
        <v>30</v>
      </c>
    </row>
    <row r="54" spans="1:138" ht="23.25" customHeight="1" x14ac:dyDescent="0.25">
      <c r="A54" s="101" t="s">
        <v>17</v>
      </c>
      <c r="B54" s="90" t="s">
        <v>193</v>
      </c>
      <c r="C54" s="90" t="s">
        <v>194</v>
      </c>
      <c r="D54" s="90" t="s">
        <v>195</v>
      </c>
      <c r="E54" s="90" t="s">
        <v>195</v>
      </c>
      <c r="F54" s="90" t="s">
        <v>30</v>
      </c>
      <c r="G54" s="90" t="s">
        <v>201</v>
      </c>
      <c r="H54" s="90" t="s">
        <v>201</v>
      </c>
      <c r="I54" s="90" t="s">
        <v>195</v>
      </c>
      <c r="J54" s="90" t="s">
        <v>201</v>
      </c>
      <c r="K54" s="90" t="s">
        <v>201</v>
      </c>
      <c r="L54" s="90" t="s">
        <v>201</v>
      </c>
      <c r="M54" s="90" t="s">
        <v>201</v>
      </c>
      <c r="N54" s="90" t="s">
        <v>201</v>
      </c>
      <c r="O54" s="90" t="s">
        <v>30</v>
      </c>
      <c r="P54" s="90" t="s">
        <v>195</v>
      </c>
      <c r="Q54" s="90" t="s">
        <v>201</v>
      </c>
      <c r="R54" s="90" t="s">
        <v>201</v>
      </c>
      <c r="S54" s="90" t="s">
        <v>195</v>
      </c>
      <c r="T54" s="90"/>
      <c r="U54" s="90" t="s">
        <v>199</v>
      </c>
      <c r="V54" s="90" t="s">
        <v>198</v>
      </c>
      <c r="W54" s="90" t="s">
        <v>198</v>
      </c>
      <c r="X54" s="90" t="s">
        <v>198</v>
      </c>
      <c r="Y54" s="90" t="s">
        <v>198</v>
      </c>
      <c r="Z54" s="90" t="s">
        <v>17</v>
      </c>
      <c r="AA54" s="90" t="s">
        <v>198</v>
      </c>
      <c r="AB54" s="90" t="s">
        <v>198</v>
      </c>
      <c r="AC54" s="90" t="s">
        <v>198</v>
      </c>
      <c r="AD54" s="90" t="s">
        <v>198</v>
      </c>
      <c r="AE54" s="90" t="s">
        <v>198</v>
      </c>
      <c r="AF54" s="90" t="s">
        <v>198</v>
      </c>
      <c r="AG54" s="90" t="s">
        <v>198</v>
      </c>
      <c r="AH54" s="90" t="s">
        <v>198</v>
      </c>
      <c r="AI54" s="90" t="s">
        <v>199</v>
      </c>
      <c r="AJ54" s="90" t="s">
        <v>198</v>
      </c>
      <c r="AK54" s="90" t="s">
        <v>198</v>
      </c>
      <c r="AL54" s="90" t="s">
        <v>198</v>
      </c>
      <c r="AM54" s="90"/>
      <c r="AN54" s="90" t="s">
        <v>199</v>
      </c>
      <c r="AO54" s="90" t="s">
        <v>198</v>
      </c>
      <c r="AP54" s="90" t="s">
        <v>198</v>
      </c>
      <c r="AQ54" s="90" t="s">
        <v>198</v>
      </c>
      <c r="AR54" s="90" t="s">
        <v>198</v>
      </c>
      <c r="AS54" s="90" t="s">
        <v>198</v>
      </c>
      <c r="AT54" s="90" t="s">
        <v>198</v>
      </c>
      <c r="AU54" s="90" t="s">
        <v>198</v>
      </c>
      <c r="AV54" s="90" t="s">
        <v>198</v>
      </c>
      <c r="AW54" s="90" t="s">
        <v>198</v>
      </c>
      <c r="AX54" s="90" t="s">
        <v>198</v>
      </c>
      <c r="AY54" s="90"/>
      <c r="AZ54" s="90" t="s">
        <v>199</v>
      </c>
      <c r="BA54" s="90" t="s">
        <v>199</v>
      </c>
      <c r="BB54" s="90" t="s">
        <v>198</v>
      </c>
      <c r="BC54" s="90" t="s">
        <v>198</v>
      </c>
      <c r="BD54" s="90" t="s">
        <v>198</v>
      </c>
      <c r="BE54" s="90" t="s">
        <v>198</v>
      </c>
      <c r="BF54" s="90" t="s">
        <v>198</v>
      </c>
      <c r="BG54" s="90" t="s">
        <v>198</v>
      </c>
      <c r="BH54" s="90" t="s">
        <v>198</v>
      </c>
      <c r="BI54" s="90" t="s">
        <v>198</v>
      </c>
      <c r="BJ54" s="90" t="s">
        <v>198</v>
      </c>
      <c r="BK54" s="90" t="s">
        <v>198</v>
      </c>
      <c r="BL54" s="90" t="s">
        <v>198</v>
      </c>
      <c r="BM54" s="90" t="s">
        <v>198</v>
      </c>
      <c r="BN54" s="90" t="s">
        <v>198</v>
      </c>
      <c r="BO54" s="90" t="s">
        <v>198</v>
      </c>
      <c r="BP54" s="90" t="s">
        <v>198</v>
      </c>
      <c r="BQ54" s="90" t="s">
        <v>198</v>
      </c>
      <c r="BR54" s="90" t="s">
        <v>198</v>
      </c>
      <c r="BS54" s="90" t="s">
        <v>198</v>
      </c>
      <c r="BT54" s="90"/>
      <c r="BU54" s="90" t="s">
        <v>202</v>
      </c>
      <c r="BV54" s="90" t="s">
        <v>202</v>
      </c>
      <c r="BW54" s="90" t="s">
        <v>202</v>
      </c>
      <c r="BX54" s="90" t="s">
        <v>202</v>
      </c>
      <c r="BY54" s="90" t="s">
        <v>202</v>
      </c>
      <c r="BZ54" s="90" t="s">
        <v>202</v>
      </c>
      <c r="CA54" s="90" t="s">
        <v>202</v>
      </c>
      <c r="CB54" s="90"/>
      <c r="CC54" s="90" t="s">
        <v>206</v>
      </c>
      <c r="CD54" s="90"/>
      <c r="CE54" s="90" t="s">
        <v>194</v>
      </c>
      <c r="CF54" s="90"/>
      <c r="CG54" s="90"/>
      <c r="CH54" s="90"/>
      <c r="CI54" s="90" t="s">
        <v>199</v>
      </c>
      <c r="CJ54" s="90" t="s">
        <v>198</v>
      </c>
      <c r="CK54" s="90" t="s">
        <v>198</v>
      </c>
      <c r="CL54" s="90" t="s">
        <v>198</v>
      </c>
      <c r="CM54" s="90" t="s">
        <v>198</v>
      </c>
      <c r="CN54" s="90" t="s">
        <v>198</v>
      </c>
      <c r="CO54" s="90" t="s">
        <v>198</v>
      </c>
      <c r="CP54" s="90" t="s">
        <v>198</v>
      </c>
      <c r="CQ54" s="90" t="s">
        <v>198</v>
      </c>
      <c r="CR54" s="90" t="s">
        <v>198</v>
      </c>
      <c r="CS54" s="90" t="s">
        <v>198</v>
      </c>
      <c r="CT54" s="90" t="s">
        <v>198</v>
      </c>
      <c r="CU54" s="90" t="s">
        <v>198</v>
      </c>
      <c r="CV54" s="90" t="s">
        <v>198</v>
      </c>
      <c r="CW54" s="90" t="s">
        <v>198</v>
      </c>
      <c r="CX54" s="90" t="s">
        <v>198</v>
      </c>
      <c r="CY54" s="90" t="s">
        <v>198</v>
      </c>
      <c r="CZ54" s="90" t="s">
        <v>198</v>
      </c>
      <c r="DA54" s="90" t="s">
        <v>198</v>
      </c>
      <c r="DB54" s="90" t="s">
        <v>198</v>
      </c>
      <c r="DC54" s="90" t="s">
        <v>198</v>
      </c>
      <c r="DD54" s="90" t="s">
        <v>198</v>
      </c>
      <c r="DE54" s="90" t="s">
        <v>198</v>
      </c>
      <c r="DF54" s="90" t="s">
        <v>198</v>
      </c>
      <c r="DG54" s="90" t="s">
        <v>198</v>
      </c>
      <c r="DH54" s="90" t="s">
        <v>198</v>
      </c>
      <c r="DI54" s="90" t="s">
        <v>198</v>
      </c>
      <c r="DJ54" s="90" t="s">
        <v>198</v>
      </c>
      <c r="DK54" s="90"/>
      <c r="DL54" s="90" t="s">
        <v>199</v>
      </c>
      <c r="DM54" s="90" t="s">
        <v>198</v>
      </c>
      <c r="DN54" s="90" t="s">
        <v>198</v>
      </c>
      <c r="DO54" s="90" t="s">
        <v>198</v>
      </c>
      <c r="DP54" s="90" t="s">
        <v>198</v>
      </c>
      <c r="DQ54" s="90" t="s">
        <v>198</v>
      </c>
      <c r="DR54" s="90" t="s">
        <v>198</v>
      </c>
      <c r="DS54" s="90" t="s">
        <v>198</v>
      </c>
      <c r="DT54" s="90" t="s">
        <v>198</v>
      </c>
      <c r="DU54" s="90" t="s">
        <v>198</v>
      </c>
      <c r="DV54" s="90" t="s">
        <v>198</v>
      </c>
      <c r="DW54" s="90" t="s">
        <v>198</v>
      </c>
      <c r="DX54" s="90" t="s">
        <v>198</v>
      </c>
      <c r="DY54" s="90" t="s">
        <v>198</v>
      </c>
      <c r="DZ54" s="90" t="s">
        <v>198</v>
      </c>
      <c r="EA54" s="90"/>
      <c r="EB54" s="90" t="s">
        <v>199</v>
      </c>
      <c r="EC54" s="90" t="s">
        <v>198</v>
      </c>
      <c r="ED54" s="90" t="s">
        <v>198</v>
      </c>
      <c r="EE54" s="90" t="s">
        <v>198</v>
      </c>
      <c r="EF54" s="90" t="s">
        <v>198</v>
      </c>
      <c r="EG54" s="90" t="s">
        <v>198</v>
      </c>
      <c r="EH54" s="102" t="s">
        <v>198</v>
      </c>
    </row>
    <row r="55" spans="1:138" ht="23.25" customHeight="1" x14ac:dyDescent="0.25">
      <c r="A55" s="101" t="s">
        <v>17</v>
      </c>
      <c r="B55" s="90" t="s">
        <v>193</v>
      </c>
      <c r="C55" s="90" t="s">
        <v>194</v>
      </c>
      <c r="D55" s="90" t="s">
        <v>195</v>
      </c>
      <c r="E55" s="90" t="s">
        <v>195</v>
      </c>
      <c r="F55" s="90" t="s">
        <v>30</v>
      </c>
      <c r="G55" s="90" t="s">
        <v>195</v>
      </c>
      <c r="H55" s="90" t="s">
        <v>195</v>
      </c>
      <c r="I55" s="90" t="s">
        <v>195</v>
      </c>
      <c r="J55" s="90" t="s">
        <v>30</v>
      </c>
      <c r="K55" s="90" t="s">
        <v>195</v>
      </c>
      <c r="L55" s="90" t="s">
        <v>30</v>
      </c>
      <c r="M55" s="90" t="s">
        <v>30</v>
      </c>
      <c r="N55" s="90" t="s">
        <v>30</v>
      </c>
      <c r="O55" s="90" t="s">
        <v>195</v>
      </c>
      <c r="P55" s="90" t="s">
        <v>195</v>
      </c>
      <c r="Q55" s="90" t="s">
        <v>195</v>
      </c>
      <c r="R55" s="90" t="s">
        <v>195</v>
      </c>
      <c r="S55" s="90" t="s">
        <v>195</v>
      </c>
      <c r="T55" s="90"/>
      <c r="U55" s="90" t="s">
        <v>194</v>
      </c>
      <c r="V55" s="90" t="s">
        <v>195</v>
      </c>
      <c r="W55" s="90" t="s">
        <v>30</v>
      </c>
      <c r="X55" s="90" t="s">
        <v>30</v>
      </c>
      <c r="Y55" s="90" t="s">
        <v>195</v>
      </c>
      <c r="Z55" s="90" t="s">
        <v>208</v>
      </c>
      <c r="AA55" s="90" t="s">
        <v>196</v>
      </c>
      <c r="AB55" s="90" t="s">
        <v>195</v>
      </c>
      <c r="AC55" s="90" t="s">
        <v>196</v>
      </c>
      <c r="AD55" s="90" t="s">
        <v>196</v>
      </c>
      <c r="AE55" s="90" t="s">
        <v>198</v>
      </c>
      <c r="AF55" s="90" t="s">
        <v>198</v>
      </c>
      <c r="AG55" s="90" t="s">
        <v>198</v>
      </c>
      <c r="AH55" s="90" t="s">
        <v>198</v>
      </c>
      <c r="AI55" s="90" t="s">
        <v>194</v>
      </c>
      <c r="AJ55" s="90" t="s">
        <v>195</v>
      </c>
      <c r="AK55" s="90" t="s">
        <v>195</v>
      </c>
      <c r="AL55" s="90" t="s">
        <v>195</v>
      </c>
      <c r="AM55" s="90"/>
      <c r="AN55" s="90" t="s">
        <v>194</v>
      </c>
      <c r="AO55" s="90" t="s">
        <v>195</v>
      </c>
      <c r="AP55" s="90" t="s">
        <v>195</v>
      </c>
      <c r="AQ55" s="90" t="s">
        <v>195</v>
      </c>
      <c r="AR55" s="90" t="s">
        <v>195</v>
      </c>
      <c r="AS55" s="90" t="s">
        <v>30</v>
      </c>
      <c r="AT55" s="90" t="s">
        <v>195</v>
      </c>
      <c r="AU55" s="90" t="s">
        <v>30</v>
      </c>
      <c r="AV55" s="90" t="s">
        <v>195</v>
      </c>
      <c r="AW55" s="90" t="s">
        <v>195</v>
      </c>
      <c r="AX55" s="90" t="s">
        <v>195</v>
      </c>
      <c r="AY55" s="90"/>
      <c r="AZ55" s="90" t="s">
        <v>199</v>
      </c>
      <c r="BA55" s="90" t="s">
        <v>199</v>
      </c>
      <c r="BB55" s="90" t="s">
        <v>198</v>
      </c>
      <c r="BC55" s="90" t="s">
        <v>198</v>
      </c>
      <c r="BD55" s="90" t="s">
        <v>198</v>
      </c>
      <c r="BE55" s="90" t="s">
        <v>198</v>
      </c>
      <c r="BF55" s="90" t="s">
        <v>198</v>
      </c>
      <c r="BG55" s="90" t="s">
        <v>198</v>
      </c>
      <c r="BH55" s="90" t="s">
        <v>198</v>
      </c>
      <c r="BI55" s="90" t="s">
        <v>198</v>
      </c>
      <c r="BJ55" s="90" t="s">
        <v>198</v>
      </c>
      <c r="BK55" s="90" t="s">
        <v>198</v>
      </c>
      <c r="BL55" s="90" t="s">
        <v>198</v>
      </c>
      <c r="BM55" s="90" t="s">
        <v>198</v>
      </c>
      <c r="BN55" s="90" t="s">
        <v>198</v>
      </c>
      <c r="BO55" s="90" t="s">
        <v>198</v>
      </c>
      <c r="BP55" s="90" t="s">
        <v>198</v>
      </c>
      <c r="BQ55" s="90" t="s">
        <v>198</v>
      </c>
      <c r="BR55" s="90" t="s">
        <v>198</v>
      </c>
      <c r="BS55" s="90" t="s">
        <v>198</v>
      </c>
      <c r="BT55" s="90"/>
      <c r="BU55" s="90" t="s">
        <v>202</v>
      </c>
      <c r="BV55" s="90" t="s">
        <v>202</v>
      </c>
      <c r="BW55" s="90" t="s">
        <v>202</v>
      </c>
      <c r="BX55" s="90" t="s">
        <v>202</v>
      </c>
      <c r="BY55" s="90" t="s">
        <v>202</v>
      </c>
      <c r="BZ55" s="90" t="s">
        <v>202</v>
      </c>
      <c r="CA55" s="90" t="s">
        <v>202</v>
      </c>
      <c r="CB55" s="90"/>
      <c r="CC55" s="90" t="s">
        <v>200</v>
      </c>
      <c r="CD55" s="90"/>
      <c r="CE55" s="90" t="s">
        <v>194</v>
      </c>
      <c r="CF55" s="90"/>
      <c r="CG55" s="90"/>
      <c r="CH55" s="90"/>
      <c r="CI55" s="90" t="s">
        <v>194</v>
      </c>
      <c r="CJ55" s="90" t="s">
        <v>195</v>
      </c>
      <c r="CK55" s="90" t="s">
        <v>196</v>
      </c>
      <c r="CL55" s="90" t="s">
        <v>196</v>
      </c>
      <c r="CM55" s="90" t="s">
        <v>195</v>
      </c>
      <c r="CN55" s="90" t="s">
        <v>195</v>
      </c>
      <c r="CO55" s="90" t="s">
        <v>195</v>
      </c>
      <c r="CP55" s="90" t="s">
        <v>195</v>
      </c>
      <c r="CQ55" s="90" t="s">
        <v>195</v>
      </c>
      <c r="CR55" s="90" t="s">
        <v>30</v>
      </c>
      <c r="CS55" s="90" t="s">
        <v>196</v>
      </c>
      <c r="CT55" s="90" t="s">
        <v>196</v>
      </c>
      <c r="CU55" s="90" t="s">
        <v>196</v>
      </c>
      <c r="CV55" s="90" t="s">
        <v>196</v>
      </c>
      <c r="CW55" s="90" t="s">
        <v>196</v>
      </c>
      <c r="CX55" s="90" t="s">
        <v>196</v>
      </c>
      <c r="CY55" s="90" t="s">
        <v>196</v>
      </c>
      <c r="CZ55" s="90" t="s">
        <v>196</v>
      </c>
      <c r="DA55" s="90" t="s">
        <v>196</v>
      </c>
      <c r="DB55" s="90" t="s">
        <v>195</v>
      </c>
      <c r="DC55" s="90" t="s">
        <v>195</v>
      </c>
      <c r="DD55" s="90" t="s">
        <v>195</v>
      </c>
      <c r="DE55" s="90" t="s">
        <v>195</v>
      </c>
      <c r="DF55" s="90" t="s">
        <v>195</v>
      </c>
      <c r="DG55" s="90" t="s">
        <v>196</v>
      </c>
      <c r="DH55" s="90" t="s">
        <v>195</v>
      </c>
      <c r="DI55" s="90" t="s">
        <v>195</v>
      </c>
      <c r="DJ55" s="90" t="s">
        <v>195</v>
      </c>
      <c r="DK55" s="90"/>
      <c r="DL55" s="90" t="s">
        <v>199</v>
      </c>
      <c r="DM55" s="90" t="s">
        <v>198</v>
      </c>
      <c r="DN55" s="90" t="s">
        <v>198</v>
      </c>
      <c r="DO55" s="90" t="s">
        <v>198</v>
      </c>
      <c r="DP55" s="90" t="s">
        <v>198</v>
      </c>
      <c r="DQ55" s="90" t="s">
        <v>198</v>
      </c>
      <c r="DR55" s="90" t="s">
        <v>198</v>
      </c>
      <c r="DS55" s="90" t="s">
        <v>198</v>
      </c>
      <c r="DT55" s="90" t="s">
        <v>198</v>
      </c>
      <c r="DU55" s="90" t="s">
        <v>198</v>
      </c>
      <c r="DV55" s="90" t="s">
        <v>198</v>
      </c>
      <c r="DW55" s="90" t="s">
        <v>198</v>
      </c>
      <c r="DX55" s="90" t="s">
        <v>198</v>
      </c>
      <c r="DY55" s="90" t="s">
        <v>198</v>
      </c>
      <c r="DZ55" s="90" t="s">
        <v>198</v>
      </c>
      <c r="EA55" s="90"/>
      <c r="EB55" s="90" t="s">
        <v>199</v>
      </c>
      <c r="EC55" s="90" t="s">
        <v>198</v>
      </c>
      <c r="ED55" s="90" t="s">
        <v>198</v>
      </c>
      <c r="EE55" s="90" t="s">
        <v>198</v>
      </c>
      <c r="EF55" s="90" t="s">
        <v>198</v>
      </c>
      <c r="EG55" s="90" t="s">
        <v>198</v>
      </c>
      <c r="EH55" s="102" t="s">
        <v>198</v>
      </c>
    </row>
    <row r="56" spans="1:138" ht="23.25" customHeight="1" x14ac:dyDescent="0.25">
      <c r="A56" s="98" t="s">
        <v>17</v>
      </c>
      <c r="B56" s="99" t="s">
        <v>193</v>
      </c>
      <c r="C56" s="99" t="s">
        <v>194</v>
      </c>
      <c r="D56" s="99" t="s">
        <v>195</v>
      </c>
      <c r="E56" s="99" t="s">
        <v>30</v>
      </c>
      <c r="F56" s="99" t="s">
        <v>30</v>
      </c>
      <c r="G56" s="99" t="s">
        <v>30</v>
      </c>
      <c r="H56" s="99" t="s">
        <v>195</v>
      </c>
      <c r="I56" s="99" t="s">
        <v>195</v>
      </c>
      <c r="J56" s="99" t="s">
        <v>201</v>
      </c>
      <c r="K56" s="99" t="s">
        <v>201</v>
      </c>
      <c r="L56" s="99" t="s">
        <v>30</v>
      </c>
      <c r="M56" s="99" t="s">
        <v>201</v>
      </c>
      <c r="N56" s="99" t="s">
        <v>30</v>
      </c>
      <c r="O56" s="99" t="s">
        <v>195</v>
      </c>
      <c r="P56" s="99" t="s">
        <v>30</v>
      </c>
      <c r="Q56" s="99" t="s">
        <v>30</v>
      </c>
      <c r="R56" s="99" t="s">
        <v>30</v>
      </c>
      <c r="S56" s="99" t="s">
        <v>30</v>
      </c>
      <c r="T56" s="99"/>
      <c r="U56" s="99" t="s">
        <v>194</v>
      </c>
      <c r="V56" s="99" t="s">
        <v>204</v>
      </c>
      <c r="W56" s="99" t="s">
        <v>30</v>
      </c>
      <c r="X56" s="99" t="s">
        <v>30</v>
      </c>
      <c r="Y56" s="99" t="s">
        <v>30</v>
      </c>
      <c r="Z56" s="99" t="s">
        <v>208</v>
      </c>
      <c r="AA56" s="99" t="s">
        <v>30</v>
      </c>
      <c r="AB56" s="99" t="s">
        <v>30</v>
      </c>
      <c r="AC56" s="99" t="s">
        <v>204</v>
      </c>
      <c r="AD56" s="99" t="s">
        <v>204</v>
      </c>
      <c r="AE56" s="99" t="s">
        <v>198</v>
      </c>
      <c r="AF56" s="99" t="s">
        <v>198</v>
      </c>
      <c r="AG56" s="99" t="s">
        <v>198</v>
      </c>
      <c r="AH56" s="99" t="s">
        <v>198</v>
      </c>
      <c r="AI56" s="99" t="s">
        <v>194</v>
      </c>
      <c r="AJ56" s="99" t="s">
        <v>195</v>
      </c>
      <c r="AK56" s="99" t="s">
        <v>195</v>
      </c>
      <c r="AL56" s="99" t="s">
        <v>195</v>
      </c>
      <c r="AM56" s="99"/>
      <c r="AN56" s="99" t="s">
        <v>199</v>
      </c>
      <c r="AO56" s="99" t="s">
        <v>198</v>
      </c>
      <c r="AP56" s="99" t="s">
        <v>198</v>
      </c>
      <c r="AQ56" s="99" t="s">
        <v>198</v>
      </c>
      <c r="AR56" s="99" t="s">
        <v>198</v>
      </c>
      <c r="AS56" s="99" t="s">
        <v>198</v>
      </c>
      <c r="AT56" s="99" t="s">
        <v>198</v>
      </c>
      <c r="AU56" s="99" t="s">
        <v>198</v>
      </c>
      <c r="AV56" s="99" t="s">
        <v>198</v>
      </c>
      <c r="AW56" s="99" t="s">
        <v>198</v>
      </c>
      <c r="AX56" s="99" t="s">
        <v>198</v>
      </c>
      <c r="AY56" s="99"/>
      <c r="AZ56" s="99" t="s">
        <v>194</v>
      </c>
      <c r="BA56" s="99" t="s">
        <v>199</v>
      </c>
      <c r="BB56" s="99" t="s">
        <v>198</v>
      </c>
      <c r="BC56" s="99" t="s">
        <v>201</v>
      </c>
      <c r="BD56" s="99" t="s">
        <v>201</v>
      </c>
      <c r="BE56" s="99" t="s">
        <v>201</v>
      </c>
      <c r="BF56" s="99" t="s">
        <v>201</v>
      </c>
      <c r="BG56" s="99" t="s">
        <v>201</v>
      </c>
      <c r="BH56" s="99" t="s">
        <v>201</v>
      </c>
      <c r="BI56" s="99" t="s">
        <v>201</v>
      </c>
      <c r="BJ56" s="99" t="s">
        <v>201</v>
      </c>
      <c r="BK56" s="99" t="s">
        <v>201</v>
      </c>
      <c r="BL56" s="99" t="s">
        <v>195</v>
      </c>
      <c r="BM56" s="99" t="s">
        <v>195</v>
      </c>
      <c r="BN56" s="99" t="s">
        <v>201</v>
      </c>
      <c r="BO56" s="99" t="s">
        <v>201</v>
      </c>
      <c r="BP56" s="99" t="s">
        <v>201</v>
      </c>
      <c r="BQ56" s="99" t="s">
        <v>201</v>
      </c>
      <c r="BR56" s="99" t="s">
        <v>201</v>
      </c>
      <c r="BS56" s="99" t="s">
        <v>201</v>
      </c>
      <c r="BT56" s="99"/>
      <c r="BU56" s="99" t="s">
        <v>202</v>
      </c>
      <c r="BV56" s="99" t="s">
        <v>202</v>
      </c>
      <c r="BW56" s="99" t="s">
        <v>202</v>
      </c>
      <c r="BX56" s="99" t="s">
        <v>202</v>
      </c>
      <c r="BY56" s="99" t="s">
        <v>202</v>
      </c>
      <c r="BZ56" s="99" t="s">
        <v>202</v>
      </c>
      <c r="CA56" s="99" t="s">
        <v>202</v>
      </c>
      <c r="CB56" s="99"/>
      <c r="CC56" s="99" t="s">
        <v>200</v>
      </c>
      <c r="CD56" s="99"/>
      <c r="CE56" s="99" t="s">
        <v>194</v>
      </c>
      <c r="CF56" s="99"/>
      <c r="CG56" s="99"/>
      <c r="CH56" s="99"/>
      <c r="CI56" s="99" t="s">
        <v>194</v>
      </c>
      <c r="CJ56" s="99" t="s">
        <v>195</v>
      </c>
      <c r="CK56" s="99" t="s">
        <v>195</v>
      </c>
      <c r="CL56" s="99" t="s">
        <v>195</v>
      </c>
      <c r="CM56" s="99" t="s">
        <v>195</v>
      </c>
      <c r="CN56" s="99" t="s">
        <v>195</v>
      </c>
      <c r="CO56" s="99" t="s">
        <v>195</v>
      </c>
      <c r="CP56" s="99" t="s">
        <v>195</v>
      </c>
      <c r="CQ56" s="99" t="s">
        <v>196</v>
      </c>
      <c r="CR56" s="99" t="s">
        <v>195</v>
      </c>
      <c r="CS56" s="99" t="s">
        <v>195</v>
      </c>
      <c r="CT56" s="99" t="s">
        <v>196</v>
      </c>
      <c r="CU56" s="99" t="s">
        <v>196</v>
      </c>
      <c r="CV56" s="99" t="s">
        <v>195</v>
      </c>
      <c r="CW56" s="99" t="s">
        <v>195</v>
      </c>
      <c r="CX56" s="99" t="s">
        <v>195</v>
      </c>
      <c r="CY56" s="99" t="s">
        <v>195</v>
      </c>
      <c r="CZ56" s="99" t="s">
        <v>195</v>
      </c>
      <c r="DA56" s="99" t="s">
        <v>195</v>
      </c>
      <c r="DB56" s="99" t="s">
        <v>195</v>
      </c>
      <c r="DC56" s="99" t="s">
        <v>195</v>
      </c>
      <c r="DD56" s="99" t="s">
        <v>195</v>
      </c>
      <c r="DE56" s="99" t="s">
        <v>195</v>
      </c>
      <c r="DF56" s="99" t="s">
        <v>195</v>
      </c>
      <c r="DG56" s="99" t="s">
        <v>195</v>
      </c>
      <c r="DH56" s="99" t="s">
        <v>195</v>
      </c>
      <c r="DI56" s="99" t="s">
        <v>195</v>
      </c>
      <c r="DJ56" s="99" t="s">
        <v>195</v>
      </c>
      <c r="DK56" s="99"/>
      <c r="DL56" s="99" t="s">
        <v>194</v>
      </c>
      <c r="DM56" s="99" t="s">
        <v>195</v>
      </c>
      <c r="DN56" s="99" t="s">
        <v>195</v>
      </c>
      <c r="DO56" s="99" t="s">
        <v>195</v>
      </c>
      <c r="DP56" s="99" t="s">
        <v>195</v>
      </c>
      <c r="DQ56" s="99" t="s">
        <v>195</v>
      </c>
      <c r="DR56" s="99" t="s">
        <v>195</v>
      </c>
      <c r="DS56" s="99" t="s">
        <v>195</v>
      </c>
      <c r="DT56" s="99" t="s">
        <v>195</v>
      </c>
      <c r="DU56" s="99" t="s">
        <v>195</v>
      </c>
      <c r="DV56" s="99" t="s">
        <v>195</v>
      </c>
      <c r="DW56" s="99" t="s">
        <v>195</v>
      </c>
      <c r="DX56" s="99" t="s">
        <v>195</v>
      </c>
      <c r="DY56" s="99" t="s">
        <v>195</v>
      </c>
      <c r="DZ56" s="99" t="s">
        <v>195</v>
      </c>
      <c r="EA56" s="99"/>
      <c r="EB56" s="99" t="s">
        <v>194</v>
      </c>
      <c r="EC56" s="99" t="s">
        <v>207</v>
      </c>
      <c r="ED56" s="99" t="s">
        <v>201</v>
      </c>
      <c r="EE56" s="99" t="s">
        <v>201</v>
      </c>
      <c r="EF56" s="99" t="s">
        <v>195</v>
      </c>
      <c r="EG56" s="99" t="s">
        <v>207</v>
      </c>
      <c r="EH56" s="100" t="s">
        <v>207</v>
      </c>
    </row>
    <row r="57" spans="1:138" ht="23.25" customHeight="1" x14ac:dyDescent="0.25">
      <c r="A57" s="101" t="s">
        <v>17</v>
      </c>
      <c r="B57" s="90" t="s">
        <v>193</v>
      </c>
      <c r="C57" s="90" t="s">
        <v>194</v>
      </c>
      <c r="D57" s="90" t="s">
        <v>195</v>
      </c>
      <c r="E57" s="90" t="s">
        <v>195</v>
      </c>
      <c r="F57" s="90" t="s">
        <v>195</v>
      </c>
      <c r="G57" s="90" t="s">
        <v>195</v>
      </c>
      <c r="H57" s="90" t="s">
        <v>195</v>
      </c>
      <c r="I57" s="90" t="s">
        <v>195</v>
      </c>
      <c r="J57" s="90" t="s">
        <v>30</v>
      </c>
      <c r="K57" s="90" t="s">
        <v>195</v>
      </c>
      <c r="L57" s="90" t="s">
        <v>30</v>
      </c>
      <c r="M57" s="90" t="s">
        <v>30</v>
      </c>
      <c r="N57" s="90" t="s">
        <v>195</v>
      </c>
      <c r="O57" s="90" t="s">
        <v>30</v>
      </c>
      <c r="P57" s="90" t="s">
        <v>30</v>
      </c>
      <c r="Q57" s="90" t="s">
        <v>30</v>
      </c>
      <c r="R57" s="90" t="s">
        <v>30</v>
      </c>
      <c r="S57" s="90" t="s">
        <v>30</v>
      </c>
      <c r="T57" s="90"/>
      <c r="U57" s="90" t="s">
        <v>194</v>
      </c>
      <c r="V57" s="90" t="s">
        <v>30</v>
      </c>
      <c r="W57" s="90" t="s">
        <v>30</v>
      </c>
      <c r="X57" s="90" t="s">
        <v>30</v>
      </c>
      <c r="Y57" s="90" t="s">
        <v>30</v>
      </c>
      <c r="Z57" s="90" t="s">
        <v>208</v>
      </c>
      <c r="AA57" s="90" t="s">
        <v>30</v>
      </c>
      <c r="AB57" s="90" t="s">
        <v>201</v>
      </c>
      <c r="AC57" s="90" t="s">
        <v>195</v>
      </c>
      <c r="AD57" s="90" t="s">
        <v>201</v>
      </c>
      <c r="AE57" s="90" t="s">
        <v>198</v>
      </c>
      <c r="AF57" s="90" t="s">
        <v>198</v>
      </c>
      <c r="AG57" s="90" t="s">
        <v>198</v>
      </c>
      <c r="AH57" s="90" t="s">
        <v>198</v>
      </c>
      <c r="AI57" s="90" t="s">
        <v>194</v>
      </c>
      <c r="AJ57" s="90" t="s">
        <v>196</v>
      </c>
      <c r="AK57" s="90" t="s">
        <v>195</v>
      </c>
      <c r="AL57" s="90" t="s">
        <v>30</v>
      </c>
      <c r="AM57" s="90"/>
      <c r="AN57" s="90" t="s">
        <v>194</v>
      </c>
      <c r="AO57" s="90" t="s">
        <v>204</v>
      </c>
      <c r="AP57" s="90" t="s">
        <v>30</v>
      </c>
      <c r="AQ57" s="90" t="s">
        <v>30</v>
      </c>
      <c r="AR57" s="90" t="s">
        <v>30</v>
      </c>
      <c r="AS57" s="90" t="s">
        <v>204</v>
      </c>
      <c r="AT57" s="90" t="s">
        <v>195</v>
      </c>
      <c r="AU57" s="90" t="s">
        <v>195</v>
      </c>
      <c r="AV57" s="90" t="s">
        <v>195</v>
      </c>
      <c r="AW57" s="90" t="s">
        <v>195</v>
      </c>
      <c r="AX57" s="90" t="s">
        <v>204</v>
      </c>
      <c r="AY57" s="90"/>
      <c r="AZ57" s="90" t="s">
        <v>199</v>
      </c>
      <c r="BA57" s="90" t="s">
        <v>199</v>
      </c>
      <c r="BB57" s="90" t="s">
        <v>198</v>
      </c>
      <c r="BC57" s="90" t="s">
        <v>198</v>
      </c>
      <c r="BD57" s="90" t="s">
        <v>198</v>
      </c>
      <c r="BE57" s="90" t="s">
        <v>198</v>
      </c>
      <c r="BF57" s="90" t="s">
        <v>198</v>
      </c>
      <c r="BG57" s="90" t="s">
        <v>198</v>
      </c>
      <c r="BH57" s="90" t="s">
        <v>198</v>
      </c>
      <c r="BI57" s="90" t="s">
        <v>198</v>
      </c>
      <c r="BJ57" s="90" t="s">
        <v>198</v>
      </c>
      <c r="BK57" s="90" t="s">
        <v>198</v>
      </c>
      <c r="BL57" s="90" t="s">
        <v>198</v>
      </c>
      <c r="BM57" s="90" t="s">
        <v>198</v>
      </c>
      <c r="BN57" s="90" t="s">
        <v>198</v>
      </c>
      <c r="BO57" s="90" t="s">
        <v>198</v>
      </c>
      <c r="BP57" s="90" t="s">
        <v>198</v>
      </c>
      <c r="BQ57" s="90" t="s">
        <v>198</v>
      </c>
      <c r="BR57" s="90" t="s">
        <v>198</v>
      </c>
      <c r="BS57" s="90" t="s">
        <v>198</v>
      </c>
      <c r="BT57" s="90"/>
      <c r="BU57" s="90" t="s">
        <v>202</v>
      </c>
      <c r="BV57" s="90" t="s">
        <v>202</v>
      </c>
      <c r="BW57" s="90" t="s">
        <v>202</v>
      </c>
      <c r="BX57" s="90" t="s">
        <v>202</v>
      </c>
      <c r="BY57" s="90" t="s">
        <v>202</v>
      </c>
      <c r="BZ57" s="90" t="s">
        <v>202</v>
      </c>
      <c r="CA57" s="90" t="s">
        <v>202</v>
      </c>
      <c r="CB57" s="90"/>
      <c r="CC57" s="90" t="s">
        <v>205</v>
      </c>
      <c r="CD57" s="90"/>
      <c r="CE57" s="90" t="s">
        <v>194</v>
      </c>
      <c r="CF57" s="90"/>
      <c r="CG57" s="90"/>
      <c r="CH57" s="90"/>
      <c r="CI57" s="90" t="s">
        <v>194</v>
      </c>
      <c r="CJ57" s="90" t="s">
        <v>195</v>
      </c>
      <c r="CK57" s="90" t="s">
        <v>204</v>
      </c>
      <c r="CL57" s="90" t="s">
        <v>201</v>
      </c>
      <c r="CM57" s="90" t="s">
        <v>195</v>
      </c>
      <c r="CN57" s="90" t="s">
        <v>201</v>
      </c>
      <c r="CO57" s="90" t="s">
        <v>30</v>
      </c>
      <c r="CP57" s="90" t="s">
        <v>195</v>
      </c>
      <c r="CQ57" s="90" t="s">
        <v>195</v>
      </c>
      <c r="CR57" s="90" t="s">
        <v>204</v>
      </c>
      <c r="CS57" s="90" t="s">
        <v>195</v>
      </c>
      <c r="CT57" s="90" t="s">
        <v>195</v>
      </c>
      <c r="CU57" s="90" t="s">
        <v>195</v>
      </c>
      <c r="CV57" s="90" t="s">
        <v>30</v>
      </c>
      <c r="CW57" s="90" t="s">
        <v>195</v>
      </c>
      <c r="CX57" s="90" t="s">
        <v>204</v>
      </c>
      <c r="CY57" s="90" t="s">
        <v>195</v>
      </c>
      <c r="CZ57" s="90" t="s">
        <v>195</v>
      </c>
      <c r="DA57" s="90" t="s">
        <v>195</v>
      </c>
      <c r="DB57" s="90" t="s">
        <v>195</v>
      </c>
      <c r="DC57" s="90" t="s">
        <v>195</v>
      </c>
      <c r="DD57" s="90" t="s">
        <v>195</v>
      </c>
      <c r="DE57" s="90" t="s">
        <v>195</v>
      </c>
      <c r="DF57" s="90" t="s">
        <v>195</v>
      </c>
      <c r="DG57" s="90" t="s">
        <v>195</v>
      </c>
      <c r="DH57" s="90" t="s">
        <v>195</v>
      </c>
      <c r="DI57" s="90" t="s">
        <v>195</v>
      </c>
      <c r="DJ57" s="90" t="s">
        <v>195</v>
      </c>
      <c r="DK57" s="90"/>
      <c r="DL57" s="90" t="s">
        <v>199</v>
      </c>
      <c r="DM57" s="90" t="s">
        <v>198</v>
      </c>
      <c r="DN57" s="90" t="s">
        <v>198</v>
      </c>
      <c r="DO57" s="90" t="s">
        <v>198</v>
      </c>
      <c r="DP57" s="90" t="s">
        <v>198</v>
      </c>
      <c r="DQ57" s="90" t="s">
        <v>198</v>
      </c>
      <c r="DR57" s="90" t="s">
        <v>198</v>
      </c>
      <c r="DS57" s="90" t="s">
        <v>198</v>
      </c>
      <c r="DT57" s="90" t="s">
        <v>198</v>
      </c>
      <c r="DU57" s="90" t="s">
        <v>198</v>
      </c>
      <c r="DV57" s="90" t="s">
        <v>198</v>
      </c>
      <c r="DW57" s="90" t="s">
        <v>198</v>
      </c>
      <c r="DX57" s="90" t="s">
        <v>198</v>
      </c>
      <c r="DY57" s="90" t="s">
        <v>198</v>
      </c>
      <c r="DZ57" s="90" t="s">
        <v>198</v>
      </c>
      <c r="EA57" s="90"/>
      <c r="EB57" s="90" t="s">
        <v>194</v>
      </c>
      <c r="EC57" s="90" t="s">
        <v>30</v>
      </c>
      <c r="ED57" s="90" t="s">
        <v>201</v>
      </c>
      <c r="EE57" s="90" t="s">
        <v>201</v>
      </c>
      <c r="EF57" s="90" t="s">
        <v>195</v>
      </c>
      <c r="EG57" s="90" t="s">
        <v>195</v>
      </c>
      <c r="EH57" s="102" t="s">
        <v>201</v>
      </c>
    </row>
    <row r="58" spans="1:138" ht="23.25" customHeight="1" x14ac:dyDescent="0.25">
      <c r="A58" s="98" t="s">
        <v>17</v>
      </c>
      <c r="B58" s="99" t="s">
        <v>193</v>
      </c>
      <c r="C58" s="99" t="s">
        <v>194</v>
      </c>
      <c r="D58" s="99" t="s">
        <v>30</v>
      </c>
      <c r="E58" s="99" t="s">
        <v>30</v>
      </c>
      <c r="F58" s="99" t="s">
        <v>30</v>
      </c>
      <c r="G58" s="99" t="s">
        <v>30</v>
      </c>
      <c r="H58" s="99" t="s">
        <v>30</v>
      </c>
      <c r="I58" s="99" t="s">
        <v>30</v>
      </c>
      <c r="J58" s="99" t="s">
        <v>30</v>
      </c>
      <c r="K58" s="99" t="s">
        <v>30</v>
      </c>
      <c r="L58" s="99" t="s">
        <v>30</v>
      </c>
      <c r="M58" s="99" t="s">
        <v>30</v>
      </c>
      <c r="N58" s="99" t="s">
        <v>30</v>
      </c>
      <c r="O58" s="99" t="s">
        <v>30</v>
      </c>
      <c r="P58" s="99" t="s">
        <v>30</v>
      </c>
      <c r="Q58" s="99" t="s">
        <v>30</v>
      </c>
      <c r="R58" s="99" t="s">
        <v>30</v>
      </c>
      <c r="S58" s="99" t="s">
        <v>204</v>
      </c>
      <c r="T58" s="99"/>
      <c r="U58" s="99" t="s">
        <v>194</v>
      </c>
      <c r="V58" s="99" t="s">
        <v>30</v>
      </c>
      <c r="W58" s="99" t="s">
        <v>30</v>
      </c>
      <c r="X58" s="99" t="s">
        <v>30</v>
      </c>
      <c r="Y58" s="99" t="s">
        <v>30</v>
      </c>
      <c r="Z58" s="99" t="s">
        <v>208</v>
      </c>
      <c r="AA58" s="99" t="s">
        <v>30</v>
      </c>
      <c r="AB58" s="99" t="s">
        <v>30</v>
      </c>
      <c r="AC58" s="99" t="s">
        <v>30</v>
      </c>
      <c r="AD58" s="99" t="s">
        <v>30</v>
      </c>
      <c r="AE58" s="99" t="s">
        <v>198</v>
      </c>
      <c r="AF58" s="99" t="s">
        <v>198</v>
      </c>
      <c r="AG58" s="99" t="s">
        <v>198</v>
      </c>
      <c r="AH58" s="99" t="s">
        <v>198</v>
      </c>
      <c r="AI58" s="99" t="s">
        <v>199</v>
      </c>
      <c r="AJ58" s="99" t="s">
        <v>198</v>
      </c>
      <c r="AK58" s="99" t="s">
        <v>198</v>
      </c>
      <c r="AL58" s="99" t="s">
        <v>198</v>
      </c>
      <c r="AM58" s="99"/>
      <c r="AN58" s="99" t="s">
        <v>199</v>
      </c>
      <c r="AO58" s="99" t="s">
        <v>198</v>
      </c>
      <c r="AP58" s="99" t="s">
        <v>198</v>
      </c>
      <c r="AQ58" s="99" t="s">
        <v>198</v>
      </c>
      <c r="AR58" s="99" t="s">
        <v>198</v>
      </c>
      <c r="AS58" s="99" t="s">
        <v>198</v>
      </c>
      <c r="AT58" s="99" t="s">
        <v>198</v>
      </c>
      <c r="AU58" s="99" t="s">
        <v>198</v>
      </c>
      <c r="AV58" s="99" t="s">
        <v>198</v>
      </c>
      <c r="AW58" s="99" t="s">
        <v>198</v>
      </c>
      <c r="AX58" s="99" t="s">
        <v>198</v>
      </c>
      <c r="AY58" s="99"/>
      <c r="AZ58" s="99" t="s">
        <v>199</v>
      </c>
      <c r="BA58" s="99" t="s">
        <v>199</v>
      </c>
      <c r="BB58" s="99" t="s">
        <v>198</v>
      </c>
      <c r="BC58" s="99" t="s">
        <v>198</v>
      </c>
      <c r="BD58" s="99" t="s">
        <v>198</v>
      </c>
      <c r="BE58" s="99" t="s">
        <v>198</v>
      </c>
      <c r="BF58" s="99" t="s">
        <v>198</v>
      </c>
      <c r="BG58" s="99" t="s">
        <v>198</v>
      </c>
      <c r="BH58" s="99" t="s">
        <v>198</v>
      </c>
      <c r="BI58" s="99" t="s">
        <v>198</v>
      </c>
      <c r="BJ58" s="99" t="s">
        <v>198</v>
      </c>
      <c r="BK58" s="99" t="s">
        <v>198</v>
      </c>
      <c r="BL58" s="99" t="s">
        <v>198</v>
      </c>
      <c r="BM58" s="99" t="s">
        <v>198</v>
      </c>
      <c r="BN58" s="99" t="s">
        <v>198</v>
      </c>
      <c r="BO58" s="99" t="s">
        <v>198</v>
      </c>
      <c r="BP58" s="99" t="s">
        <v>198</v>
      </c>
      <c r="BQ58" s="99" t="s">
        <v>198</v>
      </c>
      <c r="BR58" s="99" t="s">
        <v>198</v>
      </c>
      <c r="BS58" s="99" t="s">
        <v>198</v>
      </c>
      <c r="BT58" s="99"/>
      <c r="BU58" s="99" t="s">
        <v>30</v>
      </c>
      <c r="BV58" s="99" t="s">
        <v>30</v>
      </c>
      <c r="BW58" s="99" t="s">
        <v>30</v>
      </c>
      <c r="BX58" s="99" t="s">
        <v>30</v>
      </c>
      <c r="BY58" s="99" t="s">
        <v>30</v>
      </c>
      <c r="BZ58" s="99" t="s">
        <v>30</v>
      </c>
      <c r="CA58" s="99" t="s">
        <v>30</v>
      </c>
      <c r="CB58" s="99"/>
      <c r="CC58" s="99" t="s">
        <v>200</v>
      </c>
      <c r="CD58" s="99"/>
      <c r="CE58" s="99" t="s">
        <v>194</v>
      </c>
      <c r="CF58" s="99"/>
      <c r="CG58" s="99"/>
      <c r="CH58" s="99"/>
      <c r="CI58" s="99" t="s">
        <v>194</v>
      </c>
      <c r="CJ58" s="99" t="s">
        <v>195</v>
      </c>
      <c r="CK58" s="99" t="s">
        <v>195</v>
      </c>
      <c r="CL58" s="99" t="s">
        <v>195</v>
      </c>
      <c r="CM58" s="99" t="s">
        <v>195</v>
      </c>
      <c r="CN58" s="99" t="s">
        <v>195</v>
      </c>
      <c r="CO58" s="99" t="s">
        <v>195</v>
      </c>
      <c r="CP58" s="99" t="s">
        <v>196</v>
      </c>
      <c r="CQ58" s="99" t="s">
        <v>196</v>
      </c>
      <c r="CR58" s="99" t="s">
        <v>30</v>
      </c>
      <c r="CS58" s="99" t="s">
        <v>195</v>
      </c>
      <c r="CT58" s="99" t="s">
        <v>195</v>
      </c>
      <c r="CU58" s="99" t="s">
        <v>195</v>
      </c>
      <c r="CV58" s="99" t="s">
        <v>195</v>
      </c>
      <c r="CW58" s="99" t="s">
        <v>195</v>
      </c>
      <c r="CX58" s="99" t="s">
        <v>195</v>
      </c>
      <c r="CY58" s="99" t="s">
        <v>195</v>
      </c>
      <c r="CZ58" s="99" t="s">
        <v>195</v>
      </c>
      <c r="DA58" s="99" t="s">
        <v>195</v>
      </c>
      <c r="DB58" s="99" t="s">
        <v>195</v>
      </c>
      <c r="DC58" s="99" t="s">
        <v>195</v>
      </c>
      <c r="DD58" s="99" t="s">
        <v>195</v>
      </c>
      <c r="DE58" s="99" t="s">
        <v>195</v>
      </c>
      <c r="DF58" s="99" t="s">
        <v>195</v>
      </c>
      <c r="DG58" s="99" t="s">
        <v>195</v>
      </c>
      <c r="DH58" s="99" t="s">
        <v>195</v>
      </c>
      <c r="DI58" s="99" t="s">
        <v>195</v>
      </c>
      <c r="DJ58" s="99" t="s">
        <v>195</v>
      </c>
      <c r="DK58" s="99"/>
      <c r="DL58" s="99" t="s">
        <v>199</v>
      </c>
      <c r="DM58" s="99" t="s">
        <v>198</v>
      </c>
      <c r="DN58" s="99" t="s">
        <v>198</v>
      </c>
      <c r="DO58" s="99" t="s">
        <v>198</v>
      </c>
      <c r="DP58" s="99" t="s">
        <v>198</v>
      </c>
      <c r="DQ58" s="99" t="s">
        <v>198</v>
      </c>
      <c r="DR58" s="99" t="s">
        <v>198</v>
      </c>
      <c r="DS58" s="99" t="s">
        <v>198</v>
      </c>
      <c r="DT58" s="99" t="s">
        <v>198</v>
      </c>
      <c r="DU58" s="99" t="s">
        <v>198</v>
      </c>
      <c r="DV58" s="99" t="s">
        <v>198</v>
      </c>
      <c r="DW58" s="99" t="s">
        <v>198</v>
      </c>
      <c r="DX58" s="99" t="s">
        <v>198</v>
      </c>
      <c r="DY58" s="99" t="s">
        <v>198</v>
      </c>
      <c r="DZ58" s="99" t="s">
        <v>198</v>
      </c>
      <c r="EA58" s="99"/>
      <c r="EB58" s="99" t="s">
        <v>199</v>
      </c>
      <c r="EC58" s="99" t="s">
        <v>198</v>
      </c>
      <c r="ED58" s="99" t="s">
        <v>198</v>
      </c>
      <c r="EE58" s="99" t="s">
        <v>198</v>
      </c>
      <c r="EF58" s="99" t="s">
        <v>198</v>
      </c>
      <c r="EG58" s="99" t="s">
        <v>198</v>
      </c>
      <c r="EH58" s="100" t="s">
        <v>198</v>
      </c>
    </row>
    <row r="59" spans="1:138" ht="23.25" customHeight="1" x14ac:dyDescent="0.25">
      <c r="A59" s="101" t="s">
        <v>17</v>
      </c>
      <c r="B59" s="90" t="s">
        <v>193</v>
      </c>
      <c r="C59" s="90" t="s">
        <v>194</v>
      </c>
      <c r="D59" s="90" t="s">
        <v>195</v>
      </c>
      <c r="E59" s="90" t="s">
        <v>30</v>
      </c>
      <c r="F59" s="90" t="s">
        <v>195</v>
      </c>
      <c r="G59" s="90" t="s">
        <v>30</v>
      </c>
      <c r="H59" s="90" t="s">
        <v>195</v>
      </c>
      <c r="I59" s="90" t="s">
        <v>195</v>
      </c>
      <c r="J59" s="90" t="s">
        <v>195</v>
      </c>
      <c r="K59" s="90" t="s">
        <v>195</v>
      </c>
      <c r="L59" s="90" t="s">
        <v>30</v>
      </c>
      <c r="M59" s="90" t="s">
        <v>30</v>
      </c>
      <c r="N59" s="90" t="s">
        <v>30</v>
      </c>
      <c r="O59" s="90" t="s">
        <v>195</v>
      </c>
      <c r="P59" s="90" t="s">
        <v>201</v>
      </c>
      <c r="Q59" s="90" t="s">
        <v>201</v>
      </c>
      <c r="R59" s="90" t="s">
        <v>30</v>
      </c>
      <c r="S59" s="90" t="s">
        <v>195</v>
      </c>
      <c r="T59" s="90"/>
      <c r="U59" s="90" t="s">
        <v>194</v>
      </c>
      <c r="V59" s="90" t="s">
        <v>30</v>
      </c>
      <c r="W59" s="90" t="s">
        <v>195</v>
      </c>
      <c r="X59" s="90" t="s">
        <v>195</v>
      </c>
      <c r="Y59" s="90" t="s">
        <v>195</v>
      </c>
      <c r="Z59" s="90" t="s">
        <v>208</v>
      </c>
      <c r="AA59" s="90" t="s">
        <v>30</v>
      </c>
      <c r="AB59" s="90" t="s">
        <v>30</v>
      </c>
      <c r="AC59" s="90" t="s">
        <v>30</v>
      </c>
      <c r="AD59" s="90" t="s">
        <v>30</v>
      </c>
      <c r="AE59" s="90" t="s">
        <v>198</v>
      </c>
      <c r="AF59" s="90" t="s">
        <v>198</v>
      </c>
      <c r="AG59" s="90" t="s">
        <v>198</v>
      </c>
      <c r="AH59" s="90" t="s">
        <v>198</v>
      </c>
      <c r="AI59" s="90" t="s">
        <v>194</v>
      </c>
      <c r="AJ59" s="90" t="s">
        <v>195</v>
      </c>
      <c r="AK59" s="90" t="s">
        <v>195</v>
      </c>
      <c r="AL59" s="90" t="s">
        <v>195</v>
      </c>
      <c r="AM59" s="90"/>
      <c r="AN59" s="90" t="s">
        <v>194</v>
      </c>
      <c r="AO59" s="90" t="s">
        <v>195</v>
      </c>
      <c r="AP59" s="90" t="s">
        <v>195</v>
      </c>
      <c r="AQ59" s="90" t="s">
        <v>195</v>
      </c>
      <c r="AR59" s="90" t="s">
        <v>195</v>
      </c>
      <c r="AS59" s="90" t="s">
        <v>195</v>
      </c>
      <c r="AT59" s="90" t="s">
        <v>195</v>
      </c>
      <c r="AU59" s="90" t="s">
        <v>195</v>
      </c>
      <c r="AV59" s="90" t="s">
        <v>195</v>
      </c>
      <c r="AW59" s="90" t="s">
        <v>195</v>
      </c>
      <c r="AX59" s="90" t="s">
        <v>195</v>
      </c>
      <c r="AY59" s="90"/>
      <c r="AZ59" s="90" t="s">
        <v>194</v>
      </c>
      <c r="BA59" s="90" t="s">
        <v>194</v>
      </c>
      <c r="BB59" s="90" t="s">
        <v>195</v>
      </c>
      <c r="BC59" s="90" t="s">
        <v>195</v>
      </c>
      <c r="BD59" s="90" t="s">
        <v>30</v>
      </c>
      <c r="BE59" s="90" t="s">
        <v>195</v>
      </c>
      <c r="BF59" s="90" t="s">
        <v>195</v>
      </c>
      <c r="BG59" s="90" t="s">
        <v>195</v>
      </c>
      <c r="BH59" s="90" t="s">
        <v>195</v>
      </c>
      <c r="BI59" s="90" t="s">
        <v>195</v>
      </c>
      <c r="BJ59" s="90" t="s">
        <v>195</v>
      </c>
      <c r="BK59" s="90" t="s">
        <v>195</v>
      </c>
      <c r="BL59" s="90" t="s">
        <v>195</v>
      </c>
      <c r="BM59" s="90" t="s">
        <v>195</v>
      </c>
      <c r="BN59" s="90" t="s">
        <v>30</v>
      </c>
      <c r="BO59" s="90" t="s">
        <v>30</v>
      </c>
      <c r="BP59" s="90" t="s">
        <v>30</v>
      </c>
      <c r="BQ59" s="90" t="s">
        <v>30</v>
      </c>
      <c r="BR59" s="90" t="s">
        <v>30</v>
      </c>
      <c r="BS59" s="90" t="s">
        <v>30</v>
      </c>
      <c r="BT59" s="90"/>
      <c r="BU59" s="90" t="s">
        <v>202</v>
      </c>
      <c r="BV59" s="90" t="s">
        <v>202</v>
      </c>
      <c r="BW59" s="90" t="s">
        <v>202</v>
      </c>
      <c r="BX59" s="90" t="s">
        <v>202</v>
      </c>
      <c r="BY59" s="90" t="s">
        <v>202</v>
      </c>
      <c r="BZ59" s="90" t="s">
        <v>202</v>
      </c>
      <c r="CA59" s="90" t="s">
        <v>202</v>
      </c>
      <c r="CB59" s="90"/>
      <c r="CC59" s="90" t="s">
        <v>205</v>
      </c>
      <c r="CD59" s="90"/>
      <c r="CE59" s="90" t="s">
        <v>194</v>
      </c>
      <c r="CF59" s="90"/>
      <c r="CG59" s="90"/>
      <c r="CH59" s="90"/>
      <c r="CI59" s="90" t="s">
        <v>199</v>
      </c>
      <c r="CJ59" s="90" t="s">
        <v>198</v>
      </c>
      <c r="CK59" s="90" t="s">
        <v>198</v>
      </c>
      <c r="CL59" s="90" t="s">
        <v>198</v>
      </c>
      <c r="CM59" s="90" t="s">
        <v>198</v>
      </c>
      <c r="CN59" s="90" t="s">
        <v>198</v>
      </c>
      <c r="CO59" s="90" t="s">
        <v>198</v>
      </c>
      <c r="CP59" s="90" t="s">
        <v>198</v>
      </c>
      <c r="CQ59" s="90" t="s">
        <v>198</v>
      </c>
      <c r="CR59" s="90" t="s">
        <v>198</v>
      </c>
      <c r="CS59" s="90" t="s">
        <v>198</v>
      </c>
      <c r="CT59" s="90" t="s">
        <v>198</v>
      </c>
      <c r="CU59" s="90" t="s">
        <v>198</v>
      </c>
      <c r="CV59" s="90" t="s">
        <v>198</v>
      </c>
      <c r="CW59" s="90" t="s">
        <v>198</v>
      </c>
      <c r="CX59" s="90" t="s">
        <v>198</v>
      </c>
      <c r="CY59" s="90" t="s">
        <v>198</v>
      </c>
      <c r="CZ59" s="90" t="s">
        <v>198</v>
      </c>
      <c r="DA59" s="90" t="s">
        <v>198</v>
      </c>
      <c r="DB59" s="90" t="s">
        <v>198</v>
      </c>
      <c r="DC59" s="90" t="s">
        <v>198</v>
      </c>
      <c r="DD59" s="90" t="s">
        <v>198</v>
      </c>
      <c r="DE59" s="90" t="s">
        <v>198</v>
      </c>
      <c r="DF59" s="90" t="s">
        <v>198</v>
      </c>
      <c r="DG59" s="90" t="s">
        <v>198</v>
      </c>
      <c r="DH59" s="90" t="s">
        <v>198</v>
      </c>
      <c r="DI59" s="90" t="s">
        <v>198</v>
      </c>
      <c r="DJ59" s="90" t="s">
        <v>198</v>
      </c>
      <c r="DK59" s="90"/>
      <c r="DL59" s="90" t="s">
        <v>194</v>
      </c>
      <c r="DM59" s="90" t="s">
        <v>30</v>
      </c>
      <c r="DN59" s="90" t="s">
        <v>30</v>
      </c>
      <c r="DO59" s="90" t="s">
        <v>30</v>
      </c>
      <c r="DP59" s="90" t="s">
        <v>30</v>
      </c>
      <c r="DQ59" s="90" t="s">
        <v>195</v>
      </c>
      <c r="DR59" s="90" t="s">
        <v>195</v>
      </c>
      <c r="DS59" s="90" t="s">
        <v>30</v>
      </c>
      <c r="DT59" s="90" t="s">
        <v>30</v>
      </c>
      <c r="DU59" s="90" t="s">
        <v>30</v>
      </c>
      <c r="DV59" s="90" t="s">
        <v>195</v>
      </c>
      <c r="DW59" s="90" t="s">
        <v>196</v>
      </c>
      <c r="DX59" s="90" t="s">
        <v>195</v>
      </c>
      <c r="DY59" s="90" t="s">
        <v>195</v>
      </c>
      <c r="DZ59" s="90" t="s">
        <v>195</v>
      </c>
      <c r="EA59" s="90"/>
      <c r="EB59" s="90" t="s">
        <v>199</v>
      </c>
      <c r="EC59" s="90" t="s">
        <v>198</v>
      </c>
      <c r="ED59" s="90" t="s">
        <v>198</v>
      </c>
      <c r="EE59" s="90" t="s">
        <v>198</v>
      </c>
      <c r="EF59" s="90" t="s">
        <v>198</v>
      </c>
      <c r="EG59" s="90" t="s">
        <v>198</v>
      </c>
      <c r="EH59" s="102" t="s">
        <v>198</v>
      </c>
    </row>
    <row r="60" spans="1:138" ht="23.25" customHeight="1" x14ac:dyDescent="0.25">
      <c r="A60" s="98" t="s">
        <v>17</v>
      </c>
      <c r="B60" s="99" t="s">
        <v>193</v>
      </c>
      <c r="C60" s="99" t="s">
        <v>199</v>
      </c>
      <c r="D60" s="99" t="s">
        <v>198</v>
      </c>
      <c r="E60" s="99" t="s">
        <v>198</v>
      </c>
      <c r="F60" s="99" t="s">
        <v>198</v>
      </c>
      <c r="G60" s="99" t="s">
        <v>198</v>
      </c>
      <c r="H60" s="99" t="s">
        <v>198</v>
      </c>
      <c r="I60" s="99" t="s">
        <v>198</v>
      </c>
      <c r="J60" s="99" t="s">
        <v>198</v>
      </c>
      <c r="K60" s="99" t="s">
        <v>198</v>
      </c>
      <c r="L60" s="99" t="s">
        <v>198</v>
      </c>
      <c r="M60" s="99" t="s">
        <v>198</v>
      </c>
      <c r="N60" s="99" t="s">
        <v>198</v>
      </c>
      <c r="O60" s="99" t="s">
        <v>198</v>
      </c>
      <c r="P60" s="99" t="s">
        <v>198</v>
      </c>
      <c r="Q60" s="99" t="s">
        <v>198</v>
      </c>
      <c r="R60" s="99" t="s">
        <v>198</v>
      </c>
      <c r="S60" s="99" t="s">
        <v>198</v>
      </c>
      <c r="T60" s="99"/>
      <c r="U60" s="99" t="s">
        <v>199</v>
      </c>
      <c r="V60" s="99" t="s">
        <v>198</v>
      </c>
      <c r="W60" s="99" t="s">
        <v>198</v>
      </c>
      <c r="X60" s="99" t="s">
        <v>198</v>
      </c>
      <c r="Y60" s="99" t="s">
        <v>198</v>
      </c>
      <c r="Z60" s="99" t="s">
        <v>17</v>
      </c>
      <c r="AA60" s="99" t="s">
        <v>198</v>
      </c>
      <c r="AB60" s="99" t="s">
        <v>198</v>
      </c>
      <c r="AC60" s="99" t="s">
        <v>198</v>
      </c>
      <c r="AD60" s="99" t="s">
        <v>198</v>
      </c>
      <c r="AE60" s="99" t="s">
        <v>198</v>
      </c>
      <c r="AF60" s="99" t="s">
        <v>198</v>
      </c>
      <c r="AG60" s="99" t="s">
        <v>198</v>
      </c>
      <c r="AH60" s="99" t="s">
        <v>198</v>
      </c>
      <c r="AI60" s="99" t="s">
        <v>199</v>
      </c>
      <c r="AJ60" s="99" t="s">
        <v>198</v>
      </c>
      <c r="AK60" s="99" t="s">
        <v>198</v>
      </c>
      <c r="AL60" s="99" t="s">
        <v>198</v>
      </c>
      <c r="AM60" s="99"/>
      <c r="AN60" s="99" t="s">
        <v>194</v>
      </c>
      <c r="AO60" s="99" t="s">
        <v>196</v>
      </c>
      <c r="AP60" s="99" t="s">
        <v>196</v>
      </c>
      <c r="AQ60" s="99" t="s">
        <v>196</v>
      </c>
      <c r="AR60" s="99" t="s">
        <v>196</v>
      </c>
      <c r="AS60" s="99" t="s">
        <v>195</v>
      </c>
      <c r="AT60" s="99" t="s">
        <v>196</v>
      </c>
      <c r="AU60" s="99" t="s">
        <v>196</v>
      </c>
      <c r="AV60" s="99" t="s">
        <v>196</v>
      </c>
      <c r="AW60" s="99" t="s">
        <v>196</v>
      </c>
      <c r="AX60" s="99" t="s">
        <v>196</v>
      </c>
      <c r="AY60" s="99"/>
      <c r="AZ60" s="99" t="s">
        <v>199</v>
      </c>
      <c r="BA60" s="99" t="s">
        <v>199</v>
      </c>
      <c r="BB60" s="99" t="s">
        <v>198</v>
      </c>
      <c r="BC60" s="99" t="s">
        <v>198</v>
      </c>
      <c r="BD60" s="99" t="s">
        <v>198</v>
      </c>
      <c r="BE60" s="99" t="s">
        <v>198</v>
      </c>
      <c r="BF60" s="99" t="s">
        <v>198</v>
      </c>
      <c r="BG60" s="99" t="s">
        <v>198</v>
      </c>
      <c r="BH60" s="99" t="s">
        <v>198</v>
      </c>
      <c r="BI60" s="99" t="s">
        <v>198</v>
      </c>
      <c r="BJ60" s="99" t="s">
        <v>198</v>
      </c>
      <c r="BK60" s="99" t="s">
        <v>198</v>
      </c>
      <c r="BL60" s="99" t="s">
        <v>198</v>
      </c>
      <c r="BM60" s="99" t="s">
        <v>198</v>
      </c>
      <c r="BN60" s="99" t="s">
        <v>198</v>
      </c>
      <c r="BO60" s="99" t="s">
        <v>198</v>
      </c>
      <c r="BP60" s="99" t="s">
        <v>198</v>
      </c>
      <c r="BQ60" s="99" t="s">
        <v>198</v>
      </c>
      <c r="BR60" s="99" t="s">
        <v>198</v>
      </c>
      <c r="BS60" s="99" t="s">
        <v>198</v>
      </c>
      <c r="BT60" s="99"/>
      <c r="BU60" s="99" t="s">
        <v>202</v>
      </c>
      <c r="BV60" s="99" t="s">
        <v>202</v>
      </c>
      <c r="BW60" s="99" t="s">
        <v>202</v>
      </c>
      <c r="BX60" s="99" t="s">
        <v>202</v>
      </c>
      <c r="BY60" s="99" t="s">
        <v>202</v>
      </c>
      <c r="BZ60" s="99" t="s">
        <v>202</v>
      </c>
      <c r="CA60" s="99" t="s">
        <v>202</v>
      </c>
      <c r="CB60" s="99"/>
      <c r="CC60" s="99" t="s">
        <v>203</v>
      </c>
      <c r="CD60" s="99"/>
      <c r="CE60" s="99" t="s">
        <v>194</v>
      </c>
      <c r="CF60" s="99"/>
      <c r="CG60" s="99"/>
      <c r="CH60" s="99"/>
      <c r="CI60" s="99" t="s">
        <v>194</v>
      </c>
      <c r="CJ60" s="99" t="s">
        <v>196</v>
      </c>
      <c r="CK60" s="99" t="s">
        <v>196</v>
      </c>
      <c r="CL60" s="99" t="s">
        <v>196</v>
      </c>
      <c r="CM60" s="99" t="s">
        <v>196</v>
      </c>
      <c r="CN60" s="99" t="s">
        <v>196</v>
      </c>
      <c r="CO60" s="99" t="s">
        <v>196</v>
      </c>
      <c r="CP60" s="99" t="s">
        <v>195</v>
      </c>
      <c r="CQ60" s="99" t="s">
        <v>195</v>
      </c>
      <c r="CR60" s="99" t="s">
        <v>30</v>
      </c>
      <c r="CS60" s="99" t="s">
        <v>195</v>
      </c>
      <c r="CT60" s="99" t="s">
        <v>195</v>
      </c>
      <c r="CU60" s="99" t="s">
        <v>196</v>
      </c>
      <c r="CV60" s="99" t="s">
        <v>30</v>
      </c>
      <c r="CW60" s="99" t="s">
        <v>195</v>
      </c>
      <c r="CX60" s="99" t="s">
        <v>30</v>
      </c>
      <c r="CY60" s="99" t="s">
        <v>195</v>
      </c>
      <c r="CZ60" s="99" t="s">
        <v>196</v>
      </c>
      <c r="DA60" s="99" t="s">
        <v>195</v>
      </c>
      <c r="DB60" s="99" t="s">
        <v>196</v>
      </c>
      <c r="DC60" s="99" t="s">
        <v>196</v>
      </c>
      <c r="DD60" s="99" t="s">
        <v>196</v>
      </c>
      <c r="DE60" s="99" t="s">
        <v>196</v>
      </c>
      <c r="DF60" s="99" t="s">
        <v>196</v>
      </c>
      <c r="DG60" s="99" t="s">
        <v>195</v>
      </c>
      <c r="DH60" s="99" t="s">
        <v>195</v>
      </c>
      <c r="DI60" s="99" t="s">
        <v>195</v>
      </c>
      <c r="DJ60" s="99" t="s">
        <v>195</v>
      </c>
      <c r="DK60" s="99"/>
      <c r="DL60" s="99" t="s">
        <v>199</v>
      </c>
      <c r="DM60" s="99" t="s">
        <v>198</v>
      </c>
      <c r="DN60" s="99" t="s">
        <v>198</v>
      </c>
      <c r="DO60" s="99" t="s">
        <v>198</v>
      </c>
      <c r="DP60" s="99" t="s">
        <v>198</v>
      </c>
      <c r="DQ60" s="99" t="s">
        <v>198</v>
      </c>
      <c r="DR60" s="99" t="s">
        <v>198</v>
      </c>
      <c r="DS60" s="99" t="s">
        <v>198</v>
      </c>
      <c r="DT60" s="99" t="s">
        <v>198</v>
      </c>
      <c r="DU60" s="99" t="s">
        <v>198</v>
      </c>
      <c r="DV60" s="99" t="s">
        <v>198</v>
      </c>
      <c r="DW60" s="99" t="s">
        <v>198</v>
      </c>
      <c r="DX60" s="99" t="s">
        <v>198</v>
      </c>
      <c r="DY60" s="99" t="s">
        <v>198</v>
      </c>
      <c r="DZ60" s="99" t="s">
        <v>198</v>
      </c>
      <c r="EA60" s="99"/>
      <c r="EB60" s="99" t="s">
        <v>199</v>
      </c>
      <c r="EC60" s="99" t="s">
        <v>198</v>
      </c>
      <c r="ED60" s="99" t="s">
        <v>198</v>
      </c>
      <c r="EE60" s="99" t="s">
        <v>198</v>
      </c>
      <c r="EF60" s="99" t="s">
        <v>198</v>
      </c>
      <c r="EG60" s="99" t="s">
        <v>198</v>
      </c>
      <c r="EH60" s="100" t="s">
        <v>198</v>
      </c>
    </row>
    <row r="61" spans="1:138" ht="23.25" customHeight="1" x14ac:dyDescent="0.25">
      <c r="A61" s="101" t="s">
        <v>17</v>
      </c>
      <c r="B61" s="90" t="s">
        <v>193</v>
      </c>
      <c r="C61" s="90" t="s">
        <v>194</v>
      </c>
      <c r="D61" s="90" t="s">
        <v>195</v>
      </c>
      <c r="E61" s="90" t="s">
        <v>195</v>
      </c>
      <c r="F61" s="90" t="s">
        <v>30</v>
      </c>
      <c r="G61" s="90" t="s">
        <v>195</v>
      </c>
      <c r="H61" s="90" t="s">
        <v>196</v>
      </c>
      <c r="I61" s="90" t="s">
        <v>196</v>
      </c>
      <c r="J61" s="90" t="s">
        <v>195</v>
      </c>
      <c r="K61" s="90" t="s">
        <v>201</v>
      </c>
      <c r="L61" s="90" t="s">
        <v>201</v>
      </c>
      <c r="M61" s="90" t="s">
        <v>201</v>
      </c>
      <c r="N61" s="90" t="s">
        <v>201</v>
      </c>
      <c r="O61" s="90" t="s">
        <v>195</v>
      </c>
      <c r="P61" s="90" t="s">
        <v>196</v>
      </c>
      <c r="Q61" s="90" t="s">
        <v>196</v>
      </c>
      <c r="R61" s="90" t="s">
        <v>195</v>
      </c>
      <c r="S61" s="90" t="s">
        <v>195</v>
      </c>
      <c r="T61" s="90"/>
      <c r="U61" s="90" t="s">
        <v>194</v>
      </c>
      <c r="V61" s="90" t="s">
        <v>195</v>
      </c>
      <c r="W61" s="90" t="s">
        <v>195</v>
      </c>
      <c r="X61" s="90" t="s">
        <v>195</v>
      </c>
      <c r="Y61" s="90" t="s">
        <v>196</v>
      </c>
      <c r="Z61" s="90" t="s">
        <v>208</v>
      </c>
      <c r="AA61" s="90" t="s">
        <v>30</v>
      </c>
      <c r="AB61" s="90" t="s">
        <v>30</v>
      </c>
      <c r="AC61" s="90" t="s">
        <v>204</v>
      </c>
      <c r="AD61" s="90" t="s">
        <v>195</v>
      </c>
      <c r="AE61" s="90" t="s">
        <v>198</v>
      </c>
      <c r="AF61" s="90" t="s">
        <v>198</v>
      </c>
      <c r="AG61" s="90" t="s">
        <v>198</v>
      </c>
      <c r="AH61" s="90" t="s">
        <v>198</v>
      </c>
      <c r="AI61" s="90" t="s">
        <v>194</v>
      </c>
      <c r="AJ61" s="90" t="s">
        <v>196</v>
      </c>
      <c r="AK61" s="90" t="s">
        <v>195</v>
      </c>
      <c r="AL61" s="90" t="s">
        <v>195</v>
      </c>
      <c r="AM61" s="90"/>
      <c r="AN61" s="90" t="s">
        <v>194</v>
      </c>
      <c r="AO61" s="90" t="s">
        <v>196</v>
      </c>
      <c r="AP61" s="90" t="s">
        <v>196</v>
      </c>
      <c r="AQ61" s="90" t="s">
        <v>196</v>
      </c>
      <c r="AR61" s="90" t="s">
        <v>196</v>
      </c>
      <c r="AS61" s="90" t="s">
        <v>196</v>
      </c>
      <c r="AT61" s="90" t="s">
        <v>196</v>
      </c>
      <c r="AU61" s="90" t="s">
        <v>196</v>
      </c>
      <c r="AV61" s="90" t="s">
        <v>196</v>
      </c>
      <c r="AW61" s="90" t="s">
        <v>196</v>
      </c>
      <c r="AX61" s="90" t="s">
        <v>196</v>
      </c>
      <c r="AY61" s="90"/>
      <c r="AZ61" s="90" t="s">
        <v>194</v>
      </c>
      <c r="BA61" s="90" t="s">
        <v>194</v>
      </c>
      <c r="BB61" s="90" t="s">
        <v>195</v>
      </c>
      <c r="BC61" s="90" t="s">
        <v>196</v>
      </c>
      <c r="BD61" s="90" t="s">
        <v>196</v>
      </c>
      <c r="BE61" s="90" t="s">
        <v>196</v>
      </c>
      <c r="BF61" s="90" t="s">
        <v>196</v>
      </c>
      <c r="BG61" s="90" t="s">
        <v>196</v>
      </c>
      <c r="BH61" s="90" t="s">
        <v>196</v>
      </c>
      <c r="BI61" s="90" t="s">
        <v>196</v>
      </c>
      <c r="BJ61" s="90" t="s">
        <v>196</v>
      </c>
      <c r="BK61" s="90" t="s">
        <v>196</v>
      </c>
      <c r="BL61" s="90" t="s">
        <v>196</v>
      </c>
      <c r="BM61" s="90" t="s">
        <v>196</v>
      </c>
      <c r="BN61" s="90" t="s">
        <v>195</v>
      </c>
      <c r="BO61" s="90" t="s">
        <v>201</v>
      </c>
      <c r="BP61" s="90" t="s">
        <v>196</v>
      </c>
      <c r="BQ61" s="90" t="s">
        <v>30</v>
      </c>
      <c r="BR61" s="90" t="s">
        <v>195</v>
      </c>
      <c r="BS61" s="90" t="s">
        <v>195</v>
      </c>
      <c r="BT61" s="90"/>
      <c r="BU61" s="90" t="s">
        <v>202</v>
      </c>
      <c r="BV61" s="90" t="s">
        <v>202</v>
      </c>
      <c r="BW61" s="90" t="s">
        <v>202</v>
      </c>
      <c r="BX61" s="90" t="s">
        <v>202</v>
      </c>
      <c r="BY61" s="90" t="s">
        <v>202</v>
      </c>
      <c r="BZ61" s="90" t="s">
        <v>202</v>
      </c>
      <c r="CA61" s="90" t="s">
        <v>202</v>
      </c>
      <c r="CB61" s="90"/>
      <c r="CC61" s="90" t="s">
        <v>200</v>
      </c>
      <c r="CD61" s="90"/>
      <c r="CE61" s="90" t="s">
        <v>194</v>
      </c>
      <c r="CF61" s="90"/>
      <c r="CG61" s="90"/>
      <c r="CH61" s="90"/>
      <c r="CI61" s="90" t="s">
        <v>194</v>
      </c>
      <c r="CJ61" s="90" t="s">
        <v>195</v>
      </c>
      <c r="CK61" s="90" t="s">
        <v>195</v>
      </c>
      <c r="CL61" s="90" t="s">
        <v>195</v>
      </c>
      <c r="CM61" s="90" t="s">
        <v>201</v>
      </c>
      <c r="CN61" s="90" t="s">
        <v>201</v>
      </c>
      <c r="CO61" s="90" t="s">
        <v>201</v>
      </c>
      <c r="CP61" s="90" t="s">
        <v>195</v>
      </c>
      <c r="CQ61" s="90" t="s">
        <v>195</v>
      </c>
      <c r="CR61" s="90" t="s">
        <v>30</v>
      </c>
      <c r="CS61" s="90" t="s">
        <v>196</v>
      </c>
      <c r="CT61" s="90" t="s">
        <v>196</v>
      </c>
      <c r="CU61" s="90" t="s">
        <v>196</v>
      </c>
      <c r="CV61" s="90" t="s">
        <v>196</v>
      </c>
      <c r="CW61" s="90" t="s">
        <v>196</v>
      </c>
      <c r="CX61" s="90" t="s">
        <v>196</v>
      </c>
      <c r="CY61" s="90" t="s">
        <v>195</v>
      </c>
      <c r="CZ61" s="90" t="s">
        <v>196</v>
      </c>
      <c r="DA61" s="90" t="s">
        <v>196</v>
      </c>
      <c r="DB61" s="90" t="s">
        <v>195</v>
      </c>
      <c r="DC61" s="90" t="s">
        <v>195</v>
      </c>
      <c r="DD61" s="90" t="s">
        <v>195</v>
      </c>
      <c r="DE61" s="90" t="s">
        <v>195</v>
      </c>
      <c r="DF61" s="90" t="s">
        <v>195</v>
      </c>
      <c r="DG61" s="90" t="s">
        <v>195</v>
      </c>
      <c r="DH61" s="90" t="s">
        <v>195</v>
      </c>
      <c r="DI61" s="90" t="s">
        <v>195</v>
      </c>
      <c r="DJ61" s="90" t="s">
        <v>195</v>
      </c>
      <c r="DK61" s="90"/>
      <c r="DL61" s="90" t="s">
        <v>199</v>
      </c>
      <c r="DM61" s="90" t="s">
        <v>198</v>
      </c>
      <c r="DN61" s="90" t="s">
        <v>198</v>
      </c>
      <c r="DO61" s="90" t="s">
        <v>198</v>
      </c>
      <c r="DP61" s="90" t="s">
        <v>198</v>
      </c>
      <c r="DQ61" s="90" t="s">
        <v>198</v>
      </c>
      <c r="DR61" s="90" t="s">
        <v>198</v>
      </c>
      <c r="DS61" s="90" t="s">
        <v>198</v>
      </c>
      <c r="DT61" s="90" t="s">
        <v>198</v>
      </c>
      <c r="DU61" s="90" t="s">
        <v>198</v>
      </c>
      <c r="DV61" s="90" t="s">
        <v>198</v>
      </c>
      <c r="DW61" s="90" t="s">
        <v>198</v>
      </c>
      <c r="DX61" s="90" t="s">
        <v>198</v>
      </c>
      <c r="DY61" s="90" t="s">
        <v>198</v>
      </c>
      <c r="DZ61" s="90" t="s">
        <v>198</v>
      </c>
      <c r="EA61" s="90"/>
      <c r="EB61" s="90" t="s">
        <v>194</v>
      </c>
      <c r="EC61" s="90" t="s">
        <v>30</v>
      </c>
      <c r="ED61" s="90" t="s">
        <v>30</v>
      </c>
      <c r="EE61" s="90" t="s">
        <v>201</v>
      </c>
      <c r="EF61" s="90" t="s">
        <v>201</v>
      </c>
      <c r="EG61" s="90" t="s">
        <v>201</v>
      </c>
      <c r="EH61" s="102" t="s">
        <v>201</v>
      </c>
    </row>
    <row r="62" spans="1:138" ht="23.25" customHeight="1" x14ac:dyDescent="0.25">
      <c r="A62" s="101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102"/>
    </row>
    <row r="63" spans="1:138" ht="23.25" customHeight="1" x14ac:dyDescent="0.25">
      <c r="A63" s="98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  <c r="DK63" s="99"/>
      <c r="DL63" s="99"/>
      <c r="DM63" s="99"/>
      <c r="DN63" s="99"/>
      <c r="DO63" s="99"/>
      <c r="DP63" s="99"/>
      <c r="DQ63" s="99"/>
      <c r="DR63" s="99"/>
      <c r="DS63" s="99"/>
      <c r="DT63" s="99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100"/>
    </row>
    <row r="64" spans="1:138" ht="23.25" customHeight="1" x14ac:dyDescent="0.25">
      <c r="A64" s="101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102"/>
    </row>
    <row r="65" spans="1:138" ht="23.25" customHeight="1" x14ac:dyDescent="0.25">
      <c r="A65" s="98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100"/>
    </row>
    <row r="66" spans="1:138" ht="23.25" customHeight="1" x14ac:dyDescent="0.25">
      <c r="A66" s="101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102"/>
    </row>
    <row r="67" spans="1:138" ht="23.25" customHeight="1" x14ac:dyDescent="0.25">
      <c r="A67" s="98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  <c r="CF67" s="99"/>
      <c r="CG67" s="99"/>
      <c r="CH67" s="99"/>
      <c r="CI67" s="99"/>
      <c r="CJ67" s="99"/>
      <c r="CK67" s="99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  <c r="DK67" s="99"/>
      <c r="DL67" s="99"/>
      <c r="DM67" s="99"/>
      <c r="DN67" s="99"/>
      <c r="DO67" s="99"/>
      <c r="DP67" s="99"/>
      <c r="DQ67" s="99"/>
      <c r="DR67" s="99"/>
      <c r="DS67" s="99"/>
      <c r="DT67" s="99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100"/>
    </row>
    <row r="68" spans="1:138" ht="23.25" customHeight="1" x14ac:dyDescent="0.25">
      <c r="A68" s="101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102"/>
    </row>
    <row r="69" spans="1:138" ht="23.25" customHeight="1" x14ac:dyDescent="0.25">
      <c r="A69" s="98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  <c r="CF69" s="99"/>
      <c r="CG69" s="99"/>
      <c r="CH69" s="99"/>
      <c r="CI69" s="99"/>
      <c r="CJ69" s="99"/>
      <c r="CK69" s="99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  <c r="DK69" s="99"/>
      <c r="DL69" s="99"/>
      <c r="DM69" s="99"/>
      <c r="DN69" s="99"/>
      <c r="DO69" s="99"/>
      <c r="DP69" s="99"/>
      <c r="DQ69" s="99"/>
      <c r="DR69" s="99"/>
      <c r="DS69" s="99"/>
      <c r="DT69" s="99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100"/>
    </row>
    <row r="70" spans="1:138" ht="23.25" customHeight="1" x14ac:dyDescent="0.25">
      <c r="A70" s="101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102"/>
    </row>
    <row r="71" spans="1:138" ht="23.25" customHeight="1" x14ac:dyDescent="0.25">
      <c r="A71" s="98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  <c r="CF71" s="99"/>
      <c r="CG71" s="99"/>
      <c r="CH71" s="99"/>
      <c r="CI71" s="99"/>
      <c r="CJ71" s="99"/>
      <c r="CK71" s="99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  <c r="DK71" s="99"/>
      <c r="DL71" s="99"/>
      <c r="DM71" s="99"/>
      <c r="DN71" s="99"/>
      <c r="DO71" s="99"/>
      <c r="DP71" s="99"/>
      <c r="DQ71" s="99"/>
      <c r="DR71" s="99"/>
      <c r="DS71" s="99"/>
      <c r="DT71" s="99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100"/>
    </row>
    <row r="72" spans="1:138" ht="23.25" customHeight="1" x14ac:dyDescent="0.25">
      <c r="A72" s="101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102"/>
    </row>
    <row r="1345" spans="1:138" ht="23.25" customHeight="1" x14ac:dyDescent="0.25">
      <c r="A1345" s="98"/>
      <c r="B1345" s="99"/>
      <c r="C1345" s="99"/>
      <c r="D1345" s="99"/>
      <c r="E1345" s="99"/>
      <c r="F1345" s="99"/>
      <c r="G1345" s="99"/>
      <c r="H1345" s="99"/>
      <c r="I1345" s="99"/>
      <c r="J1345" s="99"/>
      <c r="K1345" s="99"/>
      <c r="L1345" s="99"/>
      <c r="M1345" s="99"/>
      <c r="N1345" s="99"/>
      <c r="O1345" s="99"/>
      <c r="P1345" s="99"/>
      <c r="Q1345" s="99"/>
      <c r="R1345" s="99"/>
      <c r="S1345" s="99"/>
      <c r="T1345" s="99"/>
      <c r="U1345" s="99"/>
      <c r="V1345" s="99"/>
      <c r="W1345" s="99"/>
      <c r="X1345" s="99"/>
      <c r="Y1345" s="99"/>
      <c r="Z1345" s="99"/>
      <c r="AA1345" s="99"/>
      <c r="AB1345" s="99"/>
      <c r="AC1345" s="99"/>
      <c r="AD1345" s="99"/>
      <c r="AE1345" s="99"/>
      <c r="AF1345" s="99"/>
      <c r="AG1345" s="99"/>
      <c r="AH1345" s="99"/>
      <c r="AI1345" s="99"/>
      <c r="AJ1345" s="99"/>
      <c r="AK1345" s="99"/>
      <c r="AL1345" s="99"/>
      <c r="AM1345" s="99"/>
      <c r="AN1345" s="99"/>
      <c r="AO1345" s="99"/>
      <c r="AP1345" s="99"/>
      <c r="AQ1345" s="99"/>
      <c r="AR1345" s="99"/>
      <c r="AS1345" s="99"/>
      <c r="AT1345" s="99"/>
      <c r="AU1345" s="99"/>
      <c r="AV1345" s="99"/>
      <c r="AW1345" s="99"/>
      <c r="AX1345" s="99"/>
      <c r="AY1345" s="99"/>
      <c r="AZ1345" s="99"/>
      <c r="BA1345" s="99"/>
      <c r="BB1345" s="99"/>
      <c r="BC1345" s="99"/>
      <c r="BD1345" s="99"/>
      <c r="BE1345" s="99"/>
      <c r="BF1345" s="99"/>
      <c r="BG1345" s="99"/>
      <c r="BH1345" s="99"/>
      <c r="BI1345" s="99"/>
      <c r="BJ1345" s="99"/>
      <c r="BK1345" s="99"/>
      <c r="BL1345" s="99"/>
      <c r="BM1345" s="99"/>
      <c r="BN1345" s="99"/>
      <c r="BO1345" s="99"/>
      <c r="BP1345" s="99"/>
      <c r="BQ1345" s="99"/>
      <c r="BR1345" s="99"/>
      <c r="BS1345" s="99"/>
      <c r="BT1345" s="99"/>
      <c r="BU1345" s="99"/>
      <c r="BV1345" s="99"/>
      <c r="BW1345" s="99"/>
      <c r="BX1345" s="99"/>
      <c r="BY1345" s="99"/>
      <c r="BZ1345" s="99"/>
      <c r="CA1345" s="99"/>
      <c r="CB1345" s="99"/>
      <c r="CC1345" s="99"/>
      <c r="CD1345" s="99"/>
      <c r="CE1345" s="99"/>
      <c r="CF1345" s="99"/>
      <c r="CG1345" s="99"/>
      <c r="CH1345" s="99"/>
      <c r="CI1345" s="99"/>
      <c r="CJ1345" s="99"/>
      <c r="CK1345" s="99"/>
      <c r="CL1345" s="99"/>
      <c r="CM1345" s="99"/>
      <c r="CN1345" s="99"/>
      <c r="CO1345" s="99"/>
      <c r="CP1345" s="99"/>
      <c r="CQ1345" s="99"/>
      <c r="CR1345" s="99"/>
      <c r="CS1345" s="99"/>
      <c r="CT1345" s="99"/>
      <c r="CU1345" s="99"/>
      <c r="CV1345" s="99"/>
      <c r="CW1345" s="99"/>
      <c r="CX1345" s="99"/>
      <c r="CY1345" s="99"/>
      <c r="CZ1345" s="99"/>
      <c r="DA1345" s="99"/>
      <c r="DB1345" s="99"/>
      <c r="DC1345" s="99"/>
      <c r="DD1345" s="99"/>
      <c r="DE1345" s="99"/>
      <c r="DF1345" s="99"/>
      <c r="DG1345" s="99"/>
      <c r="DH1345" s="99"/>
      <c r="DI1345" s="99"/>
      <c r="DJ1345" s="99"/>
      <c r="DK1345" s="99"/>
      <c r="DL1345" s="99"/>
      <c r="DM1345" s="99"/>
      <c r="DN1345" s="99"/>
      <c r="DO1345" s="99"/>
      <c r="DP1345" s="99"/>
      <c r="DQ1345" s="99"/>
      <c r="DR1345" s="99"/>
      <c r="DS1345" s="99"/>
      <c r="DT1345" s="99"/>
      <c r="DU1345" s="99"/>
      <c r="DV1345" s="99"/>
      <c r="DW1345" s="99"/>
      <c r="DX1345" s="99"/>
      <c r="DY1345" s="99"/>
      <c r="DZ1345" s="99"/>
      <c r="EA1345" s="99"/>
      <c r="EB1345" s="99"/>
      <c r="EC1345" s="99"/>
      <c r="ED1345" s="99"/>
      <c r="EE1345" s="99"/>
      <c r="EF1345" s="99"/>
      <c r="EG1345" s="99"/>
      <c r="EH1345" s="100"/>
    </row>
    <row r="1346" spans="1:138" ht="23.25" customHeight="1" x14ac:dyDescent="0.25">
      <c r="A1346" s="101"/>
      <c r="B1346" s="90"/>
      <c r="C1346" s="90"/>
      <c r="D1346" s="90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0"/>
      <c r="AA1346" s="90"/>
      <c r="AB1346" s="90"/>
      <c r="AC1346" s="90"/>
      <c r="AD1346" s="90"/>
      <c r="AE1346" s="90"/>
      <c r="AF1346" s="90"/>
      <c r="AG1346" s="90"/>
      <c r="AH1346" s="90"/>
      <c r="AI1346" s="90"/>
      <c r="AJ1346" s="90"/>
      <c r="AK1346" s="90"/>
      <c r="AL1346" s="90"/>
      <c r="AM1346" s="90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  <c r="CB1346" s="90"/>
      <c r="CC1346" s="90"/>
      <c r="CD1346" s="90"/>
      <c r="CE1346" s="90"/>
      <c r="CF1346" s="90"/>
      <c r="CG1346" s="90"/>
      <c r="CH1346" s="90"/>
      <c r="CI1346" s="90"/>
      <c r="CJ1346" s="90"/>
      <c r="CK1346" s="90"/>
      <c r="CL1346" s="90"/>
      <c r="CM1346" s="90"/>
      <c r="CN1346" s="90"/>
      <c r="CO1346" s="90"/>
      <c r="CP1346" s="90"/>
      <c r="CQ1346" s="90"/>
      <c r="CR1346" s="90"/>
      <c r="CS1346" s="90"/>
      <c r="CT1346" s="90"/>
      <c r="CU1346" s="90"/>
      <c r="CV1346" s="90"/>
      <c r="CW1346" s="90"/>
      <c r="CX1346" s="90"/>
      <c r="CY1346" s="90"/>
      <c r="CZ1346" s="90"/>
      <c r="DA1346" s="90"/>
      <c r="DB1346" s="90"/>
      <c r="DC1346" s="90"/>
      <c r="DD1346" s="90"/>
      <c r="DE1346" s="90"/>
      <c r="DF1346" s="90"/>
      <c r="DG1346" s="90"/>
      <c r="DH1346" s="90"/>
      <c r="DI1346" s="90"/>
      <c r="DJ1346" s="90"/>
      <c r="DK1346" s="90"/>
      <c r="DL1346" s="90"/>
      <c r="DM1346" s="90"/>
      <c r="DN1346" s="90"/>
      <c r="DO1346" s="90"/>
      <c r="DP1346" s="90"/>
      <c r="DQ1346" s="90"/>
      <c r="DR1346" s="90"/>
      <c r="DS1346" s="90"/>
      <c r="DT1346" s="90"/>
      <c r="DU1346" s="90"/>
      <c r="DV1346" s="90"/>
      <c r="DW1346" s="90"/>
      <c r="DX1346" s="90"/>
      <c r="DY1346" s="90"/>
      <c r="DZ1346" s="90"/>
      <c r="EA1346" s="90"/>
      <c r="EB1346" s="90"/>
      <c r="EC1346" s="90"/>
      <c r="ED1346" s="90"/>
      <c r="EE1346" s="90"/>
      <c r="EF1346" s="90"/>
      <c r="EG1346" s="90"/>
      <c r="EH1346" s="102"/>
    </row>
    <row r="1347" spans="1:138" ht="23.25" customHeight="1" x14ac:dyDescent="0.25">
      <c r="A1347" s="98"/>
      <c r="B1347" s="99"/>
      <c r="C1347" s="99"/>
      <c r="D1347" s="99"/>
      <c r="E1347" s="99"/>
      <c r="F1347" s="99"/>
      <c r="G1347" s="99"/>
      <c r="H1347" s="99"/>
      <c r="I1347" s="99"/>
      <c r="J1347" s="99"/>
      <c r="K1347" s="99"/>
      <c r="L1347" s="99"/>
      <c r="M1347" s="99"/>
      <c r="N1347" s="99"/>
      <c r="O1347" s="99"/>
      <c r="P1347" s="99"/>
      <c r="Q1347" s="99"/>
      <c r="R1347" s="99"/>
      <c r="S1347" s="99"/>
      <c r="T1347" s="99"/>
      <c r="U1347" s="99"/>
      <c r="V1347" s="99"/>
      <c r="W1347" s="99"/>
      <c r="X1347" s="99"/>
      <c r="Y1347" s="99"/>
      <c r="Z1347" s="99"/>
      <c r="AA1347" s="99"/>
      <c r="AB1347" s="99"/>
      <c r="AC1347" s="99"/>
      <c r="AD1347" s="99"/>
      <c r="AE1347" s="99"/>
      <c r="AF1347" s="99"/>
      <c r="AG1347" s="99"/>
      <c r="AH1347" s="99"/>
      <c r="AI1347" s="99"/>
      <c r="AJ1347" s="99"/>
      <c r="AK1347" s="99"/>
      <c r="AL1347" s="99"/>
      <c r="AM1347" s="99"/>
      <c r="AN1347" s="99"/>
      <c r="AO1347" s="99"/>
      <c r="AP1347" s="99"/>
      <c r="AQ1347" s="99"/>
      <c r="AR1347" s="99"/>
      <c r="AS1347" s="99"/>
      <c r="AT1347" s="99"/>
      <c r="AU1347" s="99"/>
      <c r="AV1347" s="99"/>
      <c r="AW1347" s="99"/>
      <c r="AX1347" s="99"/>
      <c r="AY1347" s="99"/>
      <c r="AZ1347" s="99"/>
      <c r="BA1347" s="99"/>
      <c r="BB1347" s="99"/>
      <c r="BC1347" s="99"/>
      <c r="BD1347" s="99"/>
      <c r="BE1347" s="99"/>
      <c r="BF1347" s="99"/>
      <c r="BG1347" s="99"/>
      <c r="BH1347" s="99"/>
      <c r="BI1347" s="99"/>
      <c r="BJ1347" s="99"/>
      <c r="BK1347" s="99"/>
      <c r="BL1347" s="99"/>
      <c r="BM1347" s="99"/>
      <c r="BN1347" s="99"/>
      <c r="BO1347" s="99"/>
      <c r="BP1347" s="99"/>
      <c r="BQ1347" s="99"/>
      <c r="BR1347" s="99"/>
      <c r="BS1347" s="99"/>
      <c r="BT1347" s="99"/>
      <c r="BU1347" s="99"/>
      <c r="BV1347" s="99"/>
      <c r="BW1347" s="99"/>
      <c r="BX1347" s="99"/>
      <c r="BY1347" s="99"/>
      <c r="BZ1347" s="99"/>
      <c r="CA1347" s="99"/>
      <c r="CB1347" s="99"/>
      <c r="CC1347" s="99"/>
      <c r="CD1347" s="99"/>
      <c r="CE1347" s="99"/>
      <c r="CF1347" s="99"/>
      <c r="CG1347" s="99"/>
      <c r="CH1347" s="99"/>
      <c r="CI1347" s="99"/>
      <c r="CJ1347" s="99"/>
      <c r="CK1347" s="99"/>
      <c r="CL1347" s="99"/>
      <c r="CM1347" s="99"/>
      <c r="CN1347" s="99"/>
      <c r="CO1347" s="99"/>
      <c r="CP1347" s="99"/>
      <c r="CQ1347" s="99"/>
      <c r="CR1347" s="99"/>
      <c r="CS1347" s="99"/>
      <c r="CT1347" s="99"/>
      <c r="CU1347" s="99"/>
      <c r="CV1347" s="99"/>
      <c r="CW1347" s="99"/>
      <c r="CX1347" s="99"/>
      <c r="CY1347" s="99"/>
      <c r="CZ1347" s="99"/>
      <c r="DA1347" s="99"/>
      <c r="DB1347" s="99"/>
      <c r="DC1347" s="99"/>
      <c r="DD1347" s="99"/>
      <c r="DE1347" s="99"/>
      <c r="DF1347" s="99"/>
      <c r="DG1347" s="99"/>
      <c r="DH1347" s="99"/>
      <c r="DI1347" s="99"/>
      <c r="DJ1347" s="99"/>
      <c r="DK1347" s="99"/>
      <c r="DL1347" s="99"/>
      <c r="DM1347" s="99"/>
      <c r="DN1347" s="99"/>
      <c r="DO1347" s="99"/>
      <c r="DP1347" s="99"/>
      <c r="DQ1347" s="99"/>
      <c r="DR1347" s="99"/>
      <c r="DS1347" s="99"/>
      <c r="DT1347" s="99"/>
      <c r="DU1347" s="99"/>
      <c r="DV1347" s="99"/>
      <c r="DW1347" s="99"/>
      <c r="DX1347" s="99"/>
      <c r="DY1347" s="99"/>
      <c r="DZ1347" s="99"/>
      <c r="EA1347" s="99"/>
      <c r="EB1347" s="99"/>
      <c r="EC1347" s="99"/>
      <c r="ED1347" s="99"/>
      <c r="EE1347" s="99"/>
      <c r="EF1347" s="99"/>
      <c r="EG1347" s="99"/>
      <c r="EH1347" s="100"/>
    </row>
    <row r="1348" spans="1:138" ht="23.25" customHeight="1" x14ac:dyDescent="0.25">
      <c r="A1348" s="101"/>
      <c r="B1348" s="90"/>
      <c r="C1348" s="90"/>
      <c r="D1348" s="90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0"/>
      <c r="AA1348" s="90"/>
      <c r="AB1348" s="90"/>
      <c r="AC1348" s="90"/>
      <c r="AD1348" s="90"/>
      <c r="AE1348" s="90"/>
      <c r="AF1348" s="90"/>
      <c r="AG1348" s="90"/>
      <c r="AH1348" s="90"/>
      <c r="AI1348" s="90"/>
      <c r="AJ1348" s="90"/>
      <c r="AK1348" s="90"/>
      <c r="AL1348" s="90"/>
      <c r="AM1348" s="90"/>
      <c r="AN1348" s="90"/>
      <c r="AO1348" s="90"/>
      <c r="AP1348" s="90"/>
      <c r="AQ1348" s="90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  <c r="CB1348" s="90"/>
      <c r="CC1348" s="90"/>
      <c r="CD1348" s="90"/>
      <c r="CE1348" s="90"/>
      <c r="CF1348" s="90"/>
      <c r="CG1348" s="90"/>
      <c r="CH1348" s="90"/>
      <c r="CI1348" s="90"/>
      <c r="CJ1348" s="90"/>
      <c r="CK1348" s="90"/>
      <c r="CL1348" s="90"/>
      <c r="CM1348" s="90"/>
      <c r="CN1348" s="90"/>
      <c r="CO1348" s="90"/>
      <c r="CP1348" s="90"/>
      <c r="CQ1348" s="90"/>
      <c r="CR1348" s="90"/>
      <c r="CS1348" s="90"/>
      <c r="CT1348" s="90"/>
      <c r="CU1348" s="90"/>
      <c r="CV1348" s="90"/>
      <c r="CW1348" s="90"/>
      <c r="CX1348" s="90"/>
      <c r="CY1348" s="90"/>
      <c r="CZ1348" s="90"/>
      <c r="DA1348" s="90"/>
      <c r="DB1348" s="90"/>
      <c r="DC1348" s="90"/>
      <c r="DD1348" s="90"/>
      <c r="DE1348" s="90"/>
      <c r="DF1348" s="90"/>
      <c r="DG1348" s="90"/>
      <c r="DH1348" s="90"/>
      <c r="DI1348" s="90"/>
      <c r="DJ1348" s="90"/>
      <c r="DK1348" s="90"/>
      <c r="DL1348" s="90"/>
      <c r="DM1348" s="90"/>
      <c r="DN1348" s="90"/>
      <c r="DO1348" s="90"/>
      <c r="DP1348" s="90"/>
      <c r="DQ1348" s="90"/>
      <c r="DR1348" s="90"/>
      <c r="DS1348" s="90"/>
      <c r="DT1348" s="90"/>
      <c r="DU1348" s="90"/>
      <c r="DV1348" s="90"/>
      <c r="DW1348" s="90"/>
      <c r="DX1348" s="90"/>
      <c r="DY1348" s="90"/>
      <c r="DZ1348" s="90"/>
      <c r="EA1348" s="90"/>
      <c r="EB1348" s="90"/>
      <c r="EC1348" s="90"/>
      <c r="ED1348" s="90"/>
      <c r="EE1348" s="90"/>
      <c r="EF1348" s="90"/>
      <c r="EG1348" s="90"/>
      <c r="EH1348" s="102"/>
    </row>
    <row r="1349" spans="1:138" ht="23.25" customHeight="1" x14ac:dyDescent="0.25">
      <c r="A1349" s="98"/>
      <c r="B1349" s="99"/>
      <c r="C1349" s="99"/>
      <c r="D1349" s="99"/>
      <c r="E1349" s="99"/>
      <c r="F1349" s="99"/>
      <c r="G1349" s="99"/>
      <c r="H1349" s="99"/>
      <c r="I1349" s="99"/>
      <c r="J1349" s="99"/>
      <c r="K1349" s="99"/>
      <c r="L1349" s="99"/>
      <c r="M1349" s="99"/>
      <c r="N1349" s="99"/>
      <c r="O1349" s="99"/>
      <c r="P1349" s="99"/>
      <c r="Q1349" s="99"/>
      <c r="R1349" s="99"/>
      <c r="S1349" s="99"/>
      <c r="T1349" s="99"/>
      <c r="U1349" s="99"/>
      <c r="V1349" s="99"/>
      <c r="W1349" s="99"/>
      <c r="X1349" s="99"/>
      <c r="Y1349" s="99"/>
      <c r="Z1349" s="99"/>
      <c r="AA1349" s="99"/>
      <c r="AB1349" s="99"/>
      <c r="AC1349" s="99"/>
      <c r="AD1349" s="99"/>
      <c r="AE1349" s="99"/>
      <c r="AF1349" s="99"/>
      <c r="AG1349" s="99"/>
      <c r="AH1349" s="99"/>
      <c r="AI1349" s="99"/>
      <c r="AJ1349" s="99"/>
      <c r="AK1349" s="99"/>
      <c r="AL1349" s="99"/>
      <c r="AM1349" s="99"/>
      <c r="AN1349" s="99"/>
      <c r="AO1349" s="99"/>
      <c r="AP1349" s="99"/>
      <c r="AQ1349" s="99"/>
      <c r="AR1349" s="99"/>
      <c r="AS1349" s="99"/>
      <c r="AT1349" s="99"/>
      <c r="AU1349" s="99"/>
      <c r="AV1349" s="99"/>
      <c r="AW1349" s="99"/>
      <c r="AX1349" s="99"/>
      <c r="AY1349" s="99"/>
      <c r="AZ1349" s="99"/>
      <c r="BA1349" s="99"/>
      <c r="BB1349" s="99"/>
      <c r="BC1349" s="99"/>
      <c r="BD1349" s="99"/>
      <c r="BE1349" s="99"/>
      <c r="BF1349" s="99"/>
      <c r="BG1349" s="99"/>
      <c r="BH1349" s="99"/>
      <c r="BI1349" s="99"/>
      <c r="BJ1349" s="99"/>
      <c r="BK1349" s="99"/>
      <c r="BL1349" s="99"/>
      <c r="BM1349" s="99"/>
      <c r="BN1349" s="99"/>
      <c r="BO1349" s="99"/>
      <c r="BP1349" s="99"/>
      <c r="BQ1349" s="99"/>
      <c r="BR1349" s="99"/>
      <c r="BS1349" s="99"/>
      <c r="BT1349" s="99"/>
      <c r="BU1349" s="99"/>
      <c r="BV1349" s="99"/>
      <c r="BW1349" s="99"/>
      <c r="BX1349" s="99"/>
      <c r="BY1349" s="99"/>
      <c r="BZ1349" s="99"/>
      <c r="CA1349" s="99"/>
      <c r="CB1349" s="99"/>
      <c r="CC1349" s="99"/>
      <c r="CD1349" s="99"/>
      <c r="CE1349" s="99"/>
      <c r="CF1349" s="99"/>
      <c r="CG1349" s="99"/>
      <c r="CH1349" s="99"/>
      <c r="CI1349" s="99"/>
      <c r="CJ1349" s="99"/>
      <c r="CK1349" s="99"/>
      <c r="CL1349" s="99"/>
      <c r="CM1349" s="99"/>
      <c r="CN1349" s="99"/>
      <c r="CO1349" s="99"/>
      <c r="CP1349" s="99"/>
      <c r="CQ1349" s="99"/>
      <c r="CR1349" s="99"/>
      <c r="CS1349" s="99"/>
      <c r="CT1349" s="99"/>
      <c r="CU1349" s="99"/>
      <c r="CV1349" s="99"/>
      <c r="CW1349" s="99"/>
      <c r="CX1349" s="99"/>
      <c r="CY1349" s="99"/>
      <c r="CZ1349" s="99"/>
      <c r="DA1349" s="99"/>
      <c r="DB1349" s="99"/>
      <c r="DC1349" s="99"/>
      <c r="DD1349" s="99"/>
      <c r="DE1349" s="99"/>
      <c r="DF1349" s="99"/>
      <c r="DG1349" s="99"/>
      <c r="DH1349" s="99"/>
      <c r="DI1349" s="99"/>
      <c r="DJ1349" s="99"/>
      <c r="DK1349" s="99"/>
      <c r="DL1349" s="99"/>
      <c r="DM1349" s="99"/>
      <c r="DN1349" s="99"/>
      <c r="DO1349" s="99"/>
      <c r="DP1349" s="99"/>
      <c r="DQ1349" s="99"/>
      <c r="DR1349" s="99"/>
      <c r="DS1349" s="99"/>
      <c r="DT1349" s="99"/>
      <c r="DU1349" s="99"/>
      <c r="DV1349" s="99"/>
      <c r="DW1349" s="99"/>
      <c r="DX1349" s="99"/>
      <c r="DY1349" s="99"/>
      <c r="DZ1349" s="99"/>
      <c r="EA1349" s="99"/>
      <c r="EB1349" s="99"/>
      <c r="EC1349" s="99"/>
      <c r="ED1349" s="99"/>
      <c r="EE1349" s="99"/>
      <c r="EF1349" s="99"/>
      <c r="EG1349" s="99"/>
      <c r="EH1349" s="100"/>
    </row>
    <row r="1350" spans="1:138" ht="23.25" customHeight="1" x14ac:dyDescent="0.25">
      <c r="A1350" s="101"/>
      <c r="B1350" s="90"/>
      <c r="C1350" s="90"/>
      <c r="D1350" s="90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0"/>
      <c r="AA1350" s="90"/>
      <c r="AB1350" s="90"/>
      <c r="AC1350" s="90"/>
      <c r="AD1350" s="90"/>
      <c r="AE1350" s="90"/>
      <c r="AF1350" s="90"/>
      <c r="AG1350" s="90"/>
      <c r="AH1350" s="90"/>
      <c r="AI1350" s="90"/>
      <c r="AJ1350" s="90"/>
      <c r="AK1350" s="90"/>
      <c r="AL1350" s="90"/>
      <c r="AM1350" s="90"/>
      <c r="AN1350" s="90"/>
      <c r="AO1350" s="90"/>
      <c r="AP1350" s="90"/>
      <c r="AQ1350" s="90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  <c r="CB1350" s="90"/>
      <c r="CC1350" s="90"/>
      <c r="CD1350" s="90"/>
      <c r="CE1350" s="90"/>
      <c r="CF1350" s="90"/>
      <c r="CG1350" s="90"/>
      <c r="CH1350" s="90"/>
      <c r="CI1350" s="90"/>
      <c r="CJ1350" s="90"/>
      <c r="CK1350" s="90"/>
      <c r="CL1350" s="90"/>
      <c r="CM1350" s="90"/>
      <c r="CN1350" s="90"/>
      <c r="CO1350" s="90"/>
      <c r="CP1350" s="90"/>
      <c r="CQ1350" s="90"/>
      <c r="CR1350" s="90"/>
      <c r="CS1350" s="90"/>
      <c r="CT1350" s="90"/>
      <c r="CU1350" s="90"/>
      <c r="CV1350" s="90"/>
      <c r="CW1350" s="90"/>
      <c r="CX1350" s="90"/>
      <c r="CY1350" s="90"/>
      <c r="CZ1350" s="90"/>
      <c r="DA1350" s="90"/>
      <c r="DB1350" s="90"/>
      <c r="DC1350" s="90"/>
      <c r="DD1350" s="90"/>
      <c r="DE1350" s="90"/>
      <c r="DF1350" s="90"/>
      <c r="DG1350" s="90"/>
      <c r="DH1350" s="90"/>
      <c r="DI1350" s="90"/>
      <c r="DJ1350" s="90"/>
      <c r="DK1350" s="90"/>
      <c r="DL1350" s="90"/>
      <c r="DM1350" s="90"/>
      <c r="DN1350" s="90"/>
      <c r="DO1350" s="90"/>
      <c r="DP1350" s="90"/>
      <c r="DQ1350" s="90"/>
      <c r="DR1350" s="90"/>
      <c r="DS1350" s="90"/>
      <c r="DT1350" s="90"/>
      <c r="DU1350" s="90"/>
      <c r="DV1350" s="90"/>
      <c r="DW1350" s="90"/>
      <c r="DX1350" s="90"/>
      <c r="DY1350" s="90"/>
      <c r="DZ1350" s="90"/>
      <c r="EA1350" s="90"/>
      <c r="EB1350" s="90"/>
      <c r="EC1350" s="90"/>
      <c r="ED1350" s="90"/>
      <c r="EE1350" s="90"/>
      <c r="EF1350" s="90"/>
      <c r="EG1350" s="90"/>
      <c r="EH1350" s="102"/>
    </row>
    <row r="1351" spans="1:138" ht="23.25" customHeight="1" x14ac:dyDescent="0.25">
      <c r="A1351" s="98"/>
      <c r="B1351" s="99"/>
      <c r="C1351" s="99"/>
      <c r="D1351" s="99"/>
      <c r="E1351" s="99"/>
      <c r="F1351" s="99"/>
      <c r="G1351" s="99"/>
      <c r="H1351" s="99"/>
      <c r="I1351" s="99"/>
      <c r="J1351" s="99"/>
      <c r="K1351" s="99"/>
      <c r="L1351" s="99"/>
      <c r="M1351" s="99"/>
      <c r="N1351" s="99"/>
      <c r="O1351" s="99"/>
      <c r="P1351" s="99"/>
      <c r="Q1351" s="99"/>
      <c r="R1351" s="99"/>
      <c r="S1351" s="99"/>
      <c r="T1351" s="99"/>
      <c r="U1351" s="99"/>
      <c r="V1351" s="99"/>
      <c r="W1351" s="99"/>
      <c r="X1351" s="99"/>
      <c r="Y1351" s="99"/>
      <c r="Z1351" s="99"/>
      <c r="AA1351" s="99"/>
      <c r="AB1351" s="99"/>
      <c r="AC1351" s="99"/>
      <c r="AD1351" s="99"/>
      <c r="AE1351" s="99"/>
      <c r="AF1351" s="99"/>
      <c r="AG1351" s="99"/>
      <c r="AH1351" s="99"/>
      <c r="AI1351" s="99"/>
      <c r="AJ1351" s="99"/>
      <c r="AK1351" s="99"/>
      <c r="AL1351" s="99"/>
      <c r="AM1351" s="99"/>
      <c r="AN1351" s="99"/>
      <c r="AO1351" s="99"/>
      <c r="AP1351" s="99"/>
      <c r="AQ1351" s="99"/>
      <c r="AR1351" s="99"/>
      <c r="AS1351" s="99"/>
      <c r="AT1351" s="99"/>
      <c r="AU1351" s="99"/>
      <c r="AV1351" s="99"/>
      <c r="AW1351" s="99"/>
      <c r="AX1351" s="99"/>
      <c r="AY1351" s="99"/>
      <c r="AZ1351" s="99"/>
      <c r="BA1351" s="99"/>
      <c r="BB1351" s="99"/>
      <c r="BC1351" s="99"/>
      <c r="BD1351" s="99"/>
      <c r="BE1351" s="99"/>
      <c r="BF1351" s="99"/>
      <c r="BG1351" s="99"/>
      <c r="BH1351" s="99"/>
      <c r="BI1351" s="99"/>
      <c r="BJ1351" s="99"/>
      <c r="BK1351" s="99"/>
      <c r="BL1351" s="99"/>
      <c r="BM1351" s="99"/>
      <c r="BN1351" s="99"/>
      <c r="BO1351" s="99"/>
      <c r="BP1351" s="99"/>
      <c r="BQ1351" s="99"/>
      <c r="BR1351" s="99"/>
      <c r="BS1351" s="99"/>
      <c r="BT1351" s="99"/>
      <c r="BU1351" s="99"/>
      <c r="BV1351" s="99"/>
      <c r="BW1351" s="99"/>
      <c r="BX1351" s="99"/>
      <c r="BY1351" s="99"/>
      <c r="BZ1351" s="99"/>
      <c r="CA1351" s="99"/>
      <c r="CB1351" s="99"/>
      <c r="CC1351" s="99"/>
      <c r="CD1351" s="99"/>
      <c r="CE1351" s="99"/>
      <c r="CF1351" s="99"/>
      <c r="CG1351" s="99"/>
      <c r="CH1351" s="99"/>
      <c r="CI1351" s="99"/>
      <c r="CJ1351" s="99"/>
      <c r="CK1351" s="99"/>
      <c r="CL1351" s="99"/>
      <c r="CM1351" s="99"/>
      <c r="CN1351" s="99"/>
      <c r="CO1351" s="99"/>
      <c r="CP1351" s="99"/>
      <c r="CQ1351" s="99"/>
      <c r="CR1351" s="99"/>
      <c r="CS1351" s="99"/>
      <c r="CT1351" s="99"/>
      <c r="CU1351" s="99"/>
      <c r="CV1351" s="99"/>
      <c r="CW1351" s="99"/>
      <c r="CX1351" s="99"/>
      <c r="CY1351" s="99"/>
      <c r="CZ1351" s="99"/>
      <c r="DA1351" s="99"/>
      <c r="DB1351" s="99"/>
      <c r="DC1351" s="99"/>
      <c r="DD1351" s="99"/>
      <c r="DE1351" s="99"/>
      <c r="DF1351" s="99"/>
      <c r="DG1351" s="99"/>
      <c r="DH1351" s="99"/>
      <c r="DI1351" s="99"/>
      <c r="DJ1351" s="99"/>
      <c r="DK1351" s="99"/>
      <c r="DL1351" s="99"/>
      <c r="DM1351" s="99"/>
      <c r="DN1351" s="99"/>
      <c r="DO1351" s="99"/>
      <c r="DP1351" s="99"/>
      <c r="DQ1351" s="99"/>
      <c r="DR1351" s="99"/>
      <c r="DS1351" s="99"/>
      <c r="DT1351" s="99"/>
      <c r="DU1351" s="99"/>
      <c r="DV1351" s="99"/>
      <c r="DW1351" s="99"/>
      <c r="DX1351" s="99"/>
      <c r="DY1351" s="99"/>
      <c r="DZ1351" s="99"/>
      <c r="EA1351" s="99"/>
      <c r="EB1351" s="99"/>
      <c r="EC1351" s="99"/>
      <c r="ED1351" s="99"/>
      <c r="EE1351" s="99"/>
      <c r="EF1351" s="99"/>
      <c r="EG1351" s="99"/>
      <c r="EH1351" s="100"/>
    </row>
    <row r="1352" spans="1:138" ht="23.25" customHeight="1" x14ac:dyDescent="0.25">
      <c r="A1352" s="101"/>
      <c r="B1352" s="90"/>
      <c r="C1352" s="90"/>
      <c r="D1352" s="90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0"/>
      <c r="AA1352" s="90"/>
      <c r="AB1352" s="90"/>
      <c r="AC1352" s="90"/>
      <c r="AD1352" s="90"/>
      <c r="AE1352" s="90"/>
      <c r="AF1352" s="90"/>
      <c r="AG1352" s="90"/>
      <c r="AH1352" s="90"/>
      <c r="AI1352" s="90"/>
      <c r="AJ1352" s="90"/>
      <c r="AK1352" s="90"/>
      <c r="AL1352" s="90"/>
      <c r="AM1352" s="90"/>
      <c r="AN1352" s="90"/>
      <c r="AO1352" s="90"/>
      <c r="AP1352" s="90"/>
      <c r="AQ1352" s="90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  <c r="CB1352" s="90"/>
      <c r="CC1352" s="90"/>
      <c r="CD1352" s="90"/>
      <c r="CE1352" s="90"/>
      <c r="CF1352" s="90"/>
      <c r="CG1352" s="90"/>
      <c r="CH1352" s="90"/>
      <c r="CI1352" s="90"/>
      <c r="CJ1352" s="90"/>
      <c r="CK1352" s="90"/>
      <c r="CL1352" s="90"/>
      <c r="CM1352" s="90"/>
      <c r="CN1352" s="90"/>
      <c r="CO1352" s="90"/>
      <c r="CP1352" s="90"/>
      <c r="CQ1352" s="90"/>
      <c r="CR1352" s="90"/>
      <c r="CS1352" s="90"/>
      <c r="CT1352" s="90"/>
      <c r="CU1352" s="90"/>
      <c r="CV1352" s="90"/>
      <c r="CW1352" s="90"/>
      <c r="CX1352" s="90"/>
      <c r="CY1352" s="90"/>
      <c r="CZ1352" s="90"/>
      <c r="DA1352" s="90"/>
      <c r="DB1352" s="90"/>
      <c r="DC1352" s="90"/>
      <c r="DD1352" s="90"/>
      <c r="DE1352" s="90"/>
      <c r="DF1352" s="90"/>
      <c r="DG1352" s="90"/>
      <c r="DH1352" s="90"/>
      <c r="DI1352" s="90"/>
      <c r="DJ1352" s="90"/>
      <c r="DK1352" s="90"/>
      <c r="DL1352" s="90"/>
      <c r="DM1352" s="90"/>
      <c r="DN1352" s="90"/>
      <c r="DO1352" s="90"/>
      <c r="DP1352" s="90"/>
      <c r="DQ1352" s="90"/>
      <c r="DR1352" s="90"/>
      <c r="DS1352" s="90"/>
      <c r="DT1352" s="90"/>
      <c r="DU1352" s="90"/>
      <c r="DV1352" s="90"/>
      <c r="DW1352" s="90"/>
      <c r="DX1352" s="90"/>
      <c r="DY1352" s="90"/>
      <c r="DZ1352" s="90"/>
      <c r="EA1352" s="90"/>
      <c r="EB1352" s="90"/>
      <c r="EC1352" s="90"/>
      <c r="ED1352" s="90"/>
      <c r="EE1352" s="90"/>
      <c r="EF1352" s="90"/>
      <c r="EG1352" s="90"/>
      <c r="EH1352" s="102"/>
    </row>
    <row r="1353" spans="1:138" ht="23.25" customHeight="1" x14ac:dyDescent="0.25">
      <c r="A1353" s="98"/>
      <c r="B1353" s="99"/>
      <c r="C1353" s="99"/>
      <c r="D1353" s="99"/>
      <c r="E1353" s="99"/>
      <c r="F1353" s="99"/>
      <c r="G1353" s="99"/>
      <c r="H1353" s="99"/>
      <c r="I1353" s="99"/>
      <c r="J1353" s="99"/>
      <c r="K1353" s="99"/>
      <c r="L1353" s="99"/>
      <c r="M1353" s="99"/>
      <c r="N1353" s="99"/>
      <c r="O1353" s="99"/>
      <c r="P1353" s="99"/>
      <c r="Q1353" s="99"/>
      <c r="R1353" s="99"/>
      <c r="S1353" s="99"/>
      <c r="T1353" s="99"/>
      <c r="U1353" s="99"/>
      <c r="V1353" s="99"/>
      <c r="W1353" s="99"/>
      <c r="X1353" s="99"/>
      <c r="Y1353" s="99"/>
      <c r="Z1353" s="99"/>
      <c r="AA1353" s="99"/>
      <c r="AB1353" s="99"/>
      <c r="AC1353" s="99"/>
      <c r="AD1353" s="99"/>
      <c r="AE1353" s="99"/>
      <c r="AF1353" s="99"/>
      <c r="AG1353" s="99"/>
      <c r="AH1353" s="99"/>
      <c r="AI1353" s="99"/>
      <c r="AJ1353" s="99"/>
      <c r="AK1353" s="99"/>
      <c r="AL1353" s="99"/>
      <c r="AM1353" s="99"/>
      <c r="AN1353" s="99"/>
      <c r="AO1353" s="99"/>
      <c r="AP1353" s="99"/>
      <c r="AQ1353" s="99"/>
      <c r="AR1353" s="99"/>
      <c r="AS1353" s="99"/>
      <c r="AT1353" s="99"/>
      <c r="AU1353" s="99"/>
      <c r="AV1353" s="99"/>
      <c r="AW1353" s="99"/>
      <c r="AX1353" s="99"/>
      <c r="AY1353" s="99"/>
      <c r="AZ1353" s="99"/>
      <c r="BA1353" s="99"/>
      <c r="BB1353" s="99"/>
      <c r="BC1353" s="99"/>
      <c r="BD1353" s="99"/>
      <c r="BE1353" s="99"/>
      <c r="BF1353" s="99"/>
      <c r="BG1353" s="99"/>
      <c r="BH1353" s="99"/>
      <c r="BI1353" s="99"/>
      <c r="BJ1353" s="99"/>
      <c r="BK1353" s="99"/>
      <c r="BL1353" s="99"/>
      <c r="BM1353" s="99"/>
      <c r="BN1353" s="99"/>
      <c r="BO1353" s="99"/>
      <c r="BP1353" s="99"/>
      <c r="BQ1353" s="99"/>
      <c r="BR1353" s="99"/>
      <c r="BS1353" s="99"/>
      <c r="BT1353" s="99"/>
      <c r="BU1353" s="99"/>
      <c r="BV1353" s="99"/>
      <c r="BW1353" s="99"/>
      <c r="BX1353" s="99"/>
      <c r="BY1353" s="99"/>
      <c r="BZ1353" s="99"/>
      <c r="CA1353" s="99"/>
      <c r="CB1353" s="99"/>
      <c r="CC1353" s="99"/>
      <c r="CD1353" s="99"/>
      <c r="CE1353" s="99"/>
      <c r="CF1353" s="99"/>
      <c r="CG1353" s="99"/>
      <c r="CH1353" s="99"/>
      <c r="CI1353" s="99"/>
      <c r="CJ1353" s="99"/>
      <c r="CK1353" s="99"/>
      <c r="CL1353" s="99"/>
      <c r="CM1353" s="99"/>
      <c r="CN1353" s="99"/>
      <c r="CO1353" s="99"/>
      <c r="CP1353" s="99"/>
      <c r="CQ1353" s="99"/>
      <c r="CR1353" s="99"/>
      <c r="CS1353" s="99"/>
      <c r="CT1353" s="99"/>
      <c r="CU1353" s="99"/>
      <c r="CV1353" s="99"/>
      <c r="CW1353" s="99"/>
      <c r="CX1353" s="99"/>
      <c r="CY1353" s="99"/>
      <c r="CZ1353" s="99"/>
      <c r="DA1353" s="99"/>
      <c r="DB1353" s="99"/>
      <c r="DC1353" s="99"/>
      <c r="DD1353" s="99"/>
      <c r="DE1353" s="99"/>
      <c r="DF1353" s="99"/>
      <c r="DG1353" s="99"/>
      <c r="DH1353" s="99"/>
      <c r="DI1353" s="99"/>
      <c r="DJ1353" s="99"/>
      <c r="DK1353" s="99"/>
      <c r="DL1353" s="99"/>
      <c r="DM1353" s="99"/>
      <c r="DN1353" s="99"/>
      <c r="DO1353" s="99"/>
      <c r="DP1353" s="99"/>
      <c r="DQ1353" s="99"/>
      <c r="DR1353" s="99"/>
      <c r="DS1353" s="99"/>
      <c r="DT1353" s="99"/>
      <c r="DU1353" s="99"/>
      <c r="DV1353" s="99"/>
      <c r="DW1353" s="99"/>
      <c r="DX1353" s="99"/>
      <c r="DY1353" s="99"/>
      <c r="DZ1353" s="99"/>
      <c r="EA1353" s="99"/>
      <c r="EB1353" s="99"/>
      <c r="EC1353" s="99"/>
      <c r="ED1353" s="99"/>
      <c r="EE1353" s="99"/>
      <c r="EF1353" s="99"/>
      <c r="EG1353" s="99"/>
      <c r="EH1353" s="100"/>
    </row>
    <row r="1354" spans="1:138" ht="23.25" customHeight="1" x14ac:dyDescent="0.25">
      <c r="A1354" s="101"/>
      <c r="B1354" s="90"/>
      <c r="C1354" s="90"/>
      <c r="D1354" s="90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0"/>
      <c r="AA1354" s="90"/>
      <c r="AB1354" s="90"/>
      <c r="AC1354" s="90"/>
      <c r="AD1354" s="90"/>
      <c r="AE1354" s="90"/>
      <c r="AF1354" s="90"/>
      <c r="AG1354" s="90"/>
      <c r="AH1354" s="90"/>
      <c r="AI1354" s="90"/>
      <c r="AJ1354" s="90"/>
      <c r="AK1354" s="90"/>
      <c r="AL1354" s="90"/>
      <c r="AM1354" s="90"/>
      <c r="AN1354" s="90"/>
      <c r="AO1354" s="90"/>
      <c r="AP1354" s="90"/>
      <c r="AQ1354" s="90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  <c r="CB1354" s="90"/>
      <c r="CC1354" s="90"/>
      <c r="CD1354" s="90"/>
      <c r="CE1354" s="90"/>
      <c r="CF1354" s="90"/>
      <c r="CG1354" s="90"/>
      <c r="CH1354" s="90"/>
      <c r="CI1354" s="90"/>
      <c r="CJ1354" s="90"/>
      <c r="CK1354" s="90"/>
      <c r="CL1354" s="90"/>
      <c r="CM1354" s="90"/>
      <c r="CN1354" s="90"/>
      <c r="CO1354" s="90"/>
      <c r="CP1354" s="90"/>
      <c r="CQ1354" s="90"/>
      <c r="CR1354" s="90"/>
      <c r="CS1354" s="90"/>
      <c r="CT1354" s="90"/>
      <c r="CU1354" s="90"/>
      <c r="CV1354" s="90"/>
      <c r="CW1354" s="90"/>
      <c r="CX1354" s="90"/>
      <c r="CY1354" s="90"/>
      <c r="CZ1354" s="90"/>
      <c r="DA1354" s="90"/>
      <c r="DB1354" s="90"/>
      <c r="DC1354" s="90"/>
      <c r="DD1354" s="90"/>
      <c r="DE1354" s="90"/>
      <c r="DF1354" s="90"/>
      <c r="DG1354" s="90"/>
      <c r="DH1354" s="90"/>
      <c r="DI1354" s="90"/>
      <c r="DJ1354" s="90"/>
      <c r="DK1354" s="90"/>
      <c r="DL1354" s="90"/>
      <c r="DM1354" s="90"/>
      <c r="DN1354" s="90"/>
      <c r="DO1354" s="90"/>
      <c r="DP1354" s="90"/>
      <c r="DQ1354" s="90"/>
      <c r="DR1354" s="90"/>
      <c r="DS1354" s="90"/>
      <c r="DT1354" s="90"/>
      <c r="DU1354" s="90"/>
      <c r="DV1354" s="90"/>
      <c r="DW1354" s="90"/>
      <c r="DX1354" s="90"/>
      <c r="DY1354" s="90"/>
      <c r="DZ1354" s="90"/>
      <c r="EA1354" s="90"/>
      <c r="EB1354" s="90"/>
      <c r="EC1354" s="90"/>
      <c r="ED1354" s="90"/>
      <c r="EE1354" s="90"/>
      <c r="EF1354" s="90"/>
      <c r="EG1354" s="90"/>
      <c r="EH1354" s="102"/>
    </row>
    <row r="1355" spans="1:138" ht="23.25" customHeight="1" x14ac:dyDescent="0.25">
      <c r="A1355" s="98"/>
      <c r="B1355" s="99"/>
      <c r="C1355" s="99"/>
      <c r="D1355" s="99"/>
      <c r="E1355" s="99"/>
      <c r="F1355" s="99"/>
      <c r="G1355" s="99"/>
      <c r="H1355" s="99"/>
      <c r="I1355" s="99"/>
      <c r="J1355" s="99"/>
      <c r="K1355" s="99"/>
      <c r="L1355" s="99"/>
      <c r="M1355" s="99"/>
      <c r="N1355" s="99"/>
      <c r="O1355" s="99"/>
      <c r="P1355" s="99"/>
      <c r="Q1355" s="99"/>
      <c r="R1355" s="99"/>
      <c r="S1355" s="99"/>
      <c r="T1355" s="99"/>
      <c r="U1355" s="99"/>
      <c r="V1355" s="99"/>
      <c r="W1355" s="99"/>
      <c r="X1355" s="99"/>
      <c r="Y1355" s="99"/>
      <c r="Z1355" s="99"/>
      <c r="AA1355" s="99"/>
      <c r="AB1355" s="99"/>
      <c r="AC1355" s="99"/>
      <c r="AD1355" s="99"/>
      <c r="AE1355" s="99"/>
      <c r="AF1355" s="99"/>
      <c r="AG1355" s="99"/>
      <c r="AH1355" s="99"/>
      <c r="AI1355" s="99"/>
      <c r="AJ1355" s="99"/>
      <c r="AK1355" s="99"/>
      <c r="AL1355" s="99"/>
      <c r="AM1355" s="99"/>
      <c r="AN1355" s="99"/>
      <c r="AO1355" s="99"/>
      <c r="AP1355" s="99"/>
      <c r="AQ1355" s="99"/>
      <c r="AR1355" s="99"/>
      <c r="AS1355" s="99"/>
      <c r="AT1355" s="99"/>
      <c r="AU1355" s="99"/>
      <c r="AV1355" s="99"/>
      <c r="AW1355" s="99"/>
      <c r="AX1355" s="99"/>
      <c r="AY1355" s="99"/>
      <c r="AZ1355" s="99"/>
      <c r="BA1355" s="99"/>
      <c r="BB1355" s="99"/>
      <c r="BC1355" s="99"/>
      <c r="BD1355" s="99"/>
      <c r="BE1355" s="99"/>
      <c r="BF1355" s="99"/>
      <c r="BG1355" s="99"/>
      <c r="BH1355" s="99"/>
      <c r="BI1355" s="99"/>
      <c r="BJ1355" s="99"/>
      <c r="BK1355" s="99"/>
      <c r="BL1355" s="99"/>
      <c r="BM1355" s="99"/>
      <c r="BN1355" s="99"/>
      <c r="BO1355" s="99"/>
      <c r="BP1355" s="99"/>
      <c r="BQ1355" s="99"/>
      <c r="BR1355" s="99"/>
      <c r="BS1355" s="99"/>
      <c r="BT1355" s="99"/>
      <c r="BU1355" s="99"/>
      <c r="BV1355" s="99"/>
      <c r="BW1355" s="99"/>
      <c r="BX1355" s="99"/>
      <c r="BY1355" s="99"/>
      <c r="BZ1355" s="99"/>
      <c r="CA1355" s="99"/>
      <c r="CB1355" s="99"/>
      <c r="CC1355" s="99"/>
      <c r="CD1355" s="99"/>
      <c r="CE1355" s="99"/>
      <c r="CF1355" s="99"/>
      <c r="CG1355" s="99"/>
      <c r="CH1355" s="99"/>
      <c r="CI1355" s="99"/>
      <c r="CJ1355" s="99"/>
      <c r="CK1355" s="99"/>
      <c r="CL1355" s="99"/>
      <c r="CM1355" s="99"/>
      <c r="CN1355" s="99"/>
      <c r="CO1355" s="99"/>
      <c r="CP1355" s="99"/>
      <c r="CQ1355" s="99"/>
      <c r="CR1355" s="99"/>
      <c r="CS1355" s="99"/>
      <c r="CT1355" s="99"/>
      <c r="CU1355" s="99"/>
      <c r="CV1355" s="99"/>
      <c r="CW1355" s="99"/>
      <c r="CX1355" s="99"/>
      <c r="CY1355" s="99"/>
      <c r="CZ1355" s="99"/>
      <c r="DA1355" s="99"/>
      <c r="DB1355" s="99"/>
      <c r="DC1355" s="99"/>
      <c r="DD1355" s="99"/>
      <c r="DE1355" s="99"/>
      <c r="DF1355" s="99"/>
      <c r="DG1355" s="99"/>
      <c r="DH1355" s="99"/>
      <c r="DI1355" s="99"/>
      <c r="DJ1355" s="99"/>
      <c r="DK1355" s="99"/>
      <c r="DL1355" s="99"/>
      <c r="DM1355" s="99"/>
      <c r="DN1355" s="99"/>
      <c r="DO1355" s="99"/>
      <c r="DP1355" s="99"/>
      <c r="DQ1355" s="99"/>
      <c r="DR1355" s="99"/>
      <c r="DS1355" s="99"/>
      <c r="DT1355" s="99"/>
      <c r="DU1355" s="99"/>
      <c r="DV1355" s="99"/>
      <c r="DW1355" s="99"/>
      <c r="DX1355" s="99"/>
      <c r="DY1355" s="99"/>
      <c r="DZ1355" s="99"/>
      <c r="EA1355" s="99"/>
      <c r="EB1355" s="99"/>
      <c r="EC1355" s="99"/>
      <c r="ED1355" s="99"/>
      <c r="EE1355" s="99"/>
      <c r="EF1355" s="99"/>
      <c r="EG1355" s="99"/>
      <c r="EH1355" s="100"/>
    </row>
    <row r="1356" spans="1:138" ht="23.25" customHeight="1" x14ac:dyDescent="0.25">
      <c r="A1356" s="101"/>
      <c r="B1356" s="90"/>
      <c r="C1356" s="90"/>
      <c r="D1356" s="90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0"/>
      <c r="AA1356" s="90"/>
      <c r="AB1356" s="90"/>
      <c r="AC1356" s="90"/>
      <c r="AD1356" s="90"/>
      <c r="AE1356" s="90"/>
      <c r="AF1356" s="90"/>
      <c r="AG1356" s="90"/>
      <c r="AH1356" s="90"/>
      <c r="AI1356" s="90"/>
      <c r="AJ1356" s="90"/>
      <c r="AK1356" s="90"/>
      <c r="AL1356" s="90"/>
      <c r="AM1356" s="90"/>
      <c r="AN1356" s="90"/>
      <c r="AO1356" s="90"/>
      <c r="AP1356" s="90"/>
      <c r="AQ1356" s="90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  <c r="CB1356" s="90"/>
      <c r="CC1356" s="90"/>
      <c r="CD1356" s="90"/>
      <c r="CE1356" s="90"/>
      <c r="CF1356" s="90"/>
      <c r="CG1356" s="90"/>
      <c r="CH1356" s="90"/>
      <c r="CI1356" s="90"/>
      <c r="CJ1356" s="90"/>
      <c r="CK1356" s="90"/>
      <c r="CL1356" s="90"/>
      <c r="CM1356" s="90"/>
      <c r="CN1356" s="90"/>
      <c r="CO1356" s="90"/>
      <c r="CP1356" s="90"/>
      <c r="CQ1356" s="90"/>
      <c r="CR1356" s="90"/>
      <c r="CS1356" s="90"/>
      <c r="CT1356" s="90"/>
      <c r="CU1356" s="90"/>
      <c r="CV1356" s="90"/>
      <c r="CW1356" s="90"/>
      <c r="CX1356" s="90"/>
      <c r="CY1356" s="90"/>
      <c r="CZ1356" s="90"/>
      <c r="DA1356" s="90"/>
      <c r="DB1356" s="90"/>
      <c r="DC1356" s="90"/>
      <c r="DD1356" s="90"/>
      <c r="DE1356" s="90"/>
      <c r="DF1356" s="90"/>
      <c r="DG1356" s="90"/>
      <c r="DH1356" s="90"/>
      <c r="DI1356" s="90"/>
      <c r="DJ1356" s="90"/>
      <c r="DK1356" s="90"/>
      <c r="DL1356" s="90"/>
      <c r="DM1356" s="90"/>
      <c r="DN1356" s="90"/>
      <c r="DO1356" s="90"/>
      <c r="DP1356" s="90"/>
      <c r="DQ1356" s="90"/>
      <c r="DR1356" s="90"/>
      <c r="DS1356" s="90"/>
      <c r="DT1356" s="90"/>
      <c r="DU1356" s="90"/>
      <c r="DV1356" s="90"/>
      <c r="DW1356" s="90"/>
      <c r="DX1356" s="90"/>
      <c r="DY1356" s="90"/>
      <c r="DZ1356" s="90"/>
      <c r="EA1356" s="90"/>
      <c r="EB1356" s="90"/>
      <c r="EC1356" s="90"/>
      <c r="ED1356" s="90"/>
      <c r="EE1356" s="90"/>
      <c r="EF1356" s="90"/>
      <c r="EG1356" s="90"/>
      <c r="EH1356" s="102"/>
    </row>
    <row r="1357" spans="1:138" ht="23.25" customHeight="1" x14ac:dyDescent="0.25">
      <c r="A1357" s="98"/>
      <c r="B1357" s="99"/>
      <c r="C1357" s="99"/>
      <c r="D1357" s="99"/>
      <c r="E1357" s="99"/>
      <c r="F1357" s="99"/>
      <c r="G1357" s="99"/>
      <c r="H1357" s="99"/>
      <c r="I1357" s="99"/>
      <c r="J1357" s="99"/>
      <c r="K1357" s="99"/>
      <c r="L1357" s="99"/>
      <c r="M1357" s="99"/>
      <c r="N1357" s="99"/>
      <c r="O1357" s="99"/>
      <c r="P1357" s="99"/>
      <c r="Q1357" s="99"/>
      <c r="R1357" s="99"/>
      <c r="S1357" s="99"/>
      <c r="T1357" s="99"/>
      <c r="U1357" s="99"/>
      <c r="V1357" s="99"/>
      <c r="W1357" s="99"/>
      <c r="X1357" s="99"/>
      <c r="Y1357" s="99"/>
      <c r="Z1357" s="99"/>
      <c r="AA1357" s="99"/>
      <c r="AB1357" s="99"/>
      <c r="AC1357" s="99"/>
      <c r="AD1357" s="99"/>
      <c r="AE1357" s="99"/>
      <c r="AF1357" s="99"/>
      <c r="AG1357" s="99"/>
      <c r="AH1357" s="99"/>
      <c r="AI1357" s="99"/>
      <c r="AJ1357" s="99"/>
      <c r="AK1357" s="99"/>
      <c r="AL1357" s="99"/>
      <c r="AM1357" s="99"/>
      <c r="AN1357" s="99"/>
      <c r="AO1357" s="99"/>
      <c r="AP1357" s="99"/>
      <c r="AQ1357" s="99"/>
      <c r="AR1357" s="99"/>
      <c r="AS1357" s="99"/>
      <c r="AT1357" s="99"/>
      <c r="AU1357" s="99"/>
      <c r="AV1357" s="99"/>
      <c r="AW1357" s="99"/>
      <c r="AX1357" s="99"/>
      <c r="AY1357" s="99"/>
      <c r="AZ1357" s="99"/>
      <c r="BA1357" s="99"/>
      <c r="BB1357" s="99"/>
      <c r="BC1357" s="99"/>
      <c r="BD1357" s="99"/>
      <c r="BE1357" s="99"/>
      <c r="BF1357" s="99"/>
      <c r="BG1357" s="99"/>
      <c r="BH1357" s="99"/>
      <c r="BI1357" s="99"/>
      <c r="BJ1357" s="99"/>
      <c r="BK1357" s="99"/>
      <c r="BL1357" s="99"/>
      <c r="BM1357" s="99"/>
      <c r="BN1357" s="99"/>
      <c r="BO1357" s="99"/>
      <c r="BP1357" s="99"/>
      <c r="BQ1357" s="99"/>
      <c r="BR1357" s="99"/>
      <c r="BS1357" s="99"/>
      <c r="BT1357" s="99"/>
      <c r="BU1357" s="99"/>
      <c r="BV1357" s="99"/>
      <c r="BW1357" s="99"/>
      <c r="BX1357" s="99"/>
      <c r="BY1357" s="99"/>
      <c r="BZ1357" s="99"/>
      <c r="CA1357" s="99"/>
      <c r="CB1357" s="99"/>
      <c r="CC1357" s="99"/>
      <c r="CD1357" s="99"/>
      <c r="CE1357" s="99"/>
      <c r="CF1357" s="99"/>
      <c r="CG1357" s="99"/>
      <c r="CH1357" s="99"/>
      <c r="CI1357" s="99"/>
      <c r="CJ1357" s="99"/>
      <c r="CK1357" s="99"/>
      <c r="CL1357" s="99"/>
      <c r="CM1357" s="99"/>
      <c r="CN1357" s="99"/>
      <c r="CO1357" s="99"/>
      <c r="CP1357" s="99"/>
      <c r="CQ1357" s="99"/>
      <c r="CR1357" s="99"/>
      <c r="CS1357" s="99"/>
      <c r="CT1357" s="99"/>
      <c r="CU1357" s="99"/>
      <c r="CV1357" s="99"/>
      <c r="CW1357" s="99"/>
      <c r="CX1357" s="99"/>
      <c r="CY1357" s="99"/>
      <c r="CZ1357" s="99"/>
      <c r="DA1357" s="99"/>
      <c r="DB1357" s="99"/>
      <c r="DC1357" s="99"/>
      <c r="DD1357" s="99"/>
      <c r="DE1357" s="99"/>
      <c r="DF1357" s="99"/>
      <c r="DG1357" s="99"/>
      <c r="DH1357" s="99"/>
      <c r="DI1357" s="99"/>
      <c r="DJ1357" s="99"/>
      <c r="DK1357" s="99"/>
      <c r="DL1357" s="99"/>
      <c r="DM1357" s="99"/>
      <c r="DN1357" s="99"/>
      <c r="DO1357" s="99"/>
      <c r="DP1357" s="99"/>
      <c r="DQ1357" s="99"/>
      <c r="DR1357" s="99"/>
      <c r="DS1357" s="99"/>
      <c r="DT1357" s="99"/>
      <c r="DU1357" s="99"/>
      <c r="DV1357" s="99"/>
      <c r="DW1357" s="99"/>
      <c r="DX1357" s="99"/>
      <c r="DY1357" s="99"/>
      <c r="DZ1357" s="99"/>
      <c r="EA1357" s="99"/>
      <c r="EB1357" s="99"/>
      <c r="EC1357" s="99"/>
      <c r="ED1357" s="99"/>
      <c r="EE1357" s="99"/>
      <c r="EF1357" s="99"/>
      <c r="EG1357" s="99"/>
      <c r="EH1357" s="100"/>
    </row>
    <row r="1358" spans="1:138" ht="23.25" customHeight="1" x14ac:dyDescent="0.25">
      <c r="A1358" s="101"/>
      <c r="B1358" s="90"/>
      <c r="C1358" s="90"/>
      <c r="D1358" s="90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0"/>
      <c r="AA1358" s="90"/>
      <c r="AB1358" s="90"/>
      <c r="AC1358" s="90"/>
      <c r="AD1358" s="90"/>
      <c r="AE1358" s="90"/>
      <c r="AF1358" s="90"/>
      <c r="AG1358" s="90"/>
      <c r="AH1358" s="90"/>
      <c r="AI1358" s="90"/>
      <c r="AJ1358" s="90"/>
      <c r="AK1358" s="90"/>
      <c r="AL1358" s="90"/>
      <c r="AM1358" s="90"/>
      <c r="AN1358" s="90"/>
      <c r="AO1358" s="90"/>
      <c r="AP1358" s="90"/>
      <c r="AQ1358" s="90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  <c r="CB1358" s="90"/>
      <c r="CC1358" s="90"/>
      <c r="CD1358" s="90"/>
      <c r="CE1358" s="90"/>
      <c r="CF1358" s="90"/>
      <c r="CG1358" s="90"/>
      <c r="CH1358" s="90"/>
      <c r="CI1358" s="90"/>
      <c r="CJ1358" s="90"/>
      <c r="CK1358" s="90"/>
      <c r="CL1358" s="90"/>
      <c r="CM1358" s="90"/>
      <c r="CN1358" s="90"/>
      <c r="CO1358" s="90"/>
      <c r="CP1358" s="90"/>
      <c r="CQ1358" s="90"/>
      <c r="CR1358" s="90"/>
      <c r="CS1358" s="90"/>
      <c r="CT1358" s="90"/>
      <c r="CU1358" s="90"/>
      <c r="CV1358" s="90"/>
      <c r="CW1358" s="90"/>
      <c r="CX1358" s="90"/>
      <c r="CY1358" s="90"/>
      <c r="CZ1358" s="90"/>
      <c r="DA1358" s="90"/>
      <c r="DB1358" s="90"/>
      <c r="DC1358" s="90"/>
      <c r="DD1358" s="90"/>
      <c r="DE1358" s="90"/>
      <c r="DF1358" s="90"/>
      <c r="DG1358" s="90"/>
      <c r="DH1358" s="90"/>
      <c r="DI1358" s="90"/>
      <c r="DJ1358" s="90"/>
      <c r="DK1358" s="90"/>
      <c r="DL1358" s="90"/>
      <c r="DM1358" s="90"/>
      <c r="DN1358" s="90"/>
      <c r="DO1358" s="90"/>
      <c r="DP1358" s="90"/>
      <c r="DQ1358" s="90"/>
      <c r="DR1358" s="90"/>
      <c r="DS1358" s="90"/>
      <c r="DT1358" s="90"/>
      <c r="DU1358" s="90"/>
      <c r="DV1358" s="90"/>
      <c r="DW1358" s="90"/>
      <c r="DX1358" s="90"/>
      <c r="DY1358" s="90"/>
      <c r="DZ1358" s="90"/>
      <c r="EA1358" s="90"/>
      <c r="EB1358" s="90"/>
      <c r="EC1358" s="90"/>
      <c r="ED1358" s="90"/>
      <c r="EE1358" s="90"/>
      <c r="EF1358" s="90"/>
      <c r="EG1358" s="90"/>
      <c r="EH1358" s="102"/>
    </row>
    <row r="1359" spans="1:138" ht="23.25" customHeight="1" x14ac:dyDescent="0.25">
      <c r="A1359" s="98"/>
      <c r="B1359" s="99"/>
      <c r="C1359" s="99"/>
      <c r="D1359" s="99"/>
      <c r="E1359" s="99"/>
      <c r="F1359" s="99"/>
      <c r="G1359" s="99"/>
      <c r="H1359" s="99"/>
      <c r="I1359" s="99"/>
      <c r="J1359" s="99"/>
      <c r="K1359" s="99"/>
      <c r="L1359" s="99"/>
      <c r="M1359" s="99"/>
      <c r="N1359" s="99"/>
      <c r="O1359" s="99"/>
      <c r="P1359" s="99"/>
      <c r="Q1359" s="99"/>
      <c r="R1359" s="99"/>
      <c r="S1359" s="99"/>
      <c r="T1359" s="99"/>
      <c r="U1359" s="99"/>
      <c r="V1359" s="99"/>
      <c r="W1359" s="99"/>
      <c r="X1359" s="99"/>
      <c r="Y1359" s="99"/>
      <c r="Z1359" s="99"/>
      <c r="AA1359" s="99"/>
      <c r="AB1359" s="99"/>
      <c r="AC1359" s="99"/>
      <c r="AD1359" s="99"/>
      <c r="AE1359" s="99"/>
      <c r="AF1359" s="99"/>
      <c r="AG1359" s="99"/>
      <c r="AH1359" s="99"/>
      <c r="AI1359" s="99"/>
      <c r="AJ1359" s="99"/>
      <c r="AK1359" s="99"/>
      <c r="AL1359" s="99"/>
      <c r="AM1359" s="99"/>
      <c r="AN1359" s="99"/>
      <c r="AO1359" s="99"/>
      <c r="AP1359" s="99"/>
      <c r="AQ1359" s="99"/>
      <c r="AR1359" s="99"/>
      <c r="AS1359" s="99"/>
      <c r="AT1359" s="99"/>
      <c r="AU1359" s="99"/>
      <c r="AV1359" s="99"/>
      <c r="AW1359" s="99"/>
      <c r="AX1359" s="99"/>
      <c r="AY1359" s="99"/>
      <c r="AZ1359" s="99"/>
      <c r="BA1359" s="99"/>
      <c r="BB1359" s="99"/>
      <c r="BC1359" s="99"/>
      <c r="BD1359" s="99"/>
      <c r="BE1359" s="99"/>
      <c r="BF1359" s="99"/>
      <c r="BG1359" s="99"/>
      <c r="BH1359" s="99"/>
      <c r="BI1359" s="99"/>
      <c r="BJ1359" s="99"/>
      <c r="BK1359" s="99"/>
      <c r="BL1359" s="99"/>
      <c r="BM1359" s="99"/>
      <c r="BN1359" s="99"/>
      <c r="BO1359" s="99"/>
      <c r="BP1359" s="99"/>
      <c r="BQ1359" s="99"/>
      <c r="BR1359" s="99"/>
      <c r="BS1359" s="99"/>
      <c r="BT1359" s="99"/>
      <c r="BU1359" s="99"/>
      <c r="BV1359" s="99"/>
      <c r="BW1359" s="99"/>
      <c r="BX1359" s="99"/>
      <c r="BY1359" s="99"/>
      <c r="BZ1359" s="99"/>
      <c r="CA1359" s="99"/>
      <c r="CB1359" s="99"/>
      <c r="CC1359" s="99"/>
      <c r="CD1359" s="99"/>
      <c r="CE1359" s="99"/>
      <c r="CF1359" s="99"/>
      <c r="CG1359" s="99"/>
      <c r="CH1359" s="99"/>
      <c r="CI1359" s="99"/>
      <c r="CJ1359" s="99"/>
      <c r="CK1359" s="99"/>
      <c r="CL1359" s="99"/>
      <c r="CM1359" s="99"/>
      <c r="CN1359" s="99"/>
      <c r="CO1359" s="99"/>
      <c r="CP1359" s="99"/>
      <c r="CQ1359" s="99"/>
      <c r="CR1359" s="99"/>
      <c r="CS1359" s="99"/>
      <c r="CT1359" s="99"/>
      <c r="CU1359" s="99"/>
      <c r="CV1359" s="99"/>
      <c r="CW1359" s="99"/>
      <c r="CX1359" s="99"/>
      <c r="CY1359" s="99"/>
      <c r="CZ1359" s="99"/>
      <c r="DA1359" s="99"/>
      <c r="DB1359" s="99"/>
      <c r="DC1359" s="99"/>
      <c r="DD1359" s="99"/>
      <c r="DE1359" s="99"/>
      <c r="DF1359" s="99"/>
      <c r="DG1359" s="99"/>
      <c r="DH1359" s="99"/>
      <c r="DI1359" s="99"/>
      <c r="DJ1359" s="99"/>
      <c r="DK1359" s="99"/>
      <c r="DL1359" s="99"/>
      <c r="DM1359" s="99"/>
      <c r="DN1359" s="99"/>
      <c r="DO1359" s="99"/>
      <c r="DP1359" s="99"/>
      <c r="DQ1359" s="99"/>
      <c r="DR1359" s="99"/>
      <c r="DS1359" s="99"/>
      <c r="DT1359" s="99"/>
      <c r="DU1359" s="99"/>
      <c r="DV1359" s="99"/>
      <c r="DW1359" s="99"/>
      <c r="DX1359" s="99"/>
      <c r="DY1359" s="99"/>
      <c r="DZ1359" s="99"/>
      <c r="EA1359" s="99"/>
      <c r="EB1359" s="99"/>
      <c r="EC1359" s="99"/>
      <c r="ED1359" s="99"/>
      <c r="EE1359" s="99"/>
      <c r="EF1359" s="99"/>
      <c r="EG1359" s="99"/>
      <c r="EH1359" s="100"/>
    </row>
    <row r="1360" spans="1:138" ht="23.25" customHeight="1" x14ac:dyDescent="0.25">
      <c r="A1360" s="101"/>
      <c r="B1360" s="90"/>
      <c r="C1360" s="90"/>
      <c r="D1360" s="90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0"/>
      <c r="AA1360" s="90"/>
      <c r="AB1360" s="90"/>
      <c r="AC1360" s="90"/>
      <c r="AD1360" s="90"/>
      <c r="AE1360" s="90"/>
      <c r="AF1360" s="90"/>
      <c r="AG1360" s="90"/>
      <c r="AH1360" s="90"/>
      <c r="AI1360" s="90"/>
      <c r="AJ1360" s="90"/>
      <c r="AK1360" s="90"/>
      <c r="AL1360" s="90"/>
      <c r="AM1360" s="90"/>
      <c r="AN1360" s="90"/>
      <c r="AO1360" s="90"/>
      <c r="AP1360" s="90"/>
      <c r="AQ1360" s="90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  <c r="CB1360" s="90"/>
      <c r="CC1360" s="90"/>
      <c r="CD1360" s="90"/>
      <c r="CE1360" s="90"/>
      <c r="CF1360" s="90"/>
      <c r="CG1360" s="90"/>
      <c r="CH1360" s="90"/>
      <c r="CI1360" s="90"/>
      <c r="CJ1360" s="90"/>
      <c r="CK1360" s="90"/>
      <c r="CL1360" s="90"/>
      <c r="CM1360" s="90"/>
      <c r="CN1360" s="90"/>
      <c r="CO1360" s="90"/>
      <c r="CP1360" s="90"/>
      <c r="CQ1360" s="90"/>
      <c r="CR1360" s="90"/>
      <c r="CS1360" s="90"/>
      <c r="CT1360" s="90"/>
      <c r="CU1360" s="90"/>
      <c r="CV1360" s="90"/>
      <c r="CW1360" s="90"/>
      <c r="CX1360" s="90"/>
      <c r="CY1360" s="90"/>
      <c r="CZ1360" s="90"/>
      <c r="DA1360" s="90"/>
      <c r="DB1360" s="90"/>
      <c r="DC1360" s="90"/>
      <c r="DD1360" s="90"/>
      <c r="DE1360" s="90"/>
      <c r="DF1360" s="90"/>
      <c r="DG1360" s="90"/>
      <c r="DH1360" s="90"/>
      <c r="DI1360" s="90"/>
      <c r="DJ1360" s="90"/>
      <c r="DK1360" s="90"/>
      <c r="DL1360" s="90"/>
      <c r="DM1360" s="90"/>
      <c r="DN1360" s="90"/>
      <c r="DO1360" s="90"/>
      <c r="DP1360" s="90"/>
      <c r="DQ1360" s="90"/>
      <c r="DR1360" s="90"/>
      <c r="DS1360" s="90"/>
      <c r="DT1360" s="90"/>
      <c r="DU1360" s="90"/>
      <c r="DV1360" s="90"/>
      <c r="DW1360" s="90"/>
      <c r="DX1360" s="90"/>
      <c r="DY1360" s="90"/>
      <c r="DZ1360" s="90"/>
      <c r="EA1360" s="90"/>
      <c r="EB1360" s="90"/>
      <c r="EC1360" s="90"/>
      <c r="ED1360" s="90"/>
      <c r="EE1360" s="90"/>
      <c r="EF1360" s="90"/>
      <c r="EG1360" s="90"/>
      <c r="EH1360" s="102"/>
    </row>
    <row r="1361" spans="1:138" ht="23.25" customHeight="1" x14ac:dyDescent="0.25">
      <c r="A1361" s="98"/>
      <c r="B1361" s="99"/>
      <c r="C1361" s="99"/>
      <c r="D1361" s="99"/>
      <c r="E1361" s="99"/>
      <c r="F1361" s="99"/>
      <c r="G1361" s="99"/>
      <c r="H1361" s="99"/>
      <c r="I1361" s="99"/>
      <c r="J1361" s="99"/>
      <c r="K1361" s="99"/>
      <c r="L1361" s="99"/>
      <c r="M1361" s="99"/>
      <c r="N1361" s="99"/>
      <c r="O1361" s="99"/>
      <c r="P1361" s="99"/>
      <c r="Q1361" s="99"/>
      <c r="R1361" s="99"/>
      <c r="S1361" s="99"/>
      <c r="T1361" s="99"/>
      <c r="U1361" s="99"/>
      <c r="V1361" s="99"/>
      <c r="W1361" s="99"/>
      <c r="X1361" s="99"/>
      <c r="Y1361" s="99"/>
      <c r="Z1361" s="99"/>
      <c r="AA1361" s="99"/>
      <c r="AB1361" s="99"/>
      <c r="AC1361" s="99"/>
      <c r="AD1361" s="99"/>
      <c r="AE1361" s="99"/>
      <c r="AF1361" s="99"/>
      <c r="AG1361" s="99"/>
      <c r="AH1361" s="99"/>
      <c r="AI1361" s="99"/>
      <c r="AJ1361" s="99"/>
      <c r="AK1361" s="99"/>
      <c r="AL1361" s="99"/>
      <c r="AM1361" s="99"/>
      <c r="AN1361" s="99"/>
      <c r="AO1361" s="99"/>
      <c r="AP1361" s="99"/>
      <c r="AQ1361" s="99"/>
      <c r="AR1361" s="99"/>
      <c r="AS1361" s="99"/>
      <c r="AT1361" s="99"/>
      <c r="AU1361" s="99"/>
      <c r="AV1361" s="99"/>
      <c r="AW1361" s="99"/>
      <c r="AX1361" s="99"/>
      <c r="AY1361" s="99"/>
      <c r="AZ1361" s="99"/>
      <c r="BA1361" s="99"/>
      <c r="BB1361" s="99"/>
      <c r="BC1361" s="99"/>
      <c r="BD1361" s="99"/>
      <c r="BE1361" s="99"/>
      <c r="BF1361" s="99"/>
      <c r="BG1361" s="99"/>
      <c r="BH1361" s="99"/>
      <c r="BI1361" s="99"/>
      <c r="BJ1361" s="99"/>
      <c r="BK1361" s="99"/>
      <c r="BL1361" s="99"/>
      <c r="BM1361" s="99"/>
      <c r="BN1361" s="99"/>
      <c r="BO1361" s="99"/>
      <c r="BP1361" s="99"/>
      <c r="BQ1361" s="99"/>
      <c r="BR1361" s="99"/>
      <c r="BS1361" s="99"/>
      <c r="BT1361" s="99"/>
      <c r="BU1361" s="99"/>
      <c r="BV1361" s="99"/>
      <c r="BW1361" s="99"/>
      <c r="BX1361" s="99"/>
      <c r="BY1361" s="99"/>
      <c r="BZ1361" s="99"/>
      <c r="CA1361" s="99"/>
      <c r="CB1361" s="99"/>
      <c r="CC1361" s="99"/>
      <c r="CD1361" s="99"/>
      <c r="CE1361" s="99"/>
      <c r="CF1361" s="99"/>
      <c r="CG1361" s="99"/>
      <c r="CH1361" s="99"/>
      <c r="CI1361" s="99"/>
      <c r="CJ1361" s="99"/>
      <c r="CK1361" s="99"/>
      <c r="CL1361" s="99"/>
      <c r="CM1361" s="99"/>
      <c r="CN1361" s="99"/>
      <c r="CO1361" s="99"/>
      <c r="CP1361" s="99"/>
      <c r="CQ1361" s="99"/>
      <c r="CR1361" s="99"/>
      <c r="CS1361" s="99"/>
      <c r="CT1361" s="99"/>
      <c r="CU1361" s="99"/>
      <c r="CV1361" s="99"/>
      <c r="CW1361" s="99"/>
      <c r="CX1361" s="99"/>
      <c r="CY1361" s="99"/>
      <c r="CZ1361" s="99"/>
      <c r="DA1361" s="99"/>
      <c r="DB1361" s="99"/>
      <c r="DC1361" s="99"/>
      <c r="DD1361" s="99"/>
      <c r="DE1361" s="99"/>
      <c r="DF1361" s="99"/>
      <c r="DG1361" s="99"/>
      <c r="DH1361" s="99"/>
      <c r="DI1361" s="99"/>
      <c r="DJ1361" s="99"/>
      <c r="DK1361" s="99"/>
      <c r="DL1361" s="99"/>
      <c r="DM1361" s="99"/>
      <c r="DN1361" s="99"/>
      <c r="DO1361" s="99"/>
      <c r="DP1361" s="99"/>
      <c r="DQ1361" s="99"/>
      <c r="DR1361" s="99"/>
      <c r="DS1361" s="99"/>
      <c r="DT1361" s="99"/>
      <c r="DU1361" s="99"/>
      <c r="DV1361" s="99"/>
      <c r="DW1361" s="99"/>
      <c r="DX1361" s="99"/>
      <c r="DY1361" s="99"/>
      <c r="DZ1361" s="99"/>
      <c r="EA1361" s="99"/>
      <c r="EB1361" s="99"/>
      <c r="EC1361" s="99"/>
      <c r="ED1361" s="99"/>
      <c r="EE1361" s="99"/>
      <c r="EF1361" s="99"/>
      <c r="EG1361" s="99"/>
      <c r="EH1361" s="100"/>
    </row>
    <row r="1362" spans="1:138" ht="23.25" customHeight="1" x14ac:dyDescent="0.25">
      <c r="A1362" s="101"/>
      <c r="B1362" s="90"/>
      <c r="C1362" s="90"/>
      <c r="D1362" s="90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0"/>
      <c r="AA1362" s="90"/>
      <c r="AB1362" s="90"/>
      <c r="AC1362" s="90"/>
      <c r="AD1362" s="90"/>
      <c r="AE1362" s="90"/>
      <c r="AF1362" s="90"/>
      <c r="AG1362" s="90"/>
      <c r="AH1362" s="90"/>
      <c r="AI1362" s="90"/>
      <c r="AJ1362" s="90"/>
      <c r="AK1362" s="90"/>
      <c r="AL1362" s="90"/>
      <c r="AM1362" s="90"/>
      <c r="AN1362" s="90"/>
      <c r="AO1362" s="90"/>
      <c r="AP1362" s="90"/>
      <c r="AQ1362" s="90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  <c r="CB1362" s="90"/>
      <c r="CC1362" s="90"/>
      <c r="CD1362" s="90"/>
      <c r="CE1362" s="90"/>
      <c r="CF1362" s="90"/>
      <c r="CG1362" s="90"/>
      <c r="CH1362" s="90"/>
      <c r="CI1362" s="90"/>
      <c r="CJ1362" s="90"/>
      <c r="CK1362" s="90"/>
      <c r="CL1362" s="90"/>
      <c r="CM1362" s="90"/>
      <c r="CN1362" s="90"/>
      <c r="CO1362" s="90"/>
      <c r="CP1362" s="90"/>
      <c r="CQ1362" s="90"/>
      <c r="CR1362" s="90"/>
      <c r="CS1362" s="90"/>
      <c r="CT1362" s="90"/>
      <c r="CU1362" s="90"/>
      <c r="CV1362" s="90"/>
      <c r="CW1362" s="90"/>
      <c r="CX1362" s="90"/>
      <c r="CY1362" s="90"/>
      <c r="CZ1362" s="90"/>
      <c r="DA1362" s="90"/>
      <c r="DB1362" s="90"/>
      <c r="DC1362" s="90"/>
      <c r="DD1362" s="90"/>
      <c r="DE1362" s="90"/>
      <c r="DF1362" s="90"/>
      <c r="DG1362" s="90"/>
      <c r="DH1362" s="90"/>
      <c r="DI1362" s="90"/>
      <c r="DJ1362" s="90"/>
      <c r="DK1362" s="90"/>
      <c r="DL1362" s="90"/>
      <c r="DM1362" s="90"/>
      <c r="DN1362" s="90"/>
      <c r="DO1362" s="90"/>
      <c r="DP1362" s="90"/>
      <c r="DQ1362" s="90"/>
      <c r="DR1362" s="90"/>
      <c r="DS1362" s="90"/>
      <c r="DT1362" s="90"/>
      <c r="DU1362" s="90"/>
      <c r="DV1362" s="90"/>
      <c r="DW1362" s="90"/>
      <c r="DX1362" s="90"/>
      <c r="DY1362" s="90"/>
      <c r="DZ1362" s="90"/>
      <c r="EA1362" s="90"/>
      <c r="EB1362" s="90"/>
      <c r="EC1362" s="90"/>
      <c r="ED1362" s="90"/>
      <c r="EE1362" s="90"/>
      <c r="EF1362" s="90"/>
      <c r="EG1362" s="90"/>
      <c r="EH1362" s="102"/>
    </row>
    <row r="1363" spans="1:138" ht="23.25" customHeight="1" x14ac:dyDescent="0.25">
      <c r="A1363" s="98"/>
      <c r="B1363" s="99"/>
      <c r="C1363" s="99"/>
      <c r="D1363" s="99"/>
      <c r="E1363" s="99"/>
      <c r="F1363" s="99"/>
      <c r="G1363" s="99"/>
      <c r="H1363" s="99"/>
      <c r="I1363" s="99"/>
      <c r="J1363" s="99"/>
      <c r="K1363" s="99"/>
      <c r="L1363" s="99"/>
      <c r="M1363" s="99"/>
      <c r="N1363" s="99"/>
      <c r="O1363" s="99"/>
      <c r="P1363" s="99"/>
      <c r="Q1363" s="99"/>
      <c r="R1363" s="99"/>
      <c r="S1363" s="99"/>
      <c r="T1363" s="99"/>
      <c r="U1363" s="99"/>
      <c r="V1363" s="99"/>
      <c r="W1363" s="99"/>
      <c r="X1363" s="99"/>
      <c r="Y1363" s="99"/>
      <c r="Z1363" s="99"/>
      <c r="AA1363" s="99"/>
      <c r="AB1363" s="99"/>
      <c r="AC1363" s="99"/>
      <c r="AD1363" s="99"/>
      <c r="AE1363" s="99"/>
      <c r="AF1363" s="99"/>
      <c r="AG1363" s="99"/>
      <c r="AH1363" s="99"/>
      <c r="AI1363" s="99"/>
      <c r="AJ1363" s="99"/>
      <c r="AK1363" s="99"/>
      <c r="AL1363" s="99"/>
      <c r="AM1363" s="99"/>
      <c r="AN1363" s="99"/>
      <c r="AO1363" s="99"/>
      <c r="AP1363" s="99"/>
      <c r="AQ1363" s="99"/>
      <c r="AR1363" s="99"/>
      <c r="AS1363" s="99"/>
      <c r="AT1363" s="99"/>
      <c r="AU1363" s="99"/>
      <c r="AV1363" s="99"/>
      <c r="AW1363" s="99"/>
      <c r="AX1363" s="99"/>
      <c r="AY1363" s="99"/>
      <c r="AZ1363" s="99"/>
      <c r="BA1363" s="99"/>
      <c r="BB1363" s="99"/>
      <c r="BC1363" s="99"/>
      <c r="BD1363" s="99"/>
      <c r="BE1363" s="99"/>
      <c r="BF1363" s="99"/>
      <c r="BG1363" s="99"/>
      <c r="BH1363" s="99"/>
      <c r="BI1363" s="99"/>
      <c r="BJ1363" s="99"/>
      <c r="BK1363" s="99"/>
      <c r="BL1363" s="99"/>
      <c r="BM1363" s="99"/>
      <c r="BN1363" s="99"/>
      <c r="BO1363" s="99"/>
      <c r="BP1363" s="99"/>
      <c r="BQ1363" s="99"/>
      <c r="BR1363" s="99"/>
      <c r="BS1363" s="99"/>
      <c r="BT1363" s="99"/>
      <c r="BU1363" s="99"/>
      <c r="BV1363" s="99"/>
      <c r="BW1363" s="99"/>
      <c r="BX1363" s="99"/>
      <c r="BY1363" s="99"/>
      <c r="BZ1363" s="99"/>
      <c r="CA1363" s="99"/>
      <c r="CB1363" s="99"/>
      <c r="CC1363" s="99"/>
      <c r="CD1363" s="99"/>
      <c r="CE1363" s="99"/>
      <c r="CF1363" s="99"/>
      <c r="CG1363" s="99"/>
      <c r="CH1363" s="99"/>
      <c r="CI1363" s="99"/>
      <c r="CJ1363" s="99"/>
      <c r="CK1363" s="99"/>
      <c r="CL1363" s="99"/>
      <c r="CM1363" s="99"/>
      <c r="CN1363" s="99"/>
      <c r="CO1363" s="99"/>
      <c r="CP1363" s="99"/>
      <c r="CQ1363" s="99"/>
      <c r="CR1363" s="99"/>
      <c r="CS1363" s="99"/>
      <c r="CT1363" s="99"/>
      <c r="CU1363" s="99"/>
      <c r="CV1363" s="99"/>
      <c r="CW1363" s="99"/>
      <c r="CX1363" s="99"/>
      <c r="CY1363" s="99"/>
      <c r="CZ1363" s="99"/>
      <c r="DA1363" s="99"/>
      <c r="DB1363" s="99"/>
      <c r="DC1363" s="99"/>
      <c r="DD1363" s="99"/>
      <c r="DE1363" s="99"/>
      <c r="DF1363" s="99"/>
      <c r="DG1363" s="99"/>
      <c r="DH1363" s="99"/>
      <c r="DI1363" s="99"/>
      <c r="DJ1363" s="99"/>
      <c r="DK1363" s="99"/>
      <c r="DL1363" s="99"/>
      <c r="DM1363" s="99"/>
      <c r="DN1363" s="99"/>
      <c r="DO1363" s="99"/>
      <c r="DP1363" s="99"/>
      <c r="DQ1363" s="99"/>
      <c r="DR1363" s="99"/>
      <c r="DS1363" s="99"/>
      <c r="DT1363" s="99"/>
      <c r="DU1363" s="99"/>
      <c r="DV1363" s="99"/>
      <c r="DW1363" s="99"/>
      <c r="DX1363" s="99"/>
      <c r="DY1363" s="99"/>
      <c r="DZ1363" s="99"/>
      <c r="EA1363" s="99"/>
      <c r="EB1363" s="99"/>
      <c r="EC1363" s="99"/>
      <c r="ED1363" s="99"/>
      <c r="EE1363" s="99"/>
      <c r="EF1363" s="99"/>
      <c r="EG1363" s="99"/>
      <c r="EH1363" s="100"/>
    </row>
    <row r="1364" spans="1:138" ht="23.25" customHeight="1" x14ac:dyDescent="0.25">
      <c r="A1364" s="101"/>
      <c r="B1364" s="90"/>
      <c r="C1364" s="90"/>
      <c r="D1364" s="90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0"/>
      <c r="AA1364" s="90"/>
      <c r="AB1364" s="90"/>
      <c r="AC1364" s="90"/>
      <c r="AD1364" s="90"/>
      <c r="AE1364" s="90"/>
      <c r="AF1364" s="90"/>
      <c r="AG1364" s="90"/>
      <c r="AH1364" s="90"/>
      <c r="AI1364" s="90"/>
      <c r="AJ1364" s="90"/>
      <c r="AK1364" s="90"/>
      <c r="AL1364" s="90"/>
      <c r="AM1364" s="90"/>
      <c r="AN1364" s="90"/>
      <c r="AO1364" s="90"/>
      <c r="AP1364" s="90"/>
      <c r="AQ1364" s="90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  <c r="CB1364" s="90"/>
      <c r="CC1364" s="90"/>
      <c r="CD1364" s="90"/>
      <c r="CE1364" s="90"/>
      <c r="CF1364" s="90"/>
      <c r="CG1364" s="90"/>
      <c r="CH1364" s="90"/>
      <c r="CI1364" s="90"/>
      <c r="CJ1364" s="90"/>
      <c r="CK1364" s="90"/>
      <c r="CL1364" s="90"/>
      <c r="CM1364" s="90"/>
      <c r="CN1364" s="90"/>
      <c r="CO1364" s="90"/>
      <c r="CP1364" s="90"/>
      <c r="CQ1364" s="90"/>
      <c r="CR1364" s="90"/>
      <c r="CS1364" s="90"/>
      <c r="CT1364" s="90"/>
      <c r="CU1364" s="90"/>
      <c r="CV1364" s="90"/>
      <c r="CW1364" s="90"/>
      <c r="CX1364" s="90"/>
      <c r="CY1364" s="90"/>
      <c r="CZ1364" s="90"/>
      <c r="DA1364" s="90"/>
      <c r="DB1364" s="90"/>
      <c r="DC1364" s="90"/>
      <c r="DD1364" s="90"/>
      <c r="DE1364" s="90"/>
      <c r="DF1364" s="90"/>
      <c r="DG1364" s="90"/>
      <c r="DH1364" s="90"/>
      <c r="DI1364" s="90"/>
      <c r="DJ1364" s="90"/>
      <c r="DK1364" s="90"/>
      <c r="DL1364" s="90"/>
      <c r="DM1364" s="90"/>
      <c r="DN1364" s="90"/>
      <c r="DO1364" s="90"/>
      <c r="DP1364" s="90"/>
      <c r="DQ1364" s="90"/>
      <c r="DR1364" s="90"/>
      <c r="DS1364" s="90"/>
      <c r="DT1364" s="90"/>
      <c r="DU1364" s="90"/>
      <c r="DV1364" s="90"/>
      <c r="DW1364" s="90"/>
      <c r="DX1364" s="90"/>
      <c r="DY1364" s="90"/>
      <c r="DZ1364" s="90"/>
      <c r="EA1364" s="90"/>
      <c r="EB1364" s="90"/>
      <c r="EC1364" s="90"/>
      <c r="ED1364" s="90"/>
      <c r="EE1364" s="90"/>
      <c r="EF1364" s="90"/>
      <c r="EG1364" s="90"/>
      <c r="EH1364" s="102"/>
    </row>
    <row r="1365" spans="1:138" ht="23.25" customHeight="1" x14ac:dyDescent="0.25">
      <c r="A1365" s="98"/>
      <c r="B1365" s="99"/>
      <c r="C1365" s="99"/>
      <c r="D1365" s="99"/>
      <c r="E1365" s="99"/>
      <c r="F1365" s="99"/>
      <c r="G1365" s="99"/>
      <c r="H1365" s="99"/>
      <c r="I1365" s="99"/>
      <c r="J1365" s="99"/>
      <c r="K1365" s="99"/>
      <c r="L1365" s="99"/>
      <c r="M1365" s="99"/>
      <c r="N1365" s="99"/>
      <c r="O1365" s="99"/>
      <c r="P1365" s="99"/>
      <c r="Q1365" s="99"/>
      <c r="R1365" s="99"/>
      <c r="S1365" s="99"/>
      <c r="T1365" s="99"/>
      <c r="U1365" s="99"/>
      <c r="V1365" s="99"/>
      <c r="W1365" s="99"/>
      <c r="X1365" s="99"/>
      <c r="Y1365" s="99"/>
      <c r="Z1365" s="99"/>
      <c r="AA1365" s="99"/>
      <c r="AB1365" s="99"/>
      <c r="AC1365" s="99"/>
      <c r="AD1365" s="99"/>
      <c r="AE1365" s="99"/>
      <c r="AF1365" s="99"/>
      <c r="AG1365" s="99"/>
      <c r="AH1365" s="99"/>
      <c r="AI1365" s="99"/>
      <c r="AJ1365" s="99"/>
      <c r="AK1365" s="99"/>
      <c r="AL1365" s="99"/>
      <c r="AM1365" s="99"/>
      <c r="AN1365" s="99"/>
      <c r="AO1365" s="99"/>
      <c r="AP1365" s="99"/>
      <c r="AQ1365" s="99"/>
      <c r="AR1365" s="99"/>
      <c r="AS1365" s="99"/>
      <c r="AT1365" s="99"/>
      <c r="AU1365" s="99"/>
      <c r="AV1365" s="99"/>
      <c r="AW1365" s="99"/>
      <c r="AX1365" s="99"/>
      <c r="AY1365" s="99"/>
      <c r="AZ1365" s="99"/>
      <c r="BA1365" s="99"/>
      <c r="BB1365" s="99"/>
      <c r="BC1365" s="99"/>
      <c r="BD1365" s="99"/>
      <c r="BE1365" s="99"/>
      <c r="BF1365" s="99"/>
      <c r="BG1365" s="99"/>
      <c r="BH1365" s="99"/>
      <c r="BI1365" s="99"/>
      <c r="BJ1365" s="99"/>
      <c r="BK1365" s="99"/>
      <c r="BL1365" s="99"/>
      <c r="BM1365" s="99"/>
      <c r="BN1365" s="99"/>
      <c r="BO1365" s="99"/>
      <c r="BP1365" s="99"/>
      <c r="BQ1365" s="99"/>
      <c r="BR1365" s="99"/>
      <c r="BS1365" s="99"/>
      <c r="BT1365" s="99"/>
      <c r="BU1365" s="99"/>
      <c r="BV1365" s="99"/>
      <c r="BW1365" s="99"/>
      <c r="BX1365" s="99"/>
      <c r="BY1365" s="99"/>
      <c r="BZ1365" s="99"/>
      <c r="CA1365" s="99"/>
      <c r="CB1365" s="99"/>
      <c r="CC1365" s="99"/>
      <c r="CD1365" s="99"/>
      <c r="CE1365" s="99"/>
      <c r="CF1365" s="99"/>
      <c r="CG1365" s="99"/>
      <c r="CH1365" s="99"/>
      <c r="CI1365" s="99"/>
      <c r="CJ1365" s="99"/>
      <c r="CK1365" s="99"/>
      <c r="CL1365" s="99"/>
      <c r="CM1365" s="99"/>
      <c r="CN1365" s="99"/>
      <c r="CO1365" s="99"/>
      <c r="CP1365" s="99"/>
      <c r="CQ1365" s="99"/>
      <c r="CR1365" s="99"/>
      <c r="CS1365" s="99"/>
      <c r="CT1365" s="99"/>
      <c r="CU1365" s="99"/>
      <c r="CV1365" s="99"/>
      <c r="CW1365" s="99"/>
      <c r="CX1365" s="99"/>
      <c r="CY1365" s="99"/>
      <c r="CZ1365" s="99"/>
      <c r="DA1365" s="99"/>
      <c r="DB1365" s="99"/>
      <c r="DC1365" s="99"/>
      <c r="DD1365" s="99"/>
      <c r="DE1365" s="99"/>
      <c r="DF1365" s="99"/>
      <c r="DG1365" s="99"/>
      <c r="DH1365" s="99"/>
      <c r="DI1365" s="99"/>
      <c r="DJ1365" s="99"/>
      <c r="DK1365" s="99"/>
      <c r="DL1365" s="99"/>
      <c r="DM1365" s="99"/>
      <c r="DN1365" s="99"/>
      <c r="DO1365" s="99"/>
      <c r="DP1365" s="99"/>
      <c r="DQ1365" s="99"/>
      <c r="DR1365" s="99"/>
      <c r="DS1365" s="99"/>
      <c r="DT1365" s="99"/>
      <c r="DU1365" s="99"/>
      <c r="DV1365" s="99"/>
      <c r="DW1365" s="99"/>
      <c r="DX1365" s="99"/>
      <c r="DY1365" s="99"/>
      <c r="DZ1365" s="99"/>
      <c r="EA1365" s="99"/>
      <c r="EB1365" s="99"/>
      <c r="EC1365" s="99"/>
      <c r="ED1365" s="99"/>
      <c r="EE1365" s="99"/>
      <c r="EF1365" s="99"/>
      <c r="EG1365" s="99"/>
      <c r="EH1365" s="100"/>
    </row>
    <row r="1366" spans="1:138" ht="23.25" customHeight="1" x14ac:dyDescent="0.25">
      <c r="A1366" s="101"/>
      <c r="B1366" s="90"/>
      <c r="C1366" s="90"/>
      <c r="D1366" s="90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0"/>
      <c r="AA1366" s="90"/>
      <c r="AB1366" s="90"/>
      <c r="AC1366" s="90"/>
      <c r="AD1366" s="90"/>
      <c r="AE1366" s="90"/>
      <c r="AF1366" s="90"/>
      <c r="AG1366" s="90"/>
      <c r="AH1366" s="90"/>
      <c r="AI1366" s="90"/>
      <c r="AJ1366" s="90"/>
      <c r="AK1366" s="90"/>
      <c r="AL1366" s="90"/>
      <c r="AM1366" s="90"/>
      <c r="AN1366" s="90"/>
      <c r="AO1366" s="90"/>
      <c r="AP1366" s="90"/>
      <c r="AQ1366" s="90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  <c r="CB1366" s="90"/>
      <c r="CC1366" s="90"/>
      <c r="CD1366" s="90"/>
      <c r="CE1366" s="90"/>
      <c r="CF1366" s="90"/>
      <c r="CG1366" s="90"/>
      <c r="CH1366" s="90"/>
      <c r="CI1366" s="90"/>
      <c r="CJ1366" s="90"/>
      <c r="CK1366" s="90"/>
      <c r="CL1366" s="90"/>
      <c r="CM1366" s="90"/>
      <c r="CN1366" s="90"/>
      <c r="CO1366" s="90"/>
      <c r="CP1366" s="90"/>
      <c r="CQ1366" s="90"/>
      <c r="CR1366" s="90"/>
      <c r="CS1366" s="90"/>
      <c r="CT1366" s="90"/>
      <c r="CU1366" s="90"/>
      <c r="CV1366" s="90"/>
      <c r="CW1366" s="90"/>
      <c r="CX1366" s="90"/>
      <c r="CY1366" s="90"/>
      <c r="CZ1366" s="90"/>
      <c r="DA1366" s="90"/>
      <c r="DB1366" s="90"/>
      <c r="DC1366" s="90"/>
      <c r="DD1366" s="90"/>
      <c r="DE1366" s="90"/>
      <c r="DF1366" s="90"/>
      <c r="DG1366" s="90"/>
      <c r="DH1366" s="90"/>
      <c r="DI1366" s="90"/>
      <c r="DJ1366" s="90"/>
      <c r="DK1366" s="90"/>
      <c r="DL1366" s="90"/>
      <c r="DM1366" s="90"/>
      <c r="DN1366" s="90"/>
      <c r="DO1366" s="90"/>
      <c r="DP1366" s="90"/>
      <c r="DQ1366" s="90"/>
      <c r="DR1366" s="90"/>
      <c r="DS1366" s="90"/>
      <c r="DT1366" s="90"/>
      <c r="DU1366" s="90"/>
      <c r="DV1366" s="90"/>
      <c r="DW1366" s="90"/>
      <c r="DX1366" s="90"/>
      <c r="DY1366" s="90"/>
      <c r="DZ1366" s="90"/>
      <c r="EA1366" s="90"/>
      <c r="EB1366" s="90"/>
      <c r="EC1366" s="90"/>
      <c r="ED1366" s="90"/>
      <c r="EE1366" s="90"/>
      <c r="EF1366" s="90"/>
      <c r="EG1366" s="90"/>
      <c r="EH1366" s="102"/>
    </row>
    <row r="1367" spans="1:138" ht="23.25" customHeight="1" x14ac:dyDescent="0.25">
      <c r="A1367" s="98"/>
      <c r="B1367" s="99"/>
      <c r="C1367" s="99"/>
      <c r="D1367" s="99"/>
      <c r="E1367" s="99"/>
      <c r="F1367" s="99"/>
      <c r="G1367" s="99"/>
      <c r="H1367" s="99"/>
      <c r="I1367" s="99"/>
      <c r="J1367" s="99"/>
      <c r="K1367" s="99"/>
      <c r="L1367" s="99"/>
      <c r="M1367" s="99"/>
      <c r="N1367" s="99"/>
      <c r="O1367" s="99"/>
      <c r="P1367" s="99"/>
      <c r="Q1367" s="99"/>
      <c r="R1367" s="99"/>
      <c r="S1367" s="99"/>
      <c r="T1367" s="99"/>
      <c r="U1367" s="99"/>
      <c r="V1367" s="99"/>
      <c r="W1367" s="99"/>
      <c r="X1367" s="99"/>
      <c r="Y1367" s="99"/>
      <c r="Z1367" s="99"/>
      <c r="AA1367" s="99"/>
      <c r="AB1367" s="99"/>
      <c r="AC1367" s="99"/>
      <c r="AD1367" s="99"/>
      <c r="AE1367" s="99"/>
      <c r="AF1367" s="99"/>
      <c r="AG1367" s="99"/>
      <c r="AH1367" s="99"/>
      <c r="AI1367" s="99"/>
      <c r="AJ1367" s="99"/>
      <c r="AK1367" s="99"/>
      <c r="AL1367" s="99"/>
      <c r="AM1367" s="99"/>
      <c r="AN1367" s="99"/>
      <c r="AO1367" s="99"/>
      <c r="AP1367" s="99"/>
      <c r="AQ1367" s="99"/>
      <c r="AR1367" s="99"/>
      <c r="AS1367" s="99"/>
      <c r="AT1367" s="99"/>
      <c r="AU1367" s="99"/>
      <c r="AV1367" s="99"/>
      <c r="AW1367" s="99"/>
      <c r="AX1367" s="99"/>
      <c r="AY1367" s="99"/>
      <c r="AZ1367" s="99"/>
      <c r="BA1367" s="99"/>
      <c r="BB1367" s="99"/>
      <c r="BC1367" s="99"/>
      <c r="BD1367" s="99"/>
      <c r="BE1367" s="99"/>
      <c r="BF1367" s="99"/>
      <c r="BG1367" s="99"/>
      <c r="BH1367" s="99"/>
      <c r="BI1367" s="99"/>
      <c r="BJ1367" s="99"/>
      <c r="BK1367" s="99"/>
      <c r="BL1367" s="99"/>
      <c r="BM1367" s="99"/>
      <c r="BN1367" s="99"/>
      <c r="BO1367" s="99"/>
      <c r="BP1367" s="99"/>
      <c r="BQ1367" s="99"/>
      <c r="BR1367" s="99"/>
      <c r="BS1367" s="99"/>
      <c r="BT1367" s="99"/>
      <c r="BU1367" s="99"/>
      <c r="BV1367" s="99"/>
      <c r="BW1367" s="99"/>
      <c r="BX1367" s="99"/>
      <c r="BY1367" s="99"/>
      <c r="BZ1367" s="99"/>
      <c r="CA1367" s="99"/>
      <c r="CB1367" s="99"/>
      <c r="CC1367" s="99"/>
      <c r="CD1367" s="99"/>
      <c r="CE1367" s="99"/>
      <c r="CF1367" s="99"/>
      <c r="CG1367" s="99"/>
      <c r="CH1367" s="99"/>
      <c r="CI1367" s="99"/>
      <c r="CJ1367" s="99"/>
      <c r="CK1367" s="99"/>
      <c r="CL1367" s="99"/>
      <c r="CM1367" s="99"/>
      <c r="CN1367" s="99"/>
      <c r="CO1367" s="99"/>
      <c r="CP1367" s="99"/>
      <c r="CQ1367" s="99"/>
      <c r="CR1367" s="99"/>
      <c r="CS1367" s="99"/>
      <c r="CT1367" s="99"/>
      <c r="CU1367" s="99"/>
      <c r="CV1367" s="99"/>
      <c r="CW1367" s="99"/>
      <c r="CX1367" s="99"/>
      <c r="CY1367" s="99"/>
      <c r="CZ1367" s="99"/>
      <c r="DA1367" s="99"/>
      <c r="DB1367" s="99"/>
      <c r="DC1367" s="99"/>
      <c r="DD1367" s="99"/>
      <c r="DE1367" s="99"/>
      <c r="DF1367" s="99"/>
      <c r="DG1367" s="99"/>
      <c r="DH1367" s="99"/>
      <c r="DI1367" s="99"/>
      <c r="DJ1367" s="99"/>
      <c r="DK1367" s="99"/>
      <c r="DL1367" s="99"/>
      <c r="DM1367" s="99"/>
      <c r="DN1367" s="99"/>
      <c r="DO1367" s="99"/>
      <c r="DP1367" s="99"/>
      <c r="DQ1367" s="99"/>
      <c r="DR1367" s="99"/>
      <c r="DS1367" s="99"/>
      <c r="DT1367" s="99"/>
      <c r="DU1367" s="99"/>
      <c r="DV1367" s="99"/>
      <c r="DW1367" s="99"/>
      <c r="DX1367" s="99"/>
      <c r="DY1367" s="99"/>
      <c r="DZ1367" s="99"/>
      <c r="EA1367" s="99"/>
      <c r="EB1367" s="99"/>
      <c r="EC1367" s="99"/>
      <c r="ED1367" s="99"/>
      <c r="EE1367" s="99"/>
      <c r="EF1367" s="99"/>
      <c r="EG1367" s="99"/>
      <c r="EH1367" s="100"/>
    </row>
    <row r="1368" spans="1:138" ht="23.25" customHeight="1" x14ac:dyDescent="0.25">
      <c r="A1368" s="101"/>
      <c r="B1368" s="90"/>
      <c r="C1368" s="90"/>
      <c r="D1368" s="90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0"/>
      <c r="AA1368" s="90"/>
      <c r="AB1368" s="90"/>
      <c r="AC1368" s="90"/>
      <c r="AD1368" s="90"/>
      <c r="AE1368" s="90"/>
      <c r="AF1368" s="90"/>
      <c r="AG1368" s="90"/>
      <c r="AH1368" s="90"/>
      <c r="AI1368" s="90"/>
      <c r="AJ1368" s="90"/>
      <c r="AK1368" s="90"/>
      <c r="AL1368" s="90"/>
      <c r="AM1368" s="90"/>
      <c r="AN1368" s="90"/>
      <c r="AO1368" s="90"/>
      <c r="AP1368" s="90"/>
      <c r="AQ1368" s="90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  <c r="CB1368" s="90"/>
      <c r="CC1368" s="90"/>
      <c r="CD1368" s="90"/>
      <c r="CE1368" s="90"/>
      <c r="CF1368" s="90"/>
      <c r="CG1368" s="90"/>
      <c r="CH1368" s="90"/>
      <c r="CI1368" s="90"/>
      <c r="CJ1368" s="90"/>
      <c r="CK1368" s="90"/>
      <c r="CL1368" s="90"/>
      <c r="CM1368" s="90"/>
      <c r="CN1368" s="90"/>
      <c r="CO1368" s="90"/>
      <c r="CP1368" s="90"/>
      <c r="CQ1368" s="90"/>
      <c r="CR1368" s="90"/>
      <c r="CS1368" s="90"/>
      <c r="CT1368" s="90"/>
      <c r="CU1368" s="90"/>
      <c r="CV1368" s="90"/>
      <c r="CW1368" s="90"/>
      <c r="CX1368" s="90"/>
      <c r="CY1368" s="90"/>
      <c r="CZ1368" s="90"/>
      <c r="DA1368" s="90"/>
      <c r="DB1368" s="90"/>
      <c r="DC1368" s="90"/>
      <c r="DD1368" s="90"/>
      <c r="DE1368" s="90"/>
      <c r="DF1368" s="90"/>
      <c r="DG1368" s="90"/>
      <c r="DH1368" s="90"/>
      <c r="DI1368" s="90"/>
      <c r="DJ1368" s="90"/>
      <c r="DK1368" s="90"/>
      <c r="DL1368" s="90"/>
      <c r="DM1368" s="90"/>
      <c r="DN1368" s="90"/>
      <c r="DO1368" s="90"/>
      <c r="DP1368" s="90"/>
      <c r="DQ1368" s="90"/>
      <c r="DR1368" s="90"/>
      <c r="DS1368" s="90"/>
      <c r="DT1368" s="90"/>
      <c r="DU1368" s="90"/>
      <c r="DV1368" s="90"/>
      <c r="DW1368" s="90"/>
      <c r="DX1368" s="90"/>
      <c r="DY1368" s="90"/>
      <c r="DZ1368" s="90"/>
      <c r="EA1368" s="90"/>
      <c r="EB1368" s="90"/>
      <c r="EC1368" s="90"/>
      <c r="ED1368" s="90"/>
      <c r="EE1368" s="90"/>
      <c r="EF1368" s="90"/>
      <c r="EG1368" s="90"/>
      <c r="EH1368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COUNTIFS(Resp4[Vínculo],"tecnico",Resp4[4.14],B7)</f>
        <v>0</v>
      </c>
      <c r="D7" s="4">
        <f>COUNTIFS(Resp4[Vínculo],"docente",Resp4[4.14],B7)</f>
        <v>1</v>
      </c>
      <c r="E7" s="4">
        <f>COUNTIF(Resp4[4.14],B7)</f>
        <v>1</v>
      </c>
      <c r="F7" s="4">
        <f t="shared" ref="F7:F13" si="0">ROUND($E7/E$13*100,2)</f>
        <v>1.67</v>
      </c>
      <c r="G7" s="3">
        <f t="shared" ref="G7:G12" si="1">ROUND($E7/SUM($E$7:$E$12)*100,3)</f>
        <v>1.923</v>
      </c>
    </row>
    <row r="8" spans="1:7" x14ac:dyDescent="0.25">
      <c r="B8" s="2" t="s">
        <v>207</v>
      </c>
      <c r="C8" s="4">
        <f>COUNTIFS(Resp4[Vínculo],"tecnico",Resp4[4.14],B8)</f>
        <v>0</v>
      </c>
      <c r="D8" s="4">
        <f>COUNTIFS(Resp4[Vínculo],"docente",Resp4[4.14],B8)</f>
        <v>2</v>
      </c>
      <c r="E8" s="4">
        <f>COUNTIF(Resp4[4.14],B8)</f>
        <v>2</v>
      </c>
      <c r="F8" s="4">
        <f t="shared" si="0"/>
        <v>3.33</v>
      </c>
      <c r="G8" s="3">
        <f t="shared" si="1"/>
        <v>3.8460000000000001</v>
      </c>
    </row>
    <row r="9" spans="1:7" x14ac:dyDescent="0.25">
      <c r="B9" s="2" t="s">
        <v>204</v>
      </c>
      <c r="C9" s="4">
        <f>COUNTIFS(Resp4[Vínculo],"tecnico",Resp4[4.14],B9)</f>
        <v>0</v>
      </c>
      <c r="D9" s="4">
        <f>COUNTIFS(Resp4[Vínculo],"docente",Resp4[4.14],B9)</f>
        <v>1</v>
      </c>
      <c r="E9" s="4">
        <f>COUNTIF(Resp4[4.14],B9)</f>
        <v>1</v>
      </c>
      <c r="F9" s="4">
        <f t="shared" si="0"/>
        <v>1.67</v>
      </c>
      <c r="G9" s="3">
        <f t="shared" si="1"/>
        <v>1.923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7</v>
      </c>
      <c r="E10" s="4">
        <f>COUNTIF(Resp4[4.14],B10)</f>
        <v>7</v>
      </c>
      <c r="F10" s="4">
        <f t="shared" si="0"/>
        <v>11.67</v>
      </c>
      <c r="G10" s="3">
        <f t="shared" si="1"/>
        <v>13.462</v>
      </c>
    </row>
    <row r="11" spans="1:7" x14ac:dyDescent="0.25">
      <c r="B11" s="2" t="s">
        <v>195</v>
      </c>
      <c r="C11" s="4">
        <f>COUNTIFS(Resp4[Vínculo],"tecnico",Resp4[4.14],B11)</f>
        <v>0</v>
      </c>
      <c r="D11" s="4">
        <f>COUNTIFS(Resp4[Vínculo],"docente",Resp4[4.14],B11)</f>
        <v>20</v>
      </c>
      <c r="E11" s="4">
        <f>COUNTIF(Resp4[4.14],B11)</f>
        <v>20</v>
      </c>
      <c r="F11" s="4">
        <f t="shared" si="0"/>
        <v>33.33</v>
      </c>
      <c r="G11" s="3">
        <f t="shared" si="1"/>
        <v>38.462000000000003</v>
      </c>
    </row>
    <row r="12" spans="1:7" x14ac:dyDescent="0.25">
      <c r="B12" s="7" t="s">
        <v>196</v>
      </c>
      <c r="C12" s="4">
        <f>COUNTIFS(Resp4[Vínculo],"tecnico",Resp4[4.14],B12)</f>
        <v>0</v>
      </c>
      <c r="D12" s="4">
        <f>COUNTIFS(Resp4[Vínculo],"docente",Resp4[4.14],B12)</f>
        <v>21</v>
      </c>
      <c r="E12" s="4">
        <f>COUNTIF(Resp4[4.14],B12)</f>
        <v>21</v>
      </c>
      <c r="F12" s="22">
        <f t="shared" si="0"/>
        <v>35</v>
      </c>
      <c r="G12" s="3">
        <f t="shared" si="1"/>
        <v>40.384999999999998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5.7690000000000001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1.923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13.462</v>
      </c>
    </row>
    <row r="28" spans="2:7" x14ac:dyDescent="0.25">
      <c r="B28" s="32" t="s">
        <v>33</v>
      </c>
      <c r="C28" s="32" t="s">
        <v>32</v>
      </c>
      <c r="D28" s="18">
        <f>SUM(D11:D12)</f>
        <v>41</v>
      </c>
      <c r="E28" s="19">
        <f>ROUND(D28/SUM(D$25:D$28)*100,3)</f>
        <v>78.846000000000004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COUNTIFS(Resp4[Vínculo],"tecnico",Resp4[4.15],B7)</f>
        <v>0</v>
      </c>
      <c r="D7" s="4">
        <f>COUNTIFS(Resp4[Vínculo],"docente",Resp4[4.15],B7)</f>
        <v>5</v>
      </c>
      <c r="E7" s="4">
        <f>COUNTIF(Resp4[4.15],B7)</f>
        <v>5</v>
      </c>
      <c r="F7" s="4">
        <f t="shared" ref="F7:F13" si="0">ROUND($E7/E$13*100,2)</f>
        <v>8.33</v>
      </c>
      <c r="G7" s="3">
        <f t="shared" ref="G7:G12" si="1">ROUND($E7/SUM($E$7:$E$12)*100,3)</f>
        <v>9.6150000000000002</v>
      </c>
    </row>
    <row r="8" spans="1:7" x14ac:dyDescent="0.25">
      <c r="B8" s="2" t="s">
        <v>207</v>
      </c>
      <c r="C8" s="4">
        <f>COUNTIFS(Resp4[Vínculo],"tecnico",Resp4[4.15],B8)</f>
        <v>0</v>
      </c>
      <c r="D8" s="4">
        <f>COUNTIFS(Resp4[Vínculo],"docente",Resp4[4.15],B8)</f>
        <v>2</v>
      </c>
      <c r="E8" s="4">
        <f>COUNTIF(Resp4[4.15],B8)</f>
        <v>2</v>
      </c>
      <c r="F8" s="4">
        <f t="shared" si="0"/>
        <v>3.33</v>
      </c>
      <c r="G8" s="3">
        <f t="shared" si="1"/>
        <v>3.8460000000000001</v>
      </c>
    </row>
    <row r="9" spans="1:7" x14ac:dyDescent="0.25">
      <c r="B9" s="2" t="s">
        <v>204</v>
      </c>
      <c r="C9" s="4">
        <f>COUNTIFS(Resp4[Vínculo],"tecnico",Resp4[4.15],B9)</f>
        <v>0</v>
      </c>
      <c r="D9" s="4">
        <f>COUNTIFS(Resp4[Vínculo],"docente",Resp4[4.15],B9)</f>
        <v>2</v>
      </c>
      <c r="E9" s="4">
        <f>COUNTIF(Resp4[4.15],B9)</f>
        <v>2</v>
      </c>
      <c r="F9" s="4">
        <f t="shared" si="0"/>
        <v>3.33</v>
      </c>
      <c r="G9" s="3">
        <f t="shared" si="1"/>
        <v>3.8460000000000001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11</v>
      </c>
      <c r="E10" s="4">
        <f>COUNTIF(Resp4[4.15],B10)</f>
        <v>11</v>
      </c>
      <c r="F10" s="4">
        <f t="shared" si="0"/>
        <v>18.329999999999998</v>
      </c>
      <c r="G10" s="3">
        <f t="shared" si="1"/>
        <v>21.154</v>
      </c>
    </row>
    <row r="11" spans="1:7" x14ac:dyDescent="0.25">
      <c r="B11" s="2" t="s">
        <v>195</v>
      </c>
      <c r="C11" s="4">
        <f>COUNTIFS(Resp4[Vínculo],"tecnico",Resp4[4.15],B11)</f>
        <v>0</v>
      </c>
      <c r="D11" s="4">
        <f>COUNTIFS(Resp4[Vínculo],"docente",Resp4[4.15],B11)</f>
        <v>19</v>
      </c>
      <c r="E11" s="4">
        <f>COUNTIF(Resp4[4.15],B11)</f>
        <v>19</v>
      </c>
      <c r="F11" s="4">
        <f t="shared" si="0"/>
        <v>31.67</v>
      </c>
      <c r="G11" s="3">
        <f t="shared" si="1"/>
        <v>36.537999999999997</v>
      </c>
    </row>
    <row r="12" spans="1:7" x14ac:dyDescent="0.25">
      <c r="B12" s="7" t="s">
        <v>196</v>
      </c>
      <c r="C12" s="4">
        <f>COUNTIFS(Resp4[Vínculo],"tecnico",Resp4[4.15],B12)</f>
        <v>0</v>
      </c>
      <c r="D12" s="4">
        <f>COUNTIFS(Resp4[Vínculo],"docente",Resp4[4.15],B12)</f>
        <v>13</v>
      </c>
      <c r="E12" s="4">
        <f>COUNTIF(Resp4[4.15],B12)</f>
        <v>13</v>
      </c>
      <c r="F12" s="22">
        <f t="shared" si="0"/>
        <v>21.67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9.6150000000000002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21.154</v>
      </c>
    </row>
    <row r="28" spans="2:7" x14ac:dyDescent="0.25">
      <c r="B28" s="32" t="s">
        <v>33</v>
      </c>
      <c r="C28" s="32" t="s">
        <v>32</v>
      </c>
      <c r="D28" s="18">
        <f>SUM(D11:D12)</f>
        <v>32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COUNTIFS(Resp4[Vínculo],"tecnico",Resp4[4.16],B7)</f>
        <v>0</v>
      </c>
      <c r="D7" s="4">
        <f>COUNTIFS(Resp4[Vínculo],"docente",Resp4[4.16],B7)</f>
        <v>8</v>
      </c>
      <c r="E7" s="4">
        <f>COUNTIF(Resp4[4.16],B7)</f>
        <v>8</v>
      </c>
      <c r="F7" s="4">
        <f t="shared" ref="F7:F13" si="0">ROUND($E7/E$13*100,2)</f>
        <v>13.33</v>
      </c>
      <c r="G7" s="3">
        <f t="shared" ref="G7:G12" si="1">ROUND($E7/SUM($E$7:$E$12)*100,3)</f>
        <v>15.385</v>
      </c>
    </row>
    <row r="8" spans="1:7" x14ac:dyDescent="0.25">
      <c r="B8" s="2" t="s">
        <v>207</v>
      </c>
      <c r="C8" s="4">
        <f>COUNTIFS(Resp4[Vínculo],"tecnico",Resp4[4.16],B8)</f>
        <v>0</v>
      </c>
      <c r="D8" s="4">
        <f>COUNTIFS(Resp4[Vínculo],"docente",Resp4[4.16],B8)</f>
        <v>5</v>
      </c>
      <c r="E8" s="4">
        <f>COUNTIF(Resp4[4.16],B8)</f>
        <v>5</v>
      </c>
      <c r="F8" s="4">
        <f t="shared" si="0"/>
        <v>8.33</v>
      </c>
      <c r="G8" s="3">
        <f t="shared" si="1"/>
        <v>9.6150000000000002</v>
      </c>
    </row>
    <row r="9" spans="1:7" x14ac:dyDescent="0.25">
      <c r="B9" s="2" t="s">
        <v>204</v>
      </c>
      <c r="C9" s="4">
        <f>COUNTIFS(Resp4[Vínculo],"tecnico",Resp4[4.16],B9)</f>
        <v>0</v>
      </c>
      <c r="D9" s="4">
        <f>COUNTIFS(Resp4[Vínculo],"docente",Resp4[4.16],B9)</f>
        <v>2</v>
      </c>
      <c r="E9" s="4">
        <f>COUNTIF(Resp4[4.16],B9)</f>
        <v>2</v>
      </c>
      <c r="F9" s="4">
        <f t="shared" si="0"/>
        <v>3.33</v>
      </c>
      <c r="G9" s="3">
        <f t="shared" si="1"/>
        <v>3.8460000000000001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9</v>
      </c>
      <c r="E10" s="4">
        <f>COUNTIF(Resp4[4.16],B10)</f>
        <v>9</v>
      </c>
      <c r="F10" s="4">
        <f t="shared" si="0"/>
        <v>15</v>
      </c>
      <c r="G10" s="3">
        <f t="shared" si="1"/>
        <v>17.308</v>
      </c>
    </row>
    <row r="11" spans="1:7" x14ac:dyDescent="0.25">
      <c r="B11" s="2" t="s">
        <v>195</v>
      </c>
      <c r="C11" s="4">
        <f>COUNTIFS(Resp4[Vínculo],"tecnico",Resp4[4.16],B11)</f>
        <v>0</v>
      </c>
      <c r="D11" s="4">
        <f>COUNTIFS(Resp4[Vínculo],"docente",Resp4[4.16],B11)</f>
        <v>20</v>
      </c>
      <c r="E11" s="4">
        <f>COUNTIF(Resp4[4.16],B11)</f>
        <v>20</v>
      </c>
      <c r="F11" s="4">
        <f t="shared" si="0"/>
        <v>33.33</v>
      </c>
      <c r="G11" s="3">
        <f t="shared" si="1"/>
        <v>38.462000000000003</v>
      </c>
    </row>
    <row r="12" spans="1:7" x14ac:dyDescent="0.25">
      <c r="B12" s="7" t="s">
        <v>196</v>
      </c>
      <c r="C12" s="4">
        <f>COUNTIFS(Resp4[Vínculo],"tecnico",Resp4[4.16],B12)</f>
        <v>0</v>
      </c>
      <c r="D12" s="4">
        <f>COUNTIFS(Resp4[Vínculo],"docente",Resp4[4.16],B12)</f>
        <v>8</v>
      </c>
      <c r="E12" s="4">
        <f>COUNTIF(Resp4[4.16],B12)</f>
        <v>8</v>
      </c>
      <c r="F12" s="22">
        <f t="shared" si="0"/>
        <v>13.33</v>
      </c>
      <c r="G12" s="3">
        <f t="shared" si="1"/>
        <v>15.385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13.462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17.308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>ROUND($E6/E$13*100,2)</f>
        <v>13.33</v>
      </c>
    </row>
    <row r="7" spans="1:7" x14ac:dyDescent="0.25">
      <c r="B7" s="2" t="s">
        <v>201</v>
      </c>
      <c r="C7" s="4">
        <f>COUNTIFS(Resp4[Vínculo],"tecnico",Resp4[4.17],B7)</f>
        <v>0</v>
      </c>
      <c r="D7" s="4">
        <f>COUNTIFS(Resp4[Vínculo],"docente",Resp4[4.17],B7)</f>
        <v>2</v>
      </c>
      <c r="E7" s="4">
        <f>COUNTIF(Resp4[4.17],B7)</f>
        <v>2</v>
      </c>
      <c r="F7" s="4">
        <f t="shared" ref="F7:F13" si="0">ROUND($E7/E$13*100,2)</f>
        <v>3.33</v>
      </c>
      <c r="G7" s="3">
        <f t="shared" ref="G7:G12" si="1">ROUND($E7/SUM($E$7:$E$12)*100,3)</f>
        <v>3.8460000000000001</v>
      </c>
    </row>
    <row r="8" spans="1:7" x14ac:dyDescent="0.25">
      <c r="B8" s="2" t="s">
        <v>207</v>
      </c>
      <c r="C8" s="4">
        <f>COUNTIFS(Resp4[Vínculo],"tecnico",Resp4[4.17],B8)</f>
        <v>0</v>
      </c>
      <c r="D8" s="4">
        <f>COUNTIFS(Resp4[Vínculo],"docente",Resp4[4.17],B8)</f>
        <v>1</v>
      </c>
      <c r="E8" s="4">
        <f>COUNTIF(Resp4[4.17],B8)</f>
        <v>1</v>
      </c>
      <c r="F8" s="4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COUNTIFS(Resp4[Vínculo],"tecnico",Resp4[4.17],B9)</f>
        <v>0</v>
      </c>
      <c r="D9" s="4">
        <f>COUNTIFS(Resp4[Vínculo],"docente",Resp4[4.17],B9)</f>
        <v>6</v>
      </c>
      <c r="E9" s="4">
        <f>COUNTIF(Resp4[4.17],B9)</f>
        <v>6</v>
      </c>
      <c r="F9" s="4">
        <f t="shared" si="0"/>
        <v>10</v>
      </c>
      <c r="G9" s="3">
        <f t="shared" si="1"/>
        <v>11.538</v>
      </c>
    </row>
    <row r="10" spans="1:7" x14ac:dyDescent="0.25">
      <c r="B10" s="2" t="s">
        <v>30</v>
      </c>
      <c r="C10" s="4">
        <f>COUNTIFS(Resp4[Vínculo],"tecnico",Resp4[4.17],B10)</f>
        <v>0</v>
      </c>
      <c r="D10" s="4">
        <f>COUNTIFS(Resp4[Vínculo],"docente",Resp4[4.17],B10)</f>
        <v>8</v>
      </c>
      <c r="E10" s="4">
        <f>COUNTIF(Resp4[4.17],B10)</f>
        <v>8</v>
      </c>
      <c r="F10" s="4">
        <f t="shared" si="0"/>
        <v>13.33</v>
      </c>
      <c r="G10" s="3">
        <f t="shared" si="1"/>
        <v>15.385</v>
      </c>
    </row>
    <row r="11" spans="1:7" x14ac:dyDescent="0.25">
      <c r="B11" s="2" t="s">
        <v>195</v>
      </c>
      <c r="C11" s="4">
        <f>COUNTIFS(Resp4[Vínculo],"tecnico",Resp4[4.17],B11)</f>
        <v>0</v>
      </c>
      <c r="D11" s="4">
        <f>COUNTIFS(Resp4[Vínculo],"docente",Resp4[4.17],B11)</f>
        <v>23</v>
      </c>
      <c r="E11" s="4">
        <f>COUNTIF(Resp4[4.17],B11)</f>
        <v>23</v>
      </c>
      <c r="F11" s="4">
        <f t="shared" si="0"/>
        <v>38.33</v>
      </c>
      <c r="G11" s="3">
        <f t="shared" si="1"/>
        <v>44.231000000000002</v>
      </c>
    </row>
    <row r="12" spans="1:7" x14ac:dyDescent="0.25">
      <c r="B12" s="7" t="s">
        <v>196</v>
      </c>
      <c r="C12" s="4">
        <f>COUNTIFS(Resp4[Vínculo],"tecnico",Resp4[4.17],B12)</f>
        <v>0</v>
      </c>
      <c r="D12" s="4">
        <f>COUNTIFS(Resp4[Vínculo],"docente",Resp4[4.17],B12)</f>
        <v>12</v>
      </c>
      <c r="E12" s="4">
        <f>COUNTIF(Resp4[4.17],B12)</f>
        <v>12</v>
      </c>
      <c r="F12" s="22">
        <f t="shared" si="0"/>
        <v>20</v>
      </c>
      <c r="G12" s="3">
        <f t="shared" si="1"/>
        <v>23.077000000000002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13.462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3.8460000000000001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35</v>
      </c>
      <c r="E28" s="19">
        <f>ROUND(D28/SUM(D$25:D$28)*100,3)</f>
        <v>67.308000000000007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COUNTIFS(Resp4[Vínculo],"tecnico",Resp4[4.19],B7)</f>
        <v>0</v>
      </c>
      <c r="D7" s="4">
        <f>COUNTIFS(Resp4[Vínculo],"docente",Resp4[4.19],B7)</f>
        <v>41</v>
      </c>
      <c r="E7" s="2">
        <f>COUNTIF(Resp4[4.19],B7)</f>
        <v>41</v>
      </c>
      <c r="F7" s="4">
        <f t="shared" ref="F7:F9" si="0">ROUND($E7/E$9*100,2)</f>
        <v>68.33</v>
      </c>
      <c r="G7" s="4">
        <f>ROUND($E7/SUM($E$7:$E$8)*100,2)</f>
        <v>68.33</v>
      </c>
      <c r="H7" s="2"/>
    </row>
    <row r="8" spans="1:8" x14ac:dyDescent="0.25">
      <c r="A8" s="2"/>
      <c r="B8" s="2" t="s">
        <v>199</v>
      </c>
      <c r="C8" s="4">
        <f>COUNTIFS(Resp4[Vínculo],"tecnico",Resp4[4.19],B8)</f>
        <v>0</v>
      </c>
      <c r="D8" s="4">
        <f>COUNTIFS(Resp4[Vínculo],"docente",Resp4[4.19],B8)</f>
        <v>19</v>
      </c>
      <c r="E8" s="2">
        <f>COUNTIF(Resp4[4.19],B8)</f>
        <v>19</v>
      </c>
      <c r="F8" s="22">
        <f t="shared" si="0"/>
        <v>31.67</v>
      </c>
      <c r="G8" s="4">
        <f>ROUND($E8/SUM($E$7:$E$8)*100,2)</f>
        <v>31.67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COUNTIFS(Resp4[Vínculo],"tecnico",Resp4[4.20],B7)</f>
        <v>0</v>
      </c>
      <c r="D7" s="4">
        <f>COUNTIFS(Resp4[Vínculo],"docente",Resp4[4.20],B7)</f>
        <v>1</v>
      </c>
      <c r="E7" s="4">
        <f>COUNTIF(Resp4[4.20],B7)</f>
        <v>1</v>
      </c>
      <c r="F7" s="4">
        <f t="shared" ref="F7:F13" si="0">ROUND($E7/E$13*100,2)</f>
        <v>1.67</v>
      </c>
      <c r="G7" s="3">
        <f t="shared" ref="G7:G12" si="1">ROUND($E7/SUM($E$7:$E$12)*100,3)</f>
        <v>2.4390000000000001</v>
      </c>
    </row>
    <row r="8" spans="1:7" x14ac:dyDescent="0.25">
      <c r="B8" s="2" t="s">
        <v>207</v>
      </c>
      <c r="C8" s="4">
        <f>COUNTIFS(Resp4[Vínculo],"tecnico",Resp4[4.20],B8)</f>
        <v>0</v>
      </c>
      <c r="D8" s="4">
        <f>COUNTIFS(Resp4[Vínculo],"docente",Resp4[4.20],B8)</f>
        <v>3</v>
      </c>
      <c r="E8" s="4">
        <f>COUNTIF(Resp4[4.20],B8)</f>
        <v>3</v>
      </c>
      <c r="F8" s="4">
        <f t="shared" si="0"/>
        <v>5</v>
      </c>
      <c r="G8" s="3">
        <f t="shared" si="1"/>
        <v>7.3170000000000002</v>
      </c>
    </row>
    <row r="9" spans="1:7" x14ac:dyDescent="0.25">
      <c r="B9" s="2" t="s">
        <v>204</v>
      </c>
      <c r="C9" s="4">
        <f>COUNTIFS(Resp4[Vínculo],"tecnico",Resp4[4.20],B9)</f>
        <v>0</v>
      </c>
      <c r="D9" s="4">
        <f>COUNTIFS(Resp4[Vínculo],"docente",Resp4[4.20],B9)</f>
        <v>6</v>
      </c>
      <c r="E9" s="4">
        <f>COUNTIF(Resp4[4.20],B9)</f>
        <v>6</v>
      </c>
      <c r="F9" s="4">
        <f t="shared" si="0"/>
        <v>10</v>
      </c>
      <c r="G9" s="3">
        <f t="shared" si="1"/>
        <v>14.634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7</v>
      </c>
      <c r="E10" s="4">
        <f>COUNTIF(Resp4[4.20],B10)</f>
        <v>7</v>
      </c>
      <c r="F10" s="4">
        <f t="shared" si="0"/>
        <v>11.67</v>
      </c>
      <c r="G10" s="3">
        <f t="shared" si="1"/>
        <v>17.073</v>
      </c>
    </row>
    <row r="11" spans="1:7" x14ac:dyDescent="0.25">
      <c r="B11" s="2" t="s">
        <v>195</v>
      </c>
      <c r="C11" s="4">
        <f>COUNTIFS(Resp4[Vínculo],"tecnico",Resp4[4.20],B11)</f>
        <v>0</v>
      </c>
      <c r="D11" s="4">
        <f>COUNTIFS(Resp4[Vínculo],"docente",Resp4[4.20],B11)</f>
        <v>17</v>
      </c>
      <c r="E11" s="4">
        <f>COUNTIF(Resp4[4.20],B11)</f>
        <v>17</v>
      </c>
      <c r="F11" s="4">
        <f t="shared" si="0"/>
        <v>28.33</v>
      </c>
      <c r="G11" s="3">
        <f t="shared" si="1"/>
        <v>41.463000000000001</v>
      </c>
    </row>
    <row r="12" spans="1:7" x14ac:dyDescent="0.25">
      <c r="B12" s="7" t="s">
        <v>196</v>
      </c>
      <c r="C12" s="4">
        <f>COUNTIFS(Resp4[Vínculo],"tecnico",Resp4[4.20],B12)</f>
        <v>0</v>
      </c>
      <c r="D12" s="4">
        <f>COUNTIFS(Resp4[Vínculo],"docente",Resp4[4.20],B12)</f>
        <v>7</v>
      </c>
      <c r="E12" s="4">
        <f>COUNTIF(Resp4[4.20],B12)</f>
        <v>7</v>
      </c>
      <c r="F12" s="22">
        <f t="shared" si="0"/>
        <v>11.67</v>
      </c>
      <c r="G12" s="3">
        <f t="shared" si="1"/>
        <v>17.073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9</v>
      </c>
      <c r="E25" s="15">
        <f>ROUND(D25/SUM(D$25:D$28)*100,3)</f>
        <v>21.951000000000001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2.4390000000000001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17.073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58.536999999999999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COUNTIFS(Resp4[Vínculo],"tecnico",Resp4[4.21],B7)</f>
        <v>0</v>
      </c>
      <c r="D7" s="4">
        <f>COUNTIFS(Resp4[Vínculo],"docente",Resp4[4.21],B7)</f>
        <v>0</v>
      </c>
      <c r="E7" s="4">
        <f>COUNTIF(Resp4[4.21],B7)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COUNTIFS(Resp4[Vínculo],"tecnico",Resp4[4.21],B8)</f>
        <v>0</v>
      </c>
      <c r="D8" s="4">
        <f>COUNTIFS(Resp4[Vínculo],"docente",Resp4[4.21],B8)</f>
        <v>1</v>
      </c>
      <c r="E8" s="4">
        <f>COUNTIF(Resp4[4.21],B8)</f>
        <v>1</v>
      </c>
      <c r="F8" s="4">
        <f t="shared" si="0"/>
        <v>1.67</v>
      </c>
      <c r="G8" s="3">
        <f t="shared" si="1"/>
        <v>2.4390000000000001</v>
      </c>
    </row>
    <row r="9" spans="1:7" x14ac:dyDescent="0.25">
      <c r="B9" s="2" t="s">
        <v>204</v>
      </c>
      <c r="C9" s="4">
        <f>COUNTIFS(Resp4[Vínculo],"tecnico",Resp4[4.21],B9)</f>
        <v>0</v>
      </c>
      <c r="D9" s="4">
        <f>COUNTIFS(Resp4[Vínculo],"docente",Resp4[4.21],B9)</f>
        <v>3</v>
      </c>
      <c r="E9" s="4">
        <f>COUNTIF(Resp4[4.21],B9)</f>
        <v>3</v>
      </c>
      <c r="F9" s="4">
        <f t="shared" si="0"/>
        <v>5</v>
      </c>
      <c r="G9" s="3">
        <f t="shared" si="1"/>
        <v>7.3170000000000002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11</v>
      </c>
      <c r="E10" s="4">
        <f>COUNTIF(Resp4[4.21],B10)</f>
        <v>11</v>
      </c>
      <c r="F10" s="4">
        <f t="shared" si="0"/>
        <v>18.329999999999998</v>
      </c>
      <c r="G10" s="3">
        <f t="shared" si="1"/>
        <v>26.829000000000001</v>
      </c>
    </row>
    <row r="11" spans="1:7" x14ac:dyDescent="0.25">
      <c r="B11" s="2" t="s">
        <v>195</v>
      </c>
      <c r="C11" s="4">
        <f>COUNTIFS(Resp4[Vínculo],"tecnico",Resp4[4.21],B11)</f>
        <v>0</v>
      </c>
      <c r="D11" s="4">
        <f>COUNTIFS(Resp4[Vínculo],"docente",Resp4[4.21],B11)</f>
        <v>12</v>
      </c>
      <c r="E11" s="4">
        <f>COUNTIF(Resp4[4.21],B11)</f>
        <v>12</v>
      </c>
      <c r="F11" s="4">
        <f t="shared" si="0"/>
        <v>20</v>
      </c>
      <c r="G11" s="3">
        <f t="shared" si="1"/>
        <v>29.268000000000001</v>
      </c>
    </row>
    <row r="12" spans="1:7" x14ac:dyDescent="0.25">
      <c r="B12" s="7" t="s">
        <v>196</v>
      </c>
      <c r="C12" s="4">
        <f>COUNTIFS(Resp4[Vínculo],"tecnico",Resp4[4.21],B12)</f>
        <v>0</v>
      </c>
      <c r="D12" s="4">
        <f>COUNTIFS(Resp4[Vínculo],"docente",Resp4[4.21],B12)</f>
        <v>14</v>
      </c>
      <c r="E12" s="4">
        <f>COUNTIF(Resp4[4.21],B12)</f>
        <v>14</v>
      </c>
      <c r="F12" s="22">
        <f t="shared" si="0"/>
        <v>23.33</v>
      </c>
      <c r="G12" s="3">
        <f t="shared" si="1"/>
        <v>34.146000000000001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9.7560000000000002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26.829000000000001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63.414999999999999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COUNTIFS(Resp4[Vínculo],"tecnico",Resp4[4.22],B7)</f>
        <v>0</v>
      </c>
      <c r="D7" s="4">
        <f>COUNTIFS(Resp4[Vínculo],"docente",Resp4[4.22],B7)</f>
        <v>1</v>
      </c>
      <c r="E7" s="4">
        <f>COUNTIF(Resp4[4.22],B7)</f>
        <v>1</v>
      </c>
      <c r="F7" s="4">
        <f t="shared" ref="F7:F13" si="0">ROUND($E7/E$13*100,2)</f>
        <v>1.67</v>
      </c>
      <c r="G7" s="3">
        <f t="shared" ref="G7:G12" si="1">ROUND($E7/SUM($E$7:$E$12)*100,3)</f>
        <v>2.4390000000000001</v>
      </c>
    </row>
    <row r="8" spans="1:7" x14ac:dyDescent="0.25">
      <c r="B8" s="2" t="s">
        <v>207</v>
      </c>
      <c r="C8" s="4">
        <f>COUNTIFS(Resp4[Vínculo],"tecnico",Resp4[4.22],B8)</f>
        <v>0</v>
      </c>
      <c r="D8" s="4">
        <f>COUNTIFS(Resp4[Vínculo],"docente",Resp4[4.22],B8)</f>
        <v>2</v>
      </c>
      <c r="E8" s="4">
        <f>COUNTIF(Resp4[4.22],B8)</f>
        <v>2</v>
      </c>
      <c r="F8" s="4">
        <f t="shared" si="0"/>
        <v>3.33</v>
      </c>
      <c r="G8" s="3">
        <f t="shared" si="1"/>
        <v>4.8780000000000001</v>
      </c>
    </row>
    <row r="9" spans="1:7" x14ac:dyDescent="0.25">
      <c r="B9" s="2" t="s">
        <v>204</v>
      </c>
      <c r="C9" s="4">
        <f>COUNTIFS(Resp4[Vínculo],"tecnico",Resp4[4.22],B9)</f>
        <v>0</v>
      </c>
      <c r="D9" s="4">
        <f>COUNTIFS(Resp4[Vínculo],"docente",Resp4[4.22],B9)</f>
        <v>4</v>
      </c>
      <c r="E9" s="4">
        <f>COUNTIF(Resp4[4.22],B9)</f>
        <v>4</v>
      </c>
      <c r="F9" s="4">
        <f t="shared" si="0"/>
        <v>6.67</v>
      </c>
      <c r="G9" s="3">
        <f t="shared" si="1"/>
        <v>9.7560000000000002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10</v>
      </c>
      <c r="E10" s="4">
        <f>COUNTIF(Resp4[4.22],B10)</f>
        <v>10</v>
      </c>
      <c r="F10" s="4">
        <f t="shared" si="0"/>
        <v>16.670000000000002</v>
      </c>
      <c r="G10" s="3">
        <f t="shared" si="1"/>
        <v>24.39</v>
      </c>
    </row>
    <row r="11" spans="1:7" x14ac:dyDescent="0.25">
      <c r="B11" s="2" t="s">
        <v>195</v>
      </c>
      <c r="C11" s="4">
        <f>COUNTIFS(Resp4[Vínculo],"tecnico",Resp4[4.22],B11)</f>
        <v>0</v>
      </c>
      <c r="D11" s="4">
        <f>COUNTIFS(Resp4[Vínculo],"docente",Resp4[4.22],B11)</f>
        <v>15</v>
      </c>
      <c r="E11" s="4">
        <f>COUNTIF(Resp4[4.22],B11)</f>
        <v>15</v>
      </c>
      <c r="F11" s="4">
        <f t="shared" si="0"/>
        <v>25</v>
      </c>
      <c r="G11" s="3">
        <f t="shared" si="1"/>
        <v>36.585000000000001</v>
      </c>
    </row>
    <row r="12" spans="1:7" x14ac:dyDescent="0.25">
      <c r="B12" s="7" t="s">
        <v>196</v>
      </c>
      <c r="C12" s="4">
        <f>COUNTIFS(Resp4[Vínculo],"tecnico",Resp4[4.22],B12)</f>
        <v>0</v>
      </c>
      <c r="D12" s="4">
        <f>COUNTIFS(Resp4[Vínculo],"docente",Resp4[4.22],B12)</f>
        <v>9</v>
      </c>
      <c r="E12" s="4">
        <f>COUNTIF(Resp4[4.22],B12)</f>
        <v>9</v>
      </c>
      <c r="F12" s="22">
        <f t="shared" si="0"/>
        <v>15</v>
      </c>
      <c r="G12" s="3">
        <f t="shared" si="1"/>
        <v>21.951000000000001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4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14.634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2.4390000000000001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24.39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58.536999999999999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COUNTIFS(Resp4[Vínculo],"tecnico",Resp4[4.23],B7)</f>
        <v>0</v>
      </c>
      <c r="D7" s="4">
        <f>COUNTIFS(Resp4[Vínculo],"docente",Resp4[4.23],B7)</f>
        <v>2</v>
      </c>
      <c r="E7" s="4">
        <f>COUNTIF(Resp4[4.23],B7)</f>
        <v>2</v>
      </c>
      <c r="F7" s="4">
        <f t="shared" ref="F7:F13" si="0">ROUND($E7/E$13*100,2)</f>
        <v>3.33</v>
      </c>
      <c r="G7" s="3">
        <f t="shared" ref="G7:G12" si="1">ROUND($E7/SUM($E$7:$E$12)*100,3)</f>
        <v>4.8780000000000001</v>
      </c>
    </row>
    <row r="8" spans="1:7" x14ac:dyDescent="0.25">
      <c r="B8" s="2" t="s">
        <v>207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COUNTIFS(Resp4[Vínculo],"tecnico",Resp4[4.23],B9)</f>
        <v>0</v>
      </c>
      <c r="D9" s="4">
        <f>COUNTIFS(Resp4[Vínculo],"docente",Resp4[4.23],B9)</f>
        <v>2</v>
      </c>
      <c r="E9" s="4">
        <f>COUNTIF(Resp4[4.23],B9)</f>
        <v>2</v>
      </c>
      <c r="F9" s="4">
        <f t="shared" si="0"/>
        <v>3.33</v>
      </c>
      <c r="G9" s="3">
        <f t="shared" si="1"/>
        <v>4.8780000000000001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10</v>
      </c>
      <c r="E10" s="4">
        <f>COUNTIF(Resp4[4.23],B10)</f>
        <v>10</v>
      </c>
      <c r="F10" s="4">
        <f t="shared" si="0"/>
        <v>16.670000000000002</v>
      </c>
      <c r="G10" s="3">
        <f t="shared" si="1"/>
        <v>24.39</v>
      </c>
    </row>
    <row r="11" spans="1:7" x14ac:dyDescent="0.25">
      <c r="B11" s="2" t="s">
        <v>195</v>
      </c>
      <c r="C11" s="4">
        <f>COUNTIFS(Resp4[Vínculo],"tecnico",Resp4[4.23],B11)</f>
        <v>0</v>
      </c>
      <c r="D11" s="4">
        <f>COUNTIFS(Resp4[Vínculo],"docente",Resp4[4.23],B11)</f>
        <v>14</v>
      </c>
      <c r="E11" s="4">
        <f>COUNTIF(Resp4[4.23],B11)</f>
        <v>14</v>
      </c>
      <c r="F11" s="4">
        <f t="shared" si="0"/>
        <v>23.33</v>
      </c>
      <c r="G11" s="3">
        <f t="shared" si="1"/>
        <v>34.146000000000001</v>
      </c>
    </row>
    <row r="12" spans="1:7" x14ac:dyDescent="0.25">
      <c r="B12" s="7" t="s">
        <v>196</v>
      </c>
      <c r="C12" s="4">
        <f>COUNTIFS(Resp4[Vínculo],"tecnico",Resp4[4.23],B12)</f>
        <v>0</v>
      </c>
      <c r="D12" s="4">
        <f>COUNTIFS(Resp4[Vínculo],"docente",Resp4[4.23],B12)</f>
        <v>13</v>
      </c>
      <c r="E12" s="4">
        <f>COUNTIF(Resp4[4.23],B12)</f>
        <v>13</v>
      </c>
      <c r="F12" s="22">
        <f t="shared" si="0"/>
        <v>21.67</v>
      </c>
      <c r="G12" s="3">
        <f t="shared" si="1"/>
        <v>31.707000000000001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4.8780000000000001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24.39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65.853999999999999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197</v>
      </c>
      <c r="C7" s="4">
        <f>COUNTIFS(Resp4[Vínculo],"tecnico",Resp4[4.24],B7)</f>
        <v>0</v>
      </c>
      <c r="D7" s="4">
        <f>COUNTIFS(Resp4[Vínculo],"docente",Resp4[4.24],B7)</f>
        <v>31</v>
      </c>
      <c r="E7" s="2">
        <f>COUNTIF(Resp4[4.24],B7)</f>
        <v>31</v>
      </c>
      <c r="F7" s="4">
        <f t="shared" ref="F7:F9" si="0">ROUND($E7/E$9*100,2)</f>
        <v>51.67</v>
      </c>
      <c r="G7" s="4">
        <f>ROUND($E7/SUM($E$7:$E$8)*100,2)</f>
        <v>51.67</v>
      </c>
    </row>
    <row r="8" spans="1:7" x14ac:dyDescent="0.25">
      <c r="B8" s="7" t="s">
        <v>208</v>
      </c>
      <c r="C8" s="22">
        <f>COUNTIFS(Resp4[Vínculo],"tecnico",Resp4[4.24],B8)</f>
        <v>0</v>
      </c>
      <c r="D8" s="22">
        <f>COUNTIFS(Resp4[Vínculo],"docente",Resp4[4.24],B8)</f>
        <v>29</v>
      </c>
      <c r="E8" s="7">
        <f>COUNTIF(Resp4[4.24],B8)</f>
        <v>29</v>
      </c>
      <c r="F8" s="22">
        <f t="shared" si="0"/>
        <v>48.33</v>
      </c>
      <c r="G8" s="22">
        <f>ROUND($E8/SUM($E$7:$E$8)*100,2)</f>
        <v>48.33</v>
      </c>
    </row>
    <row r="9" spans="1:7" x14ac:dyDescent="0.25">
      <c r="B9" t="s">
        <v>502</v>
      </c>
      <c r="C9">
        <f>SUM(C6:C8)</f>
        <v>0</v>
      </c>
      <c r="D9">
        <f>SUM(D6:D8)</f>
        <v>60</v>
      </c>
      <c r="E9">
        <f>C9+D9</f>
        <v>60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COUNTIFS(Resp4[Vínculo],"tecnico",Resp4[4.25],B7)</f>
        <v>0</v>
      </c>
      <c r="D7" s="4">
        <f>COUNTIFS(Resp4[Vínculo],"docente",Resp4[4.25],B7)</f>
        <v>2</v>
      </c>
      <c r="E7" s="4">
        <f>COUNTIF(Resp4[4.25],B7)</f>
        <v>2</v>
      </c>
      <c r="F7" s="4">
        <f t="shared" ref="F7:F13" si="0">ROUND($E7/E$13*100,2)</f>
        <v>3.33</v>
      </c>
      <c r="G7" s="3">
        <f t="shared" ref="G7:G12" si="1">ROUND($E7/SUM($E$7:$E$12)*100,3)</f>
        <v>4.8780000000000001</v>
      </c>
    </row>
    <row r="8" spans="1:7" x14ac:dyDescent="0.25">
      <c r="B8" s="2" t="s">
        <v>207</v>
      </c>
      <c r="C8" s="4">
        <f>COUNTIFS(Resp4[Vínculo],"tecnico",Resp4[4.25],B8)</f>
        <v>0</v>
      </c>
      <c r="D8" s="4">
        <f>COUNTIFS(Resp4[Vínculo],"docente",Resp4[4.25],B8)</f>
        <v>1</v>
      </c>
      <c r="E8" s="4">
        <f>COUNTIF(Resp4[4.25],B8)</f>
        <v>1</v>
      </c>
      <c r="F8" s="4">
        <f t="shared" si="0"/>
        <v>1.67</v>
      </c>
      <c r="G8" s="3">
        <f t="shared" si="1"/>
        <v>2.4390000000000001</v>
      </c>
    </row>
    <row r="9" spans="1:7" x14ac:dyDescent="0.25">
      <c r="B9" s="2" t="s">
        <v>204</v>
      </c>
      <c r="C9" s="4">
        <f>COUNTIFS(Resp4[Vínculo],"tecnico",Resp4[4.25],B9)</f>
        <v>0</v>
      </c>
      <c r="D9" s="4">
        <f>COUNTIFS(Resp4[Vínculo],"docente",Resp4[4.25],B9)</f>
        <v>2</v>
      </c>
      <c r="E9" s="4">
        <f>COUNTIF(Resp4[4.25],B9)</f>
        <v>2</v>
      </c>
      <c r="F9" s="4">
        <f t="shared" si="0"/>
        <v>3.33</v>
      </c>
      <c r="G9" s="3">
        <f t="shared" si="1"/>
        <v>4.8780000000000001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13</v>
      </c>
      <c r="E10" s="4">
        <f>COUNTIF(Resp4[4.25],B10)</f>
        <v>13</v>
      </c>
      <c r="F10" s="4">
        <f t="shared" si="0"/>
        <v>21.67</v>
      </c>
      <c r="G10" s="3">
        <f t="shared" si="1"/>
        <v>31.707000000000001</v>
      </c>
    </row>
    <row r="11" spans="1:7" x14ac:dyDescent="0.25">
      <c r="B11" s="2" t="s">
        <v>195</v>
      </c>
      <c r="C11" s="4">
        <f>COUNTIFS(Resp4[Vínculo],"tecnico",Resp4[4.25],B11)</f>
        <v>0</v>
      </c>
      <c r="D11" s="4">
        <f>COUNTIFS(Resp4[Vínculo],"docente",Resp4[4.25],B11)</f>
        <v>11</v>
      </c>
      <c r="E11" s="4">
        <f>COUNTIF(Resp4[4.25],B11)</f>
        <v>11</v>
      </c>
      <c r="F11" s="4">
        <f t="shared" si="0"/>
        <v>18.329999999999998</v>
      </c>
      <c r="G11" s="3">
        <f t="shared" si="1"/>
        <v>26.829000000000001</v>
      </c>
    </row>
    <row r="12" spans="1:7" x14ac:dyDescent="0.25">
      <c r="B12" s="7" t="s">
        <v>196</v>
      </c>
      <c r="C12" s="4">
        <f>COUNTIFS(Resp4[Vínculo],"tecnico",Resp4[4.25],B12)</f>
        <v>0</v>
      </c>
      <c r="D12" s="4">
        <f>COUNTIFS(Resp4[Vínculo],"docente",Resp4[4.25],B12)</f>
        <v>12</v>
      </c>
      <c r="E12" s="4">
        <f>COUNTIF(Resp4[4.25],B12)</f>
        <v>12</v>
      </c>
      <c r="F12" s="22">
        <f t="shared" si="0"/>
        <v>20</v>
      </c>
      <c r="G12" s="3">
        <f t="shared" si="1"/>
        <v>29.268000000000001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4.8780000000000001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31.707000000000001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56.097999999999999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COUNTIFS(Resp4[Vínculo],"tecnico",Resp4[4.26],B7)</f>
        <v>0</v>
      </c>
      <c r="D7" s="4">
        <f>COUNTIFS(Resp4[Vínculo],"docente",Resp4[4.26],B7)</f>
        <v>8</v>
      </c>
      <c r="E7" s="4">
        <f>COUNTIF(Resp4[4.26],B7)</f>
        <v>8</v>
      </c>
      <c r="F7" s="4">
        <f t="shared" ref="F7:F13" si="0">ROUND($E7/E$13*100,2)</f>
        <v>13.33</v>
      </c>
      <c r="G7" s="3">
        <f t="shared" ref="G7:G12" si="1">ROUND($E7/SUM($E$7:$E$12)*100,3)</f>
        <v>19.512</v>
      </c>
    </row>
    <row r="8" spans="1:7" x14ac:dyDescent="0.25">
      <c r="B8" s="2" t="s">
        <v>207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COUNTIFS(Resp4[Vínculo],"tecnico",Resp4[4.26],B9)</f>
        <v>0</v>
      </c>
      <c r="D9" s="4">
        <f>COUNTIFS(Resp4[Vínculo],"docente",Resp4[4.26],B9)</f>
        <v>3</v>
      </c>
      <c r="E9" s="4">
        <f>COUNTIF(Resp4[4.26],B9)</f>
        <v>3</v>
      </c>
      <c r="F9" s="4">
        <f t="shared" si="0"/>
        <v>5</v>
      </c>
      <c r="G9" s="3">
        <f t="shared" si="1"/>
        <v>7.3170000000000002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10</v>
      </c>
      <c r="E10" s="4">
        <f>COUNTIF(Resp4[4.26],B10)</f>
        <v>10</v>
      </c>
      <c r="F10" s="4">
        <f t="shared" si="0"/>
        <v>16.670000000000002</v>
      </c>
      <c r="G10" s="3">
        <f t="shared" si="1"/>
        <v>24.39</v>
      </c>
    </row>
    <row r="11" spans="1:7" x14ac:dyDescent="0.25">
      <c r="B11" s="2" t="s">
        <v>195</v>
      </c>
      <c r="C11" s="4">
        <f>COUNTIFS(Resp4[Vínculo],"tecnico",Resp4[4.26],B11)</f>
        <v>0</v>
      </c>
      <c r="D11" s="4">
        <f>COUNTIFS(Resp4[Vínculo],"docente",Resp4[4.26],B11)</f>
        <v>15</v>
      </c>
      <c r="E11" s="4">
        <f>COUNTIF(Resp4[4.26],B11)</f>
        <v>15</v>
      </c>
      <c r="F11" s="4">
        <f t="shared" si="0"/>
        <v>25</v>
      </c>
      <c r="G11" s="3">
        <f t="shared" si="1"/>
        <v>36.585000000000001</v>
      </c>
    </row>
    <row r="12" spans="1:7" x14ac:dyDescent="0.25">
      <c r="B12" s="7" t="s">
        <v>196</v>
      </c>
      <c r="C12" s="4">
        <f>COUNTIFS(Resp4[Vínculo],"tecnico",Resp4[4.26],B12)</f>
        <v>0</v>
      </c>
      <c r="D12" s="4">
        <f>COUNTIFS(Resp4[Vínculo],"docente",Resp4[4.26],B12)</f>
        <v>5</v>
      </c>
      <c r="E12" s="4">
        <f>COUNTIF(Resp4[4.26],B12)</f>
        <v>5</v>
      </c>
      <c r="F12" s="22">
        <f t="shared" si="0"/>
        <v>8.33</v>
      </c>
      <c r="G12" s="3">
        <f t="shared" si="1"/>
        <v>12.195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7.3170000000000002</v>
      </c>
    </row>
    <row r="26" spans="2:7" x14ac:dyDescent="0.25">
      <c r="B26" s="16" t="s">
        <v>505</v>
      </c>
      <c r="C26" s="16" t="s">
        <v>23</v>
      </c>
      <c r="D26" s="14">
        <f>D7</f>
        <v>8</v>
      </c>
      <c r="E26" s="15">
        <f>ROUND(D26/SUM(D$25:D$28)*100,3)</f>
        <v>19.512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24.39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48.78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COUNTIFS(Resp4[Vínculo],"tecnico",Resp4[4.27],B7)</f>
        <v>0</v>
      </c>
      <c r="D7" s="4">
        <f>COUNTIFS(Resp4[Vínculo],"docente",Resp4[4.27],B7)</f>
        <v>4</v>
      </c>
      <c r="E7" s="4">
        <f>COUNTIF(Resp4[4.27],B7)</f>
        <v>4</v>
      </c>
      <c r="F7" s="4">
        <f t="shared" ref="F7:F13" si="0">ROUND($E7/E$13*100,2)</f>
        <v>6.67</v>
      </c>
      <c r="G7" s="3">
        <f t="shared" ref="G7:G12" si="1">ROUND($E7/SUM($E$7:$E$12)*100,3)</f>
        <v>9.7560000000000002</v>
      </c>
    </row>
    <row r="8" spans="1:7" x14ac:dyDescent="0.25">
      <c r="B8" s="2" t="s">
        <v>207</v>
      </c>
      <c r="C8" s="4">
        <f>COUNTIFS(Resp4[Vínculo],"tecnico",Resp4[4.27],B8)</f>
        <v>0</v>
      </c>
      <c r="D8" s="4">
        <f>COUNTIFS(Resp4[Vínculo],"docente",Resp4[4.27],B8)</f>
        <v>1</v>
      </c>
      <c r="E8" s="4">
        <f>COUNTIF(Resp4[4.27],B8)</f>
        <v>1</v>
      </c>
      <c r="F8" s="4">
        <f t="shared" si="0"/>
        <v>1.67</v>
      </c>
      <c r="G8" s="3">
        <f t="shared" si="1"/>
        <v>2.4390000000000001</v>
      </c>
    </row>
    <row r="9" spans="1:7" x14ac:dyDescent="0.25">
      <c r="B9" s="2" t="s">
        <v>204</v>
      </c>
      <c r="C9" s="4">
        <f>COUNTIFS(Resp4[Vínculo],"tecnico",Resp4[4.27],B9)</f>
        <v>0</v>
      </c>
      <c r="D9" s="4">
        <f>COUNTIFS(Resp4[Vínculo],"docente",Resp4[4.27],B9)</f>
        <v>7</v>
      </c>
      <c r="E9" s="4">
        <f>COUNTIF(Resp4[4.27],B9)</f>
        <v>7</v>
      </c>
      <c r="F9" s="4">
        <f t="shared" si="0"/>
        <v>11.67</v>
      </c>
      <c r="G9" s="3">
        <f t="shared" si="1"/>
        <v>17.073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12</v>
      </c>
      <c r="E10" s="4">
        <f>COUNTIF(Resp4[4.27],B10)</f>
        <v>12</v>
      </c>
      <c r="F10" s="4">
        <f t="shared" si="0"/>
        <v>20</v>
      </c>
      <c r="G10" s="3">
        <f t="shared" si="1"/>
        <v>29.268000000000001</v>
      </c>
    </row>
    <row r="11" spans="1:7" x14ac:dyDescent="0.25">
      <c r="B11" s="2" t="s">
        <v>195</v>
      </c>
      <c r="C11" s="4">
        <f>COUNTIFS(Resp4[Vínculo],"tecnico",Resp4[4.27],B11)</f>
        <v>0</v>
      </c>
      <c r="D11" s="4">
        <f>COUNTIFS(Resp4[Vínculo],"docente",Resp4[4.27],B11)</f>
        <v>10</v>
      </c>
      <c r="E11" s="4">
        <f>COUNTIF(Resp4[4.27],B11)</f>
        <v>10</v>
      </c>
      <c r="F11" s="4">
        <f t="shared" si="0"/>
        <v>16.670000000000002</v>
      </c>
      <c r="G11" s="3">
        <f t="shared" si="1"/>
        <v>24.39</v>
      </c>
    </row>
    <row r="12" spans="1:7" x14ac:dyDescent="0.25">
      <c r="B12" s="7" t="s">
        <v>196</v>
      </c>
      <c r="C12" s="4">
        <f>COUNTIFS(Resp4[Vínculo],"tecnico",Resp4[4.27],B12)</f>
        <v>0</v>
      </c>
      <c r="D12" s="4">
        <f>COUNTIFS(Resp4[Vínculo],"docente",Resp4[4.27],B12)</f>
        <v>7</v>
      </c>
      <c r="E12" s="4">
        <f>COUNTIF(Resp4[4.27],B12)</f>
        <v>7</v>
      </c>
      <c r="F12" s="22">
        <f t="shared" si="0"/>
        <v>11.67</v>
      </c>
      <c r="G12" s="3">
        <f t="shared" si="1"/>
        <v>17.073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9.7560000000000002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29.268000000000001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41.463000000000001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19</v>
      </c>
      <c r="E6" s="4">
        <f>E13-SUM(E7:E12)</f>
        <v>19</v>
      </c>
      <c r="F6" s="4">
        <f>ROUND($E6/E$13*100,2)</f>
        <v>31.67</v>
      </c>
    </row>
    <row r="7" spans="1:7" x14ac:dyDescent="0.25">
      <c r="B7" s="2" t="s">
        <v>201</v>
      </c>
      <c r="C7" s="4">
        <f>COUNTIFS(Resp4[Vínculo],"tecnico",Resp4[4.28],B7)</f>
        <v>0</v>
      </c>
      <c r="D7" s="4">
        <f>COUNTIFS(Resp4[Vínculo],"docente",Resp4[4.28],B7)</f>
        <v>5</v>
      </c>
      <c r="E7" s="4">
        <f>COUNTIF(Resp4[4.28],B7)</f>
        <v>5</v>
      </c>
      <c r="F7" s="4">
        <f t="shared" ref="F7:F13" si="0">ROUND($E7/E$13*100,2)</f>
        <v>8.33</v>
      </c>
      <c r="G7" s="3">
        <f t="shared" ref="G7:G12" si="1">ROUND($E7/SUM($E$7:$E$12)*100,3)</f>
        <v>12.195</v>
      </c>
    </row>
    <row r="8" spans="1:7" x14ac:dyDescent="0.25">
      <c r="B8" s="2" t="s">
        <v>207</v>
      </c>
      <c r="C8" s="4">
        <f>COUNTIFS(Resp4[Vínculo],"tecnico",Resp4[4.28],B8)</f>
        <v>0</v>
      </c>
      <c r="D8" s="4">
        <f>COUNTIFS(Resp4[Vínculo],"docente",Resp4[4.28],B8)</f>
        <v>2</v>
      </c>
      <c r="E8" s="4">
        <f>COUNTIF(Resp4[4.28],B8)</f>
        <v>2</v>
      </c>
      <c r="F8" s="4">
        <f t="shared" si="0"/>
        <v>3.33</v>
      </c>
      <c r="G8" s="3">
        <f t="shared" si="1"/>
        <v>4.8780000000000001</v>
      </c>
    </row>
    <row r="9" spans="1:7" x14ac:dyDescent="0.25">
      <c r="B9" s="2" t="s">
        <v>204</v>
      </c>
      <c r="C9" s="4">
        <f>COUNTIFS(Resp4[Vínculo],"tecnico",Resp4[4.28],B9)</f>
        <v>0</v>
      </c>
      <c r="D9" s="4">
        <f>COUNTIFS(Resp4[Vínculo],"docente",Resp4[4.28],B9)</f>
        <v>6</v>
      </c>
      <c r="E9" s="4">
        <f>COUNTIF(Resp4[4.28],B9)</f>
        <v>6</v>
      </c>
      <c r="F9" s="4">
        <f t="shared" si="0"/>
        <v>10</v>
      </c>
      <c r="G9" s="3">
        <f t="shared" si="1"/>
        <v>14.634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10</v>
      </c>
      <c r="E10" s="4">
        <f>COUNTIF(Resp4[4.28],B10)</f>
        <v>10</v>
      </c>
      <c r="F10" s="4">
        <f t="shared" si="0"/>
        <v>16.670000000000002</v>
      </c>
      <c r="G10" s="3">
        <f t="shared" si="1"/>
        <v>24.39</v>
      </c>
    </row>
    <row r="11" spans="1:7" x14ac:dyDescent="0.25">
      <c r="B11" s="2" t="s">
        <v>195</v>
      </c>
      <c r="C11" s="4">
        <f>COUNTIFS(Resp4[Vínculo],"tecnico",Resp4[4.28],B11)</f>
        <v>0</v>
      </c>
      <c r="D11" s="4">
        <f>COUNTIFS(Resp4[Vínculo],"docente",Resp4[4.28],B11)</f>
        <v>9</v>
      </c>
      <c r="E11" s="4">
        <f>COUNTIF(Resp4[4.28],B11)</f>
        <v>9</v>
      </c>
      <c r="F11" s="4">
        <f t="shared" si="0"/>
        <v>15</v>
      </c>
      <c r="G11" s="3">
        <f t="shared" si="1"/>
        <v>21.951000000000001</v>
      </c>
    </row>
    <row r="12" spans="1:7" x14ac:dyDescent="0.25">
      <c r="B12" s="7" t="s">
        <v>196</v>
      </c>
      <c r="C12" s="4">
        <f>COUNTIFS(Resp4[Vínculo],"tecnico",Resp4[4.28],B12)</f>
        <v>0</v>
      </c>
      <c r="D12" s="4">
        <f>COUNTIFS(Resp4[Vínculo],"docente",Resp4[4.28],B12)</f>
        <v>9</v>
      </c>
      <c r="E12" s="4">
        <f>COUNTIF(Resp4[4.28],B12)</f>
        <v>9</v>
      </c>
      <c r="F12" s="22">
        <f t="shared" si="0"/>
        <v>15</v>
      </c>
      <c r="G12" s="3">
        <f t="shared" si="1"/>
        <v>21.951000000000001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19.512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12.195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24.39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43.902000000000001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60</v>
      </c>
      <c r="E6" s="4">
        <f>E13-SUM(E7:E12)</f>
        <v>60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204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196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60</v>
      </c>
      <c r="E6" s="4">
        <f>E13-SUM(E7:E12)</f>
        <v>60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204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196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60</v>
      </c>
      <c r="E6" s="4">
        <f>E13-SUM(E7:E12)</f>
        <v>60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204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196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60</v>
      </c>
      <c r="E6" s="4">
        <f>E13-SUM(E7:E12)</f>
        <v>60</v>
      </c>
      <c r="F6" s="4">
        <f>ROUND($E6/E$13*100,2)</f>
        <v>100</v>
      </c>
    </row>
    <row r="7" spans="1:7" x14ac:dyDescent="0.25">
      <c r="B7" s="2" t="s">
        <v>201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204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195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196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COUNTIFS(Resp4[Vínculo],"tecnico",Resp4[4.33],B7)</f>
        <v>0</v>
      </c>
      <c r="D7" s="4">
        <f>COUNTIFS(Resp4[Vínculo],"docente",Resp4[4.33],B7)</f>
        <v>37</v>
      </c>
      <c r="E7" s="2">
        <f>COUNTIF(Resp4[4.33],B7)</f>
        <v>37</v>
      </c>
      <c r="F7" s="4">
        <f t="shared" ref="F7:F9" si="0">ROUND($E7/E$9*100,2)</f>
        <v>61.67</v>
      </c>
      <c r="G7" s="4">
        <f>ROUND($E7/SUM($E$7:$E$8)*100,2)</f>
        <v>61.67</v>
      </c>
      <c r="H7" s="2"/>
    </row>
    <row r="8" spans="1:8" x14ac:dyDescent="0.25">
      <c r="A8" s="2"/>
      <c r="B8" s="2" t="s">
        <v>199</v>
      </c>
      <c r="C8" s="4">
        <f>COUNTIFS(Resp4[Vínculo],"tecnico",Resp4[4.33],B8)</f>
        <v>0</v>
      </c>
      <c r="D8" s="4">
        <f>COUNTIFS(Resp4[Vínculo],"docente",Resp4[4.33],B8)</f>
        <v>23</v>
      </c>
      <c r="E8" s="2">
        <f>COUNTIF(Resp4[4.33],B8)</f>
        <v>23</v>
      </c>
      <c r="F8" s="22">
        <f t="shared" si="0"/>
        <v>38.33</v>
      </c>
      <c r="G8" s="4">
        <f>ROUND($E8/SUM($E$7:$E$8)*100,2)</f>
        <v>38.33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23</v>
      </c>
      <c r="E6" s="4">
        <f>E13-SUM(E7:E12)</f>
        <v>23</v>
      </c>
      <c r="F6" s="4">
        <f>ROUND($E6/E$13*100,2)</f>
        <v>38.33</v>
      </c>
    </row>
    <row r="7" spans="1:7" x14ac:dyDescent="0.25">
      <c r="B7" s="2" t="s">
        <v>201</v>
      </c>
      <c r="C7" s="4">
        <f>COUNTIFS(Resp4[Vínculo],"tecnico",Resp4[4.34],B7)</f>
        <v>0</v>
      </c>
      <c r="D7" s="4">
        <f>COUNTIFS(Resp4[Vínculo],"docente",Resp4[4.34],B7)</f>
        <v>1</v>
      </c>
      <c r="E7" s="4">
        <f>COUNTIF(Resp4[4.34],B7)</f>
        <v>1</v>
      </c>
      <c r="F7" s="4">
        <f t="shared" ref="F7:F13" si="0">ROUND($E7/E$13*100,2)</f>
        <v>1.67</v>
      </c>
      <c r="G7" s="3">
        <f t="shared" ref="G7:G12" si="1">ROUND($E7/SUM($E$7:$E$12)*100,3)</f>
        <v>2.7029999999999998</v>
      </c>
    </row>
    <row r="8" spans="1:7" x14ac:dyDescent="0.25">
      <c r="B8" s="2" t="s">
        <v>207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COUNTIFS(Resp4[Vínculo],"tecnico",Resp4[4.34],B9)</f>
        <v>0</v>
      </c>
      <c r="D9" s="4">
        <f>COUNTIFS(Resp4[Vínculo],"docente",Resp4[4.34],B9)</f>
        <v>1</v>
      </c>
      <c r="E9" s="4">
        <f>COUNTIF(Resp4[4.34],B9)</f>
        <v>1</v>
      </c>
      <c r="F9" s="4">
        <f t="shared" si="0"/>
        <v>1.67</v>
      </c>
      <c r="G9" s="3">
        <f t="shared" si="1"/>
        <v>2.7029999999999998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6</v>
      </c>
      <c r="E10" s="4">
        <f>COUNTIF(Resp4[4.34],B10)</f>
        <v>6</v>
      </c>
      <c r="F10" s="4">
        <f t="shared" si="0"/>
        <v>10</v>
      </c>
      <c r="G10" s="3">
        <f t="shared" si="1"/>
        <v>16.216000000000001</v>
      </c>
    </row>
    <row r="11" spans="1:7" x14ac:dyDescent="0.25">
      <c r="B11" s="2" t="s">
        <v>195</v>
      </c>
      <c r="C11" s="4">
        <f>COUNTIFS(Resp4[Vínculo],"tecnico",Resp4[4.34],B11)</f>
        <v>0</v>
      </c>
      <c r="D11" s="4">
        <f>COUNTIFS(Resp4[Vínculo],"docente",Resp4[4.34],B11)</f>
        <v>14</v>
      </c>
      <c r="E11" s="4">
        <f>COUNTIF(Resp4[4.34],B11)</f>
        <v>14</v>
      </c>
      <c r="F11" s="4">
        <f t="shared" si="0"/>
        <v>23.33</v>
      </c>
      <c r="G11" s="3">
        <f t="shared" si="1"/>
        <v>37.838000000000001</v>
      </c>
    </row>
    <row r="12" spans="1:7" x14ac:dyDescent="0.25">
      <c r="B12" s="7" t="s">
        <v>196</v>
      </c>
      <c r="C12" s="4">
        <f>COUNTIFS(Resp4[Vínculo],"tecnico",Resp4[4.34],B12)</f>
        <v>0</v>
      </c>
      <c r="D12" s="4">
        <f>COUNTIFS(Resp4[Vínculo],"docente",Resp4[4.34],B12)</f>
        <v>15</v>
      </c>
      <c r="E12" s="4">
        <f>COUNTIF(Resp4[4.34],B12)</f>
        <v>15</v>
      </c>
      <c r="F12" s="22">
        <f t="shared" si="0"/>
        <v>25</v>
      </c>
      <c r="G12" s="3">
        <f t="shared" si="1"/>
        <v>40.540999999999997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2.7029999999999998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2.7029999999999998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16.216000000000001</v>
      </c>
    </row>
    <row r="28" spans="2:7" x14ac:dyDescent="0.25">
      <c r="B28" s="32" t="s">
        <v>33</v>
      </c>
      <c r="C28" s="32" t="s">
        <v>32</v>
      </c>
      <c r="D28" s="18">
        <f>SUM(D11:D12)</f>
        <v>29</v>
      </c>
      <c r="E28" s="19">
        <f>ROUND(D28/SUM(D$25:D$28)*100,3)</f>
        <v>78.378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3">
        <f>ROUND($E6/E$13*100,2)</f>
        <v>13.33</v>
      </c>
      <c r="G6" s="3"/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COUNTIFS(Resp4[Vínculo],"tecnico",Resp4[4.02],B$9)</f>
        <v>0</v>
      </c>
      <c r="D9" s="4">
        <f>COUNTIFS(Resp4[Vínculo],"docente",Resp4[4.02],B9)</f>
        <v>5</v>
      </c>
      <c r="E9" s="4">
        <f>COUNTIF(Resp4[4.02],B9)</f>
        <v>5</v>
      </c>
      <c r="F9" s="3">
        <f t="shared" si="0"/>
        <v>8.33</v>
      </c>
      <c r="G9" s="3">
        <f t="shared" si="1"/>
        <v>9.6150000000000002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15</v>
      </c>
      <c r="E10" s="4">
        <f>COUNTIF(Resp4[4.02],B10)</f>
        <v>15</v>
      </c>
      <c r="F10" s="3">
        <f t="shared" si="0"/>
        <v>25</v>
      </c>
      <c r="G10" s="3">
        <f t="shared" si="1"/>
        <v>28.846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22</v>
      </c>
      <c r="E11" s="4">
        <f>COUNTIF(Resp4[4.02],B11)</f>
        <v>22</v>
      </c>
      <c r="F11" s="3">
        <f t="shared" si="0"/>
        <v>36.67</v>
      </c>
      <c r="G11" s="3">
        <f t="shared" si="1"/>
        <v>42.308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9</v>
      </c>
      <c r="E12" s="4">
        <f>COUNTIF(Resp4[4.02],B12)</f>
        <v>9</v>
      </c>
      <c r="F12" s="24">
        <f t="shared" si="0"/>
        <v>15</v>
      </c>
      <c r="G12" s="3">
        <f t="shared" si="1"/>
        <v>17.308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5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11.538</v>
      </c>
    </row>
    <row r="26" spans="2:5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5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28.846</v>
      </c>
    </row>
    <row r="28" spans="2:5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59.615000000000002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23</v>
      </c>
      <c r="E6" s="4">
        <f>E13-SUM(E7:E12)</f>
        <v>23</v>
      </c>
      <c r="F6" s="4">
        <f>ROUND($E6/E$13*100,2)</f>
        <v>38.33</v>
      </c>
    </row>
    <row r="7" spans="1:7" x14ac:dyDescent="0.25">
      <c r="B7" s="2" t="s">
        <v>201</v>
      </c>
      <c r="C7" s="4">
        <f>COUNTIFS(Resp4[Vínculo],"tecnico",Resp4[4.35],B7)</f>
        <v>0</v>
      </c>
      <c r="D7" s="4">
        <f>COUNTIFS(Resp4[Vínculo],"docente",Resp4[4.35],B7)</f>
        <v>1</v>
      </c>
      <c r="E7" s="4">
        <f>COUNTIF(Resp4[4.35],B7)</f>
        <v>1</v>
      </c>
      <c r="F7" s="4">
        <f t="shared" ref="F7:F13" si="0">ROUND($E7/E$13*100,2)</f>
        <v>1.67</v>
      </c>
      <c r="G7" s="3">
        <f t="shared" ref="G7:G12" si="1">ROUND($E7/SUM($E$7:$E$12)*100,3)</f>
        <v>2.7029999999999998</v>
      </c>
    </row>
    <row r="8" spans="1:7" x14ac:dyDescent="0.25">
      <c r="B8" s="2" t="s">
        <v>207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COUNTIFS(Resp4[Vínculo],"tecnico",Resp4[4.35],B9)</f>
        <v>0</v>
      </c>
      <c r="D9" s="4">
        <f>COUNTIFS(Resp4[Vínculo],"docente",Resp4[4.35],B9)</f>
        <v>2</v>
      </c>
      <c r="E9" s="4">
        <f>COUNTIF(Resp4[4.35],B9)</f>
        <v>2</v>
      </c>
      <c r="F9" s="4">
        <f t="shared" si="0"/>
        <v>3.33</v>
      </c>
      <c r="G9" s="3">
        <f t="shared" si="1"/>
        <v>5.4050000000000002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12</v>
      </c>
      <c r="E10" s="4">
        <f>COUNTIF(Resp4[4.35],B10)</f>
        <v>12</v>
      </c>
      <c r="F10" s="4">
        <f t="shared" si="0"/>
        <v>20</v>
      </c>
      <c r="G10" s="3">
        <f t="shared" si="1"/>
        <v>32.432000000000002</v>
      </c>
    </row>
    <row r="11" spans="1:7" x14ac:dyDescent="0.25">
      <c r="B11" s="2" t="s">
        <v>195</v>
      </c>
      <c r="C11" s="4">
        <f>COUNTIFS(Resp4[Vínculo],"tecnico",Resp4[4.35],B11)</f>
        <v>0</v>
      </c>
      <c r="D11" s="4">
        <f>COUNTIFS(Resp4[Vínculo],"docente",Resp4[4.35],B11)</f>
        <v>14</v>
      </c>
      <c r="E11" s="4">
        <f>COUNTIF(Resp4[4.35],B11)</f>
        <v>14</v>
      </c>
      <c r="F11" s="4">
        <f t="shared" si="0"/>
        <v>23.33</v>
      </c>
      <c r="G11" s="3">
        <f t="shared" si="1"/>
        <v>37.838000000000001</v>
      </c>
    </row>
    <row r="12" spans="1:7" x14ac:dyDescent="0.25">
      <c r="B12" s="7" t="s">
        <v>196</v>
      </c>
      <c r="C12" s="4">
        <f>COUNTIFS(Resp4[Vínculo],"tecnico",Resp4[4.35],B12)</f>
        <v>0</v>
      </c>
      <c r="D12" s="4">
        <f>COUNTIFS(Resp4[Vínculo],"docente",Resp4[4.35],B12)</f>
        <v>8</v>
      </c>
      <c r="E12" s="4">
        <f>COUNTIF(Resp4[4.35],B12)</f>
        <v>8</v>
      </c>
      <c r="F12" s="22">
        <f t="shared" si="0"/>
        <v>13.33</v>
      </c>
      <c r="G12" s="3">
        <f t="shared" si="1"/>
        <v>21.622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100.00000000000001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5.4050000000000002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2.7029999999999998</v>
      </c>
    </row>
    <row r="27" spans="2:7" x14ac:dyDescent="0.25">
      <c r="B27" s="17" t="s">
        <v>30</v>
      </c>
      <c r="C27" s="17" t="s">
        <v>29</v>
      </c>
      <c r="D27" s="14">
        <f>D10</f>
        <v>12</v>
      </c>
      <c r="E27" s="15">
        <f>ROUND(D27/SUM(D$25:D$28)*100,3)</f>
        <v>32.432000000000002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59.459000000000003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23</v>
      </c>
      <c r="E6" s="4">
        <f>E13-SUM(E7:E12)</f>
        <v>23</v>
      </c>
      <c r="F6" s="4">
        <f>ROUND($E6/E$13*100,2)</f>
        <v>38.33</v>
      </c>
    </row>
    <row r="7" spans="1:7" x14ac:dyDescent="0.25">
      <c r="B7" s="2" t="s">
        <v>201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COUNTIFS(Resp4[Vínculo],"tecnico",Resp4[4.36],B9)</f>
        <v>0</v>
      </c>
      <c r="D9" s="4">
        <f>COUNTIFS(Resp4[Vínculo],"docente",Resp4[4.36],B9)</f>
        <v>3</v>
      </c>
      <c r="E9" s="4">
        <f>COUNTIF(Resp4[4.36],B9)</f>
        <v>3</v>
      </c>
      <c r="F9" s="4">
        <f t="shared" si="0"/>
        <v>5</v>
      </c>
      <c r="G9" s="3">
        <f t="shared" si="1"/>
        <v>8.1080000000000005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13</v>
      </c>
      <c r="E10" s="4">
        <f>COUNTIF(Resp4[4.36],B10)</f>
        <v>13</v>
      </c>
      <c r="F10" s="4">
        <f t="shared" si="0"/>
        <v>21.67</v>
      </c>
      <c r="G10" s="3">
        <f t="shared" si="1"/>
        <v>35.134999999999998</v>
      </c>
    </row>
    <row r="11" spans="1:7" x14ac:dyDescent="0.25">
      <c r="B11" s="2" t="s">
        <v>195</v>
      </c>
      <c r="C11" s="4">
        <f>COUNTIFS(Resp4[Vínculo],"tecnico",Resp4[4.36],B11)</f>
        <v>0</v>
      </c>
      <c r="D11" s="4">
        <f>COUNTIFS(Resp4[Vínculo],"docente",Resp4[4.36],B11)</f>
        <v>13</v>
      </c>
      <c r="E11" s="4">
        <f>COUNTIF(Resp4[4.36],B11)</f>
        <v>13</v>
      </c>
      <c r="F11" s="4">
        <f t="shared" si="0"/>
        <v>21.67</v>
      </c>
      <c r="G11" s="3">
        <f t="shared" si="1"/>
        <v>35.134999999999998</v>
      </c>
    </row>
    <row r="12" spans="1:7" x14ac:dyDescent="0.25">
      <c r="B12" s="7" t="s">
        <v>196</v>
      </c>
      <c r="C12" s="4">
        <f>COUNTIFS(Resp4[Vínculo],"tecnico",Resp4[4.36],B12)</f>
        <v>0</v>
      </c>
      <c r="D12" s="4">
        <f>COUNTIFS(Resp4[Vínculo],"docente",Resp4[4.36],B12)</f>
        <v>8</v>
      </c>
      <c r="E12" s="4">
        <f>COUNTIF(Resp4[4.36],B12)</f>
        <v>8</v>
      </c>
      <c r="F12" s="22">
        <f t="shared" si="0"/>
        <v>13.33</v>
      </c>
      <c r="G12" s="3">
        <f t="shared" si="1"/>
        <v>21.622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8.1080000000000005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35.134999999999998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56.756999999999998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COUNTIFS(Resp4[Vínculo],"tecnico",Resp4[4.38],B7)</f>
        <v>0</v>
      </c>
      <c r="D7" s="4">
        <f>COUNTIFS(Resp4[Vínculo],"docente",Resp4[4.38],B7)</f>
        <v>30</v>
      </c>
      <c r="E7" s="2">
        <f>COUNTIF(Resp4[4.38],B7)</f>
        <v>30</v>
      </c>
      <c r="F7" s="4">
        <f t="shared" ref="F7:F9" si="0">ROUND($E7/E$9*100,2)</f>
        <v>50</v>
      </c>
      <c r="G7" s="4">
        <f>ROUND($E7/SUM($E$7:$E$8)*100,2)</f>
        <v>50</v>
      </c>
      <c r="H7" s="2"/>
    </row>
    <row r="8" spans="1:8" x14ac:dyDescent="0.25">
      <c r="A8" s="2"/>
      <c r="B8" s="2" t="s">
        <v>199</v>
      </c>
      <c r="C8" s="4">
        <f>COUNTIFS(Resp4[Vínculo],"tecnico",Resp4[4.38],B8)</f>
        <v>0</v>
      </c>
      <c r="D8" s="4">
        <f>COUNTIFS(Resp4[Vínculo],"docente",Resp4[4.38],B8)</f>
        <v>30</v>
      </c>
      <c r="E8" s="2">
        <f>COUNTIF(Resp4[4.38],B8)</f>
        <v>30</v>
      </c>
      <c r="F8" s="22">
        <f t="shared" si="0"/>
        <v>50</v>
      </c>
      <c r="G8" s="4">
        <f>ROUND($E8/SUM($E$7:$E$8)*100,2)</f>
        <v>50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COUNTIFS(Resp4[Vínculo],"tecnico",Resp4[4.39],B7)</f>
        <v>0</v>
      </c>
      <c r="D7" s="4">
        <f>COUNTIFS(Resp4[Vínculo],"docente",Resp4[4.39],B7)</f>
        <v>1</v>
      </c>
      <c r="E7" s="4">
        <f>COUNTIF(Resp4[4.39],B7)</f>
        <v>1</v>
      </c>
      <c r="F7" s="4">
        <f t="shared" ref="F7:F13" si="0">ROUND($E7/E$13*100,2)</f>
        <v>1.67</v>
      </c>
      <c r="G7" s="3">
        <f t="shared" ref="G7:G12" si="1">ROUND($E7/SUM($E$7:$E$12)*100,3)</f>
        <v>3.3330000000000002</v>
      </c>
    </row>
    <row r="8" spans="1:7" x14ac:dyDescent="0.25">
      <c r="B8" s="2" t="s">
        <v>207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COUNTIFS(Resp4[Vínculo],"tecnico",Resp4[4.39],B9)</f>
        <v>0</v>
      </c>
      <c r="D9" s="4">
        <f>COUNTIFS(Resp4[Vínculo],"docente",Resp4[4.39],B9)</f>
        <v>1</v>
      </c>
      <c r="E9" s="4">
        <f>COUNTIF(Resp4[4.39],B9)</f>
        <v>1</v>
      </c>
      <c r="F9" s="4">
        <f t="shared" si="0"/>
        <v>1.67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2</v>
      </c>
      <c r="E10" s="4">
        <f>COUNTIF(Resp4[4.39],B10)</f>
        <v>2</v>
      </c>
      <c r="F10" s="4">
        <f t="shared" si="0"/>
        <v>3.33</v>
      </c>
      <c r="G10" s="3">
        <f t="shared" si="1"/>
        <v>6.6669999999999998</v>
      </c>
    </row>
    <row r="11" spans="1:7" x14ac:dyDescent="0.25">
      <c r="B11" s="2" t="s">
        <v>195</v>
      </c>
      <c r="C11" s="4">
        <f>COUNTIFS(Resp4[Vínculo],"tecnico",Resp4[4.39],B11)</f>
        <v>0</v>
      </c>
      <c r="D11" s="4">
        <f>COUNTIFS(Resp4[Vínculo],"docente",Resp4[4.39],B11)</f>
        <v>17</v>
      </c>
      <c r="E11" s="4">
        <f>COUNTIF(Resp4[4.39],B11)</f>
        <v>17</v>
      </c>
      <c r="F11" s="4">
        <f t="shared" si="0"/>
        <v>28.33</v>
      </c>
      <c r="G11" s="3">
        <f t="shared" si="1"/>
        <v>56.667000000000002</v>
      </c>
    </row>
    <row r="12" spans="1:7" x14ac:dyDescent="0.25">
      <c r="B12" s="7" t="s">
        <v>196</v>
      </c>
      <c r="C12" s="4">
        <f>COUNTIFS(Resp4[Vínculo],"tecnico",Resp4[4.39],B12)</f>
        <v>0</v>
      </c>
      <c r="D12" s="4">
        <f>COUNTIFS(Resp4[Vínculo],"docente",Resp4[4.39],B12)</f>
        <v>9</v>
      </c>
      <c r="E12" s="4">
        <f>COUNTIF(Resp4[4.39],B12)</f>
        <v>9</v>
      </c>
      <c r="F12" s="22">
        <f t="shared" si="0"/>
        <v>15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3.3330000000000002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3.3330000000000002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15">
        <f>ROUND($E6/E$13*100,2)</f>
        <v>50</v>
      </c>
    </row>
    <row r="7" spans="1:7" x14ac:dyDescent="0.25">
      <c r="B7" s="2" t="s">
        <v>201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COUNTIFS(Resp4[Vínculo],"tecnico",Resp4[4.40],B9)</f>
        <v>0</v>
      </c>
      <c r="D9" s="4">
        <f>COUNTIFS(Resp4[Vínculo],"docente",Resp4[4.40],B9)</f>
        <v>1</v>
      </c>
      <c r="E9" s="4">
        <f>COUNTIF(Resp4[4.40],B9)</f>
        <v>1</v>
      </c>
      <c r="F9" s="15">
        <f t="shared" si="0"/>
        <v>1.67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3</v>
      </c>
      <c r="E10" s="4">
        <f>COUNTIF(Resp4[4.40],B10)</f>
        <v>3</v>
      </c>
      <c r="F10" s="15">
        <f t="shared" si="0"/>
        <v>5</v>
      </c>
      <c r="G10" s="3">
        <f t="shared" si="1"/>
        <v>10</v>
      </c>
    </row>
    <row r="11" spans="1:7" x14ac:dyDescent="0.25">
      <c r="B11" s="2" t="s">
        <v>195</v>
      </c>
      <c r="C11" s="4">
        <f>COUNTIFS(Resp4[Vínculo],"tecnico",Resp4[4.40],B11)</f>
        <v>0</v>
      </c>
      <c r="D11" s="4">
        <f>COUNTIFS(Resp4[Vínculo],"docente",Resp4[4.40],B11)</f>
        <v>15</v>
      </c>
      <c r="E11" s="4">
        <f>COUNTIF(Resp4[4.40],B11)</f>
        <v>15</v>
      </c>
      <c r="F11" s="15">
        <f t="shared" si="0"/>
        <v>25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COUNTIFS(Resp4[Vínculo],"tecnico",Resp4[4.40],B12)</f>
        <v>0</v>
      </c>
      <c r="D12" s="4">
        <f>COUNTIFS(Resp4[Vínculo],"docente",Resp4[4.40],B12)</f>
        <v>11</v>
      </c>
      <c r="E12" s="4">
        <f>COUNTIF(Resp4[4.40],B12)</f>
        <v>11</v>
      </c>
      <c r="F12" s="19">
        <f t="shared" si="0"/>
        <v>18.329999999999998</v>
      </c>
      <c r="G12" s="3">
        <f t="shared" si="1"/>
        <v>36.667000000000002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3.3330000000000002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86.667000000000002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COUNTIFS(Resp4[Vínculo],"tecnico",Resp4[4.41],B7)</f>
        <v>0</v>
      </c>
      <c r="D7" s="4">
        <f>COUNTIFS(Resp4[Vínculo],"docente",Resp4[4.41],B7)</f>
        <v>1</v>
      </c>
      <c r="E7" s="4">
        <f>COUNTIF(Resp4[4.41],B7)</f>
        <v>1</v>
      </c>
      <c r="F7" s="4">
        <f t="shared" ref="F7:F13" si="0">ROUND($E7/E$13*100,2)</f>
        <v>1.67</v>
      </c>
      <c r="G7" s="3">
        <f t="shared" ref="G7:G12" si="1">ROUND($E7/SUM($E$7:$E$12)*100,3)</f>
        <v>3.3330000000000002</v>
      </c>
    </row>
    <row r="8" spans="1:7" x14ac:dyDescent="0.25">
      <c r="B8" s="2" t="s">
        <v>207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COUNTIFS(Resp4[Vínculo],"tecnico",Resp4[4.41],B9)</f>
        <v>0</v>
      </c>
      <c r="D9" s="4">
        <f>COUNTIFS(Resp4[Vínculo],"docente",Resp4[4.41],B9)</f>
        <v>2</v>
      </c>
      <c r="E9" s="4">
        <f>COUNTIF(Resp4[4.41],B9)</f>
        <v>2</v>
      </c>
      <c r="F9" s="4">
        <f t="shared" si="0"/>
        <v>3.33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3</v>
      </c>
      <c r="E10" s="4">
        <f>COUNTIF(Resp4[4.41],B10)</f>
        <v>3</v>
      </c>
      <c r="F10" s="4">
        <f t="shared" si="0"/>
        <v>5</v>
      </c>
      <c r="G10" s="3">
        <f t="shared" si="1"/>
        <v>10</v>
      </c>
    </row>
    <row r="11" spans="1:7" x14ac:dyDescent="0.25">
      <c r="B11" s="2" t="s">
        <v>195</v>
      </c>
      <c r="C11" s="4">
        <f>COUNTIFS(Resp4[Vínculo],"tecnico",Resp4[4.41],B11)</f>
        <v>0</v>
      </c>
      <c r="D11" s="4">
        <f>COUNTIFS(Resp4[Vínculo],"docente",Resp4[4.41],B11)</f>
        <v>13</v>
      </c>
      <c r="E11" s="4">
        <f>COUNTIF(Resp4[4.41],B11)</f>
        <v>13</v>
      </c>
      <c r="F11" s="4">
        <f t="shared" si="0"/>
        <v>21.67</v>
      </c>
      <c r="G11" s="3">
        <f t="shared" si="1"/>
        <v>43.332999999999998</v>
      </c>
    </row>
    <row r="12" spans="1:7" x14ac:dyDescent="0.25">
      <c r="B12" s="7" t="s">
        <v>196</v>
      </c>
      <c r="C12" s="4">
        <f>COUNTIFS(Resp4[Vínculo],"tecnico",Resp4[4.41],B12)</f>
        <v>0</v>
      </c>
      <c r="D12" s="4">
        <f>COUNTIFS(Resp4[Vínculo],"docente",Resp4[4.41],B12)</f>
        <v>11</v>
      </c>
      <c r="E12" s="4">
        <f>COUNTIF(Resp4[4.41],B12)</f>
        <v>11</v>
      </c>
      <c r="F12" s="22">
        <f t="shared" si="0"/>
        <v>18.329999999999998</v>
      </c>
      <c r="G12" s="3">
        <f t="shared" si="1"/>
        <v>36.667000000000002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3.3330000000000002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80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COUNTIFS(Resp4[Vínculo],"tecnico",Resp4[4.42],B9)</f>
        <v>0</v>
      </c>
      <c r="D9" s="4">
        <f>COUNTIFS(Resp4[Vínculo],"docente",Resp4[4.42],B9)</f>
        <v>2</v>
      </c>
      <c r="E9" s="4">
        <f>COUNTIF(Resp4[4.42],B9)</f>
        <v>2</v>
      </c>
      <c r="F9" s="4">
        <f t="shared" si="0"/>
        <v>3.33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5</v>
      </c>
      <c r="E10" s="4">
        <f>COUNTIF(Resp4[4.42],B10)</f>
        <v>5</v>
      </c>
      <c r="F10" s="4">
        <f t="shared" si="0"/>
        <v>8.33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COUNTIFS(Resp4[Vínculo],"tecnico",Resp4[4.42],B11)</f>
        <v>0</v>
      </c>
      <c r="D11" s="4">
        <f>COUNTIFS(Resp4[Vínculo],"docente",Resp4[4.42],B11)</f>
        <v>13</v>
      </c>
      <c r="E11" s="4">
        <f>COUNTIF(Resp4[4.42],B11)</f>
        <v>13</v>
      </c>
      <c r="F11" s="4">
        <f t="shared" si="0"/>
        <v>21.67</v>
      </c>
      <c r="G11" s="3">
        <f t="shared" si="1"/>
        <v>43.332999999999998</v>
      </c>
    </row>
    <row r="12" spans="1:7" x14ac:dyDescent="0.25">
      <c r="B12" s="7" t="s">
        <v>196</v>
      </c>
      <c r="C12" s="4">
        <f>COUNTIFS(Resp4[Vínculo],"tecnico",Resp4[4.42],B12)</f>
        <v>0</v>
      </c>
      <c r="D12" s="4">
        <f>COUNTIFS(Resp4[Vínculo],"docente",Resp4[4.42],B12)</f>
        <v>10</v>
      </c>
      <c r="E12" s="4">
        <f>COUNTIF(Resp4[4.42],B12)</f>
        <v>10</v>
      </c>
      <c r="F12" s="22">
        <f t="shared" si="0"/>
        <v>16.670000000000002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23</v>
      </c>
      <c r="E28" s="19">
        <f>ROUND(D28/SUM(D$25:D$28)*100,3)</f>
        <v>76.667000000000002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COUNTIFS(Resp4[Vínculo],"tecnico",Resp4[4.43],B7)</f>
        <v>0</v>
      </c>
      <c r="D7" s="4">
        <f>COUNTIFS(Resp4[Vínculo],"docente",Resp4[4.43],B7)</f>
        <v>1</v>
      </c>
      <c r="E7" s="4">
        <f>COUNTIF(Resp4[4.43],B7)</f>
        <v>1</v>
      </c>
      <c r="F7" s="4">
        <f t="shared" ref="F7:F13" si="0">ROUND($E7/E$13*100,2)</f>
        <v>1.67</v>
      </c>
      <c r="G7" s="3">
        <f t="shared" ref="G7:G12" si="1">ROUND($E7/SUM($E$7:$E$12)*100,3)</f>
        <v>3.3330000000000002</v>
      </c>
    </row>
    <row r="8" spans="1:7" x14ac:dyDescent="0.25">
      <c r="B8" s="2" t="s">
        <v>207</v>
      </c>
      <c r="C8" s="4">
        <f>COUNTIFS(Resp4[Vínculo],"tecnico",Resp4[4.43],B8)</f>
        <v>0</v>
      </c>
      <c r="D8" s="4">
        <f>COUNTIFS(Resp4[Vínculo],"docente",Resp4[4.43],B8)</f>
        <v>1</v>
      </c>
      <c r="E8" s="4">
        <f>COUNTIF(Resp4[4.43],B8)</f>
        <v>1</v>
      </c>
      <c r="F8" s="4">
        <f t="shared" si="0"/>
        <v>1.67</v>
      </c>
      <c r="G8" s="3">
        <f t="shared" si="1"/>
        <v>3.3330000000000002</v>
      </c>
    </row>
    <row r="9" spans="1:7" x14ac:dyDescent="0.25">
      <c r="B9" s="2" t="s">
        <v>204</v>
      </c>
      <c r="C9" s="4">
        <f>COUNTIFS(Resp4[Vínculo],"tecnico",Resp4[4.43],B9)</f>
        <v>0</v>
      </c>
      <c r="D9" s="4">
        <f>COUNTIFS(Resp4[Vínculo],"docente",Resp4[4.43],B9)</f>
        <v>4</v>
      </c>
      <c r="E9" s="4">
        <f>COUNTIF(Resp4[4.43],B9)</f>
        <v>4</v>
      </c>
      <c r="F9" s="4">
        <f t="shared" si="0"/>
        <v>6.67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5</v>
      </c>
      <c r="E10" s="4">
        <f>COUNTIF(Resp4[4.43],B10)</f>
        <v>5</v>
      </c>
      <c r="F10" s="4">
        <f t="shared" si="0"/>
        <v>8.33</v>
      </c>
      <c r="G10" s="3">
        <f t="shared" si="1"/>
        <v>16.667000000000002</v>
      </c>
    </row>
    <row r="11" spans="1:7" x14ac:dyDescent="0.25">
      <c r="B11" s="2" t="s">
        <v>195</v>
      </c>
      <c r="C11" s="4">
        <f>COUNTIFS(Resp4[Vínculo],"tecnico",Resp4[4.43],B11)</f>
        <v>0</v>
      </c>
      <c r="D11" s="4">
        <f>COUNTIFS(Resp4[Vínculo],"docente",Resp4[4.43],B11)</f>
        <v>14</v>
      </c>
      <c r="E11" s="4">
        <f>COUNTIF(Resp4[4.43],B11)</f>
        <v>14</v>
      </c>
      <c r="F11" s="4">
        <f t="shared" si="0"/>
        <v>23.33</v>
      </c>
      <c r="G11" s="3">
        <f t="shared" si="1"/>
        <v>46.667000000000002</v>
      </c>
    </row>
    <row r="12" spans="1:7" x14ac:dyDescent="0.25">
      <c r="B12" s="7" t="s">
        <v>196</v>
      </c>
      <c r="C12" s="4">
        <f>COUNTIFS(Resp4[Vínculo],"tecnico",Resp4[4.43],B12)</f>
        <v>0</v>
      </c>
      <c r="D12" s="4">
        <f>COUNTIFS(Resp4[Vínculo],"docente",Resp4[4.43],B12)</f>
        <v>5</v>
      </c>
      <c r="E12" s="4">
        <f>COUNTIF(Resp4[4.43],B12)</f>
        <v>5</v>
      </c>
      <c r="F12" s="22">
        <f t="shared" si="0"/>
        <v>8.33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3.3330000000000002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63.332999999999998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2</v>
      </c>
      <c r="E10" s="4">
        <f>COUNTIF(Resp4[4.44],B10)</f>
        <v>2</v>
      </c>
      <c r="F10" s="4">
        <f t="shared" si="0"/>
        <v>3.33</v>
      </c>
      <c r="G10" s="3">
        <f t="shared" si="1"/>
        <v>6.6669999999999998</v>
      </c>
    </row>
    <row r="11" spans="1:7" x14ac:dyDescent="0.25">
      <c r="B11" s="2" t="s">
        <v>195</v>
      </c>
      <c r="C11" s="4">
        <f>COUNTIFS(Resp4[Vínculo],"tecnico",Resp4[4.44],B11)</f>
        <v>0</v>
      </c>
      <c r="D11" s="4">
        <f>COUNTIFS(Resp4[Vínculo],"docente",Resp4[4.44],B11)</f>
        <v>16</v>
      </c>
      <c r="E11" s="4">
        <f>COUNTIF(Resp4[4.44],B11)</f>
        <v>16</v>
      </c>
      <c r="F11" s="4">
        <f t="shared" si="0"/>
        <v>26.67</v>
      </c>
      <c r="G11" s="3">
        <f t="shared" si="1"/>
        <v>53.332999999999998</v>
      </c>
    </row>
    <row r="12" spans="1:7" x14ac:dyDescent="0.25">
      <c r="B12" s="7" t="s">
        <v>196</v>
      </c>
      <c r="C12" s="4">
        <f>COUNTIFS(Resp4[Vínculo],"tecnico",Resp4[4.44],B12)</f>
        <v>0</v>
      </c>
      <c r="D12" s="4">
        <f>COUNTIFS(Resp4[Vínculo],"docente",Resp4[4.44],B12)</f>
        <v>12</v>
      </c>
      <c r="E12" s="4">
        <f>COUNTIF(Resp4[4.44],B12)</f>
        <v>12</v>
      </c>
      <c r="F12" s="22">
        <f t="shared" si="0"/>
        <v>20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6.6669999999999998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93.332999999999998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COUNTIFS(Resp4[Vínculo],"tecnico",Resp4[4.45],B8)</f>
        <v>0</v>
      </c>
      <c r="D8" s="4">
        <f>COUNTIFS(Resp4[Vínculo],"docente",Resp4[4.45],B8)</f>
        <v>1</v>
      </c>
      <c r="E8" s="4">
        <f>COUNTIF(Resp4[4.45],B8)</f>
        <v>1</v>
      </c>
      <c r="F8" s="4">
        <f t="shared" si="0"/>
        <v>1.67</v>
      </c>
      <c r="G8" s="3">
        <f t="shared" si="1"/>
        <v>3.3330000000000002</v>
      </c>
    </row>
    <row r="9" spans="1:7" x14ac:dyDescent="0.25">
      <c r="B9" s="2" t="s">
        <v>204</v>
      </c>
      <c r="C9" s="4">
        <f>COUNTIFS(Resp4[Vínculo],"tecnico",Resp4[4.45],B9)</f>
        <v>0</v>
      </c>
      <c r="D9" s="4">
        <f>COUNTIFS(Resp4[Vínculo],"docente",Resp4[4.45],B9)</f>
        <v>1</v>
      </c>
      <c r="E9" s="4">
        <f>COUNTIF(Resp4[4.45],B9)</f>
        <v>1</v>
      </c>
      <c r="F9" s="4">
        <f t="shared" si="0"/>
        <v>1.67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10</v>
      </c>
      <c r="E10" s="4">
        <f>COUNTIF(Resp4[4.45],B10)</f>
        <v>10</v>
      </c>
      <c r="F10" s="4">
        <f t="shared" si="0"/>
        <v>16.670000000000002</v>
      </c>
      <c r="G10" s="3">
        <f t="shared" si="1"/>
        <v>33.332999999999998</v>
      </c>
    </row>
    <row r="11" spans="1:7" x14ac:dyDescent="0.25">
      <c r="B11" s="2" t="s">
        <v>195</v>
      </c>
      <c r="C11" s="4">
        <f>COUNTIFS(Resp4[Vínculo],"tecnico",Resp4[4.45],B11)</f>
        <v>0</v>
      </c>
      <c r="D11" s="4">
        <f>COUNTIFS(Resp4[Vínculo],"docente",Resp4[4.45],B11)</f>
        <v>9</v>
      </c>
      <c r="E11" s="4">
        <f>COUNTIF(Resp4[4.45],B11)</f>
        <v>9</v>
      </c>
      <c r="F11" s="4">
        <f t="shared" si="0"/>
        <v>15</v>
      </c>
      <c r="G11" s="3">
        <f t="shared" si="1"/>
        <v>30</v>
      </c>
    </row>
    <row r="12" spans="1:7" x14ac:dyDescent="0.25">
      <c r="B12" s="7" t="s">
        <v>196</v>
      </c>
      <c r="C12" s="4">
        <f>COUNTIFS(Resp4[Vínculo],"tecnico",Resp4[4.45],B12)</f>
        <v>0</v>
      </c>
      <c r="D12" s="4">
        <f>COUNTIFS(Resp4[Vínculo],"docente",Resp4[4.45],B12)</f>
        <v>9</v>
      </c>
      <c r="E12" s="4">
        <f>COUNTIF(Resp4[4.45],B12)</f>
        <v>9</v>
      </c>
      <c r="F12" s="22">
        <f t="shared" si="0"/>
        <v>15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6.6669999999999998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0</v>
      </c>
      <c r="D7" s="4">
        <f>COUNTIFS(Resp4[Vínculo],"docente",Resp4[4.01],B7)</f>
        <v>52</v>
      </c>
      <c r="E7" s="2">
        <f>COUNTIF(Resp4[4.01],B7)</f>
        <v>52</v>
      </c>
      <c r="F7" s="3">
        <f t="shared" ref="F7:F8" si="0">ROUND($E7/E$9*100,2)</f>
        <v>86.67</v>
      </c>
      <c r="G7" s="4">
        <f>ROUND($E7/SUM($E$7:$E$8)*100,2)</f>
        <v>86.67</v>
      </c>
      <c r="H7" s="2"/>
    </row>
    <row r="8" spans="1:8" x14ac:dyDescent="0.25">
      <c r="A8" s="2"/>
      <c r="B8" s="2" t="s">
        <v>199</v>
      </c>
      <c r="C8" s="4">
        <f>COUNTIFS(Resp4[Vínculo],"tecnico",Resp4[4.01],B8)</f>
        <v>0</v>
      </c>
      <c r="D8" s="4">
        <f>COUNTIFS(Resp4[Vínculo],"docente",Resp4[4.01],B8)</f>
        <v>8</v>
      </c>
      <c r="E8" s="2">
        <f>COUNTIF(Resp4[4.01],B8)</f>
        <v>8</v>
      </c>
      <c r="F8" s="24">
        <f t="shared" si="0"/>
        <v>13.33</v>
      </c>
      <c r="G8" s="4">
        <f>ROUND($E8/SUM($E$7:$E$8)*100,2)</f>
        <v>13.33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COUNTIFS(Resp4[Vínculo],"tecnico",Resp4[4.46],B8)</f>
        <v>0</v>
      </c>
      <c r="D8" s="4">
        <f>COUNTIFS(Resp4[Vínculo],"docente",Resp4[4.46],B8)</f>
        <v>1</v>
      </c>
      <c r="E8" s="4">
        <f>COUNTIF(Resp4[4.46],B8)</f>
        <v>1</v>
      </c>
      <c r="F8" s="4">
        <f t="shared" si="0"/>
        <v>1.67</v>
      </c>
      <c r="G8" s="3">
        <f t="shared" si="1"/>
        <v>3.3330000000000002</v>
      </c>
    </row>
    <row r="9" spans="1:7" x14ac:dyDescent="0.25">
      <c r="B9" s="2" t="s">
        <v>204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4</v>
      </c>
      <c r="E10" s="4">
        <f>COUNTIF(Resp4[4.46],B10)</f>
        <v>4</v>
      </c>
      <c r="F10" s="4">
        <f t="shared" si="0"/>
        <v>6.67</v>
      </c>
      <c r="G10" s="3">
        <f t="shared" si="1"/>
        <v>13.333</v>
      </c>
    </row>
    <row r="11" spans="1:7" x14ac:dyDescent="0.25">
      <c r="B11" s="2" t="s">
        <v>195</v>
      </c>
      <c r="C11" s="4">
        <f>COUNTIFS(Resp4[Vínculo],"tecnico",Resp4[4.46],B11)</f>
        <v>0</v>
      </c>
      <c r="D11" s="4">
        <f>COUNTIFS(Resp4[Vínculo],"docente",Resp4[4.46],B11)</f>
        <v>15</v>
      </c>
      <c r="E11" s="4">
        <f>COUNTIF(Resp4[4.46],B11)</f>
        <v>15</v>
      </c>
      <c r="F11" s="4">
        <f t="shared" si="0"/>
        <v>25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COUNTIFS(Resp4[Vínculo],"tecnico",Resp4[4.46],B12)</f>
        <v>0</v>
      </c>
      <c r="D12" s="4">
        <f>COUNTIFS(Resp4[Vínculo],"docente",Resp4[4.46],B12)</f>
        <v>10</v>
      </c>
      <c r="E12" s="4">
        <f>COUNTIF(Resp4[4.46],B12)</f>
        <v>10</v>
      </c>
      <c r="F12" s="22">
        <f t="shared" si="0"/>
        <v>16.670000000000002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3.3330000000000002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13.333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3</v>
      </c>
      <c r="E10" s="4">
        <f>COUNTIF(Resp4[4.47],B10)</f>
        <v>3</v>
      </c>
      <c r="F10" s="4">
        <f t="shared" si="0"/>
        <v>5</v>
      </c>
      <c r="G10" s="3">
        <f t="shared" si="1"/>
        <v>10</v>
      </c>
    </row>
    <row r="11" spans="1:7" x14ac:dyDescent="0.25">
      <c r="B11" s="2" t="s">
        <v>195</v>
      </c>
      <c r="C11" s="4">
        <f>COUNTIFS(Resp4[Vínculo],"tecnico",Resp4[4.47],B11)</f>
        <v>0</v>
      </c>
      <c r="D11" s="4">
        <f>COUNTIFS(Resp4[Vínculo],"docente",Resp4[4.47],B11)</f>
        <v>15</v>
      </c>
      <c r="E11" s="4">
        <f>COUNTIF(Resp4[4.47],B11)</f>
        <v>15</v>
      </c>
      <c r="F11" s="4">
        <f t="shared" si="0"/>
        <v>25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COUNTIFS(Resp4[Vínculo],"tecnico",Resp4[4.47],B12)</f>
        <v>0</v>
      </c>
      <c r="D12" s="4">
        <f>COUNTIFS(Resp4[Vínculo],"docente",Resp4[4.47],B12)</f>
        <v>12</v>
      </c>
      <c r="E12" s="4">
        <f>COUNTIF(Resp4[4.47],B12)</f>
        <v>12</v>
      </c>
      <c r="F12" s="22">
        <f t="shared" si="0"/>
        <v>20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90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30</v>
      </c>
      <c r="E6" s="4">
        <f>E13-SUM(E7:E12)</f>
        <v>30</v>
      </c>
      <c r="F6" s="4">
        <f>ROUND($E6/E$13*100,2)</f>
        <v>50</v>
      </c>
    </row>
    <row r="7" spans="1:7" x14ac:dyDescent="0.25">
      <c r="B7" s="2" t="s">
        <v>201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COUNTIFS(Resp4[Vínculo],"tecnico",Resp4[4.48],B9)</f>
        <v>0</v>
      </c>
      <c r="D9" s="4">
        <f>COUNTIFS(Resp4[Vínculo],"docente",Resp4[4.48],B9)</f>
        <v>3</v>
      </c>
      <c r="E9" s="4">
        <f>COUNTIF(Resp4[4.48],B9)</f>
        <v>3</v>
      </c>
      <c r="F9" s="4">
        <f t="shared" si="0"/>
        <v>5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3</v>
      </c>
      <c r="E10" s="4">
        <f>COUNTIF(Resp4[4.48],B10)</f>
        <v>3</v>
      </c>
      <c r="F10" s="4">
        <f t="shared" si="0"/>
        <v>5</v>
      </c>
      <c r="G10" s="3">
        <f t="shared" si="1"/>
        <v>10</v>
      </c>
    </row>
    <row r="11" spans="1:7" x14ac:dyDescent="0.25">
      <c r="B11" s="2" t="s">
        <v>195</v>
      </c>
      <c r="C11" s="4">
        <f>COUNTIFS(Resp4[Vínculo],"tecnico",Resp4[4.48],B11)</f>
        <v>0</v>
      </c>
      <c r="D11" s="4">
        <f>COUNTIFS(Resp4[Vínculo],"docente",Resp4[4.48],B11)</f>
        <v>16</v>
      </c>
      <c r="E11" s="4">
        <f>COUNTIF(Resp4[4.48],B11)</f>
        <v>16</v>
      </c>
      <c r="F11" s="4">
        <f t="shared" si="0"/>
        <v>26.67</v>
      </c>
      <c r="G11" s="3">
        <f t="shared" si="1"/>
        <v>53.332999999999998</v>
      </c>
    </row>
    <row r="12" spans="1:7" x14ac:dyDescent="0.25">
      <c r="B12" s="7" t="s">
        <v>196</v>
      </c>
      <c r="C12" s="4">
        <f>COUNTIFS(Resp4[Vínculo],"tecnico",Resp4[4.48],B12)</f>
        <v>0</v>
      </c>
      <c r="D12" s="4">
        <f>COUNTIFS(Resp4[Vínculo],"docente",Resp4[4.48],B12)</f>
        <v>8</v>
      </c>
      <c r="E12" s="4">
        <f>COUNTIF(Resp4[4.48],B12)</f>
        <v>8</v>
      </c>
      <c r="F12" s="22">
        <f t="shared" si="0"/>
        <v>13.33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80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COUNTIFS(Resp4[Vínculo],"tecnico",Resp4[4.50],B7)</f>
        <v>0</v>
      </c>
      <c r="D7" s="4">
        <f>COUNTIFS(Resp4[Vínculo],"docente",Resp4[4.50],B7)</f>
        <v>38</v>
      </c>
      <c r="E7" s="2">
        <f>COUNTIF(Resp4[4.50],B7)</f>
        <v>38</v>
      </c>
      <c r="F7" s="4">
        <f t="shared" ref="F7:F9" si="0">ROUND($E7/E$9*100,2)</f>
        <v>63.33</v>
      </c>
      <c r="G7" s="4">
        <f>ROUND($E7/SUM($E$7:$E$8)*100,2)</f>
        <v>63.33</v>
      </c>
      <c r="H7" s="2"/>
    </row>
    <row r="8" spans="1:8" x14ac:dyDescent="0.25">
      <c r="A8" s="2"/>
      <c r="B8" s="2" t="s">
        <v>199</v>
      </c>
      <c r="C8" s="4">
        <f>COUNTIFS(Resp4[Vínculo],"tecnico",Resp4[4.50],B8)</f>
        <v>0</v>
      </c>
      <c r="D8" s="4">
        <f>COUNTIFS(Resp4[Vínculo],"docente",Resp4[4.50],B8)</f>
        <v>22</v>
      </c>
      <c r="E8" s="2">
        <f>COUNTIF(Resp4[4.50],B8)</f>
        <v>22</v>
      </c>
      <c r="F8" s="22">
        <f t="shared" si="0"/>
        <v>36.67</v>
      </c>
      <c r="G8" s="4">
        <f>ROUND($E8/SUM($E$7:$E$8)*100,2)</f>
        <v>36.67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COUNTIFS(Resp4[Vínculo],"tecnico",Resp4[4.51],B7)</f>
        <v>0</v>
      </c>
      <c r="D7" s="4">
        <f>COUNTIFS(Resp4[Vínculo],"docente",Resp4[4.51],B7)</f>
        <v>32</v>
      </c>
      <c r="E7" s="2">
        <f>COUNTIF(Resp4[4.51],B7)</f>
        <v>32</v>
      </c>
      <c r="F7" s="4">
        <f t="shared" ref="F7:F9" si="0">ROUND($E7/E$9*100,2)</f>
        <v>53.33</v>
      </c>
      <c r="G7" s="4">
        <f>ROUND($E7/SUM($E$7:$E$8)*100,2)</f>
        <v>53.33</v>
      </c>
      <c r="H7" s="2"/>
    </row>
    <row r="8" spans="1:8" x14ac:dyDescent="0.25">
      <c r="A8" s="2"/>
      <c r="B8" s="2" t="s">
        <v>199</v>
      </c>
      <c r="C8" s="4">
        <f>COUNTIFS(Resp4[Vínculo],"tecnico",Resp4[4.51],B8)</f>
        <v>0</v>
      </c>
      <c r="D8" s="4">
        <f>COUNTIFS(Resp4[Vínculo],"docente",Resp4[4.51],B8)</f>
        <v>28</v>
      </c>
      <c r="E8" s="2">
        <f>COUNTIF(Resp4[4.51],B8)</f>
        <v>28</v>
      </c>
      <c r="F8" s="22">
        <f t="shared" si="0"/>
        <v>46.67</v>
      </c>
      <c r="G8" s="4">
        <f>ROUND($E8/SUM($E$7:$E$8)*100,2)</f>
        <v>46.67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COUNTIFS(Resp4[Vínculo],"tecnico",Resp4[4.52],B7)</f>
        <v>0</v>
      </c>
      <c r="D7" s="4">
        <f>COUNTIFS(Resp4[Vínculo],"docente",Resp4[4.52],B7)</f>
        <v>2</v>
      </c>
      <c r="E7" s="4">
        <f>COUNTIF(Resp4[4.52],B7)</f>
        <v>2</v>
      </c>
      <c r="F7" s="4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COUNTIFS(Resp4[Vínculo],"tecnico",Resp4[4.52],B9)</f>
        <v>0</v>
      </c>
      <c r="D9" s="4">
        <f>COUNTIFS(Resp4[Vínculo],"docente",Resp4[4.52],B9)</f>
        <v>4</v>
      </c>
      <c r="E9" s="4">
        <f>COUNTIF(Resp4[4.52],B9)</f>
        <v>4</v>
      </c>
      <c r="F9" s="4">
        <f t="shared" si="0"/>
        <v>6.67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8</v>
      </c>
      <c r="E10" s="4">
        <f>COUNTIF(Resp4[4.52],B10)</f>
        <v>8</v>
      </c>
      <c r="F10" s="4">
        <f t="shared" si="0"/>
        <v>13.33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COUNTIFS(Resp4[Vínculo],"tecnico",Resp4[4.52],B11)</f>
        <v>0</v>
      </c>
      <c r="D11" s="4">
        <f>COUNTIFS(Resp4[Vínculo],"docente",Resp4[4.52],B11)</f>
        <v>15</v>
      </c>
      <c r="E11" s="4">
        <f>COUNTIF(Resp4[4.52],B11)</f>
        <v>15</v>
      </c>
      <c r="F11" s="4">
        <f t="shared" si="0"/>
        <v>25</v>
      </c>
      <c r="G11" s="3">
        <f t="shared" si="1"/>
        <v>46.875</v>
      </c>
    </row>
    <row r="12" spans="1:7" x14ac:dyDescent="0.25">
      <c r="B12" s="7" t="s">
        <v>196</v>
      </c>
      <c r="C12" s="4">
        <f>COUNTIFS(Resp4[Vínculo],"tecnico",Resp4[4.52],B12)</f>
        <v>0</v>
      </c>
      <c r="D12" s="4">
        <f>COUNTIFS(Resp4[Vínculo],"docente",Resp4[4.52],B12)</f>
        <v>3</v>
      </c>
      <c r="E12" s="4">
        <f>COUNTIF(Resp4[4.52],B12)</f>
        <v>3</v>
      </c>
      <c r="F12" s="22">
        <f t="shared" si="0"/>
        <v>5</v>
      </c>
      <c r="G12" s="3">
        <f t="shared" si="1"/>
        <v>9.375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12.5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56.25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COUNTIFS(Resp4[Vínculo],"tecnico",Resp4[4.53],B7)</f>
        <v>0</v>
      </c>
      <c r="D7" s="4">
        <f>COUNTIFS(Resp4[Vínculo],"docente",Resp4[4.53],B7)</f>
        <v>2</v>
      </c>
      <c r="E7" s="4">
        <f>COUNTIF(Resp4[4.53],B7)</f>
        <v>2</v>
      </c>
      <c r="F7" s="4">
        <f t="shared" ref="F7:F13" si="0">ROUND($E7/E$13*100,2)</f>
        <v>3.33</v>
      </c>
      <c r="G7" s="3">
        <f t="shared" ref="G7:G12" si="1">ROUND($E7/SUM($E$7:$E$12)*100,3)</f>
        <v>5.2629999999999999</v>
      </c>
    </row>
    <row r="8" spans="1:7" x14ac:dyDescent="0.25">
      <c r="B8" s="2" t="s">
        <v>207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COUNTIFS(Resp4[Vínculo],"tecnico",Resp4[4.53],B9)</f>
        <v>0</v>
      </c>
      <c r="D9" s="4">
        <f>COUNTIFS(Resp4[Vínculo],"docente",Resp4[4.53],B9)</f>
        <v>5</v>
      </c>
      <c r="E9" s="4">
        <f>COUNTIF(Resp4[4.53],B9)</f>
        <v>5</v>
      </c>
      <c r="F9" s="4">
        <f t="shared" si="0"/>
        <v>8.33</v>
      </c>
      <c r="G9" s="3">
        <f t="shared" si="1"/>
        <v>13.157999999999999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3</v>
      </c>
      <c r="E10" s="4">
        <f>COUNTIF(Resp4[4.53],B10)</f>
        <v>3</v>
      </c>
      <c r="F10" s="4">
        <f t="shared" si="0"/>
        <v>5</v>
      </c>
      <c r="G10" s="3">
        <f t="shared" si="1"/>
        <v>7.8949999999999996</v>
      </c>
    </row>
    <row r="11" spans="1:7" x14ac:dyDescent="0.25">
      <c r="B11" s="2" t="s">
        <v>195</v>
      </c>
      <c r="C11" s="4">
        <f>COUNTIFS(Resp4[Vínculo],"tecnico",Resp4[4.53],B11)</f>
        <v>0</v>
      </c>
      <c r="D11" s="4">
        <f>COUNTIFS(Resp4[Vínculo],"docente",Resp4[4.53],B11)</f>
        <v>20</v>
      </c>
      <c r="E11" s="4">
        <f>COUNTIF(Resp4[4.53],B11)</f>
        <v>20</v>
      </c>
      <c r="F11" s="4">
        <f t="shared" si="0"/>
        <v>33.33</v>
      </c>
      <c r="G11" s="3">
        <f t="shared" si="1"/>
        <v>52.631999999999998</v>
      </c>
    </row>
    <row r="12" spans="1:7" x14ac:dyDescent="0.25">
      <c r="B12" s="7" t="s">
        <v>196</v>
      </c>
      <c r="C12" s="4">
        <f>COUNTIFS(Resp4[Vínculo],"tecnico",Resp4[4.53],B12)</f>
        <v>0</v>
      </c>
      <c r="D12" s="4">
        <f>COUNTIFS(Resp4[Vínculo],"docente",Resp4[4.53],B12)</f>
        <v>8</v>
      </c>
      <c r="E12" s="4">
        <f>COUNTIF(Resp4[4.53],B12)</f>
        <v>8</v>
      </c>
      <c r="F12" s="22">
        <f t="shared" si="0"/>
        <v>13.33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13.157999999999999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7.8949999999999996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2</v>
      </c>
      <c r="F7" s="4">
        <f t="shared" ref="F7:F13" si="0">ROUND($E7/E$13*100,2)</f>
        <v>3.33</v>
      </c>
      <c r="G7" s="3">
        <f t="shared" ref="G7:G12" si="1">ROUND($E7/SUM($E$7:$E$12)*100,3)</f>
        <v>5.2629999999999999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COUNTIFS(Resp4[Vínculo],"tecnico",Resp4[4.02],B$8)</f>
        <v>0</v>
      </c>
      <c r="D9" s="4">
        <f>COUNTIFS(Resp4[Vínculo],"docente",Resp4[4.02],B9)</f>
        <v>5</v>
      </c>
      <c r="E9" s="4">
        <f>COUNTIF(Resp4[4.54],B9)</f>
        <v>3</v>
      </c>
      <c r="F9" s="4">
        <f t="shared" si="0"/>
        <v>5</v>
      </c>
      <c r="G9" s="3">
        <f t="shared" si="1"/>
        <v>7.8949999999999996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15</v>
      </c>
      <c r="E10" s="4">
        <f>COUNTIF(Resp4[4.54],B10)</f>
        <v>4</v>
      </c>
      <c r="F10" s="4">
        <f t="shared" si="0"/>
        <v>6.67</v>
      </c>
      <c r="G10" s="3">
        <f t="shared" si="1"/>
        <v>10.526</v>
      </c>
    </row>
    <row r="11" spans="1:7" x14ac:dyDescent="0.25">
      <c r="B11" s="2" t="s">
        <v>195</v>
      </c>
      <c r="C11" s="4">
        <f>COUNTIFS(Resp4[Vínculo],"tecnico",Resp4[4.02],B$8)</f>
        <v>0</v>
      </c>
      <c r="D11" s="4">
        <f>COUNTIFS(Resp4[Vínculo],"docente",Resp4[4.02],B11)</f>
        <v>22</v>
      </c>
      <c r="E11" s="4">
        <f>COUNTIF(Resp4[4.54],B11)</f>
        <v>17</v>
      </c>
      <c r="F11" s="4">
        <f t="shared" si="0"/>
        <v>28.33</v>
      </c>
      <c r="G11" s="3">
        <f t="shared" si="1"/>
        <v>44.737000000000002</v>
      </c>
    </row>
    <row r="12" spans="1:7" x14ac:dyDescent="0.25">
      <c r="B12" s="7" t="s">
        <v>196</v>
      </c>
      <c r="C12" s="4">
        <f>COUNTIFS(Resp4[Vínculo],"tecnico",Resp4[4.02],B$8)</f>
        <v>0</v>
      </c>
      <c r="D12" s="4">
        <f>COUNTIFS(Resp4[Vínculo],"docente",Resp4[4.02],B12)</f>
        <v>9</v>
      </c>
      <c r="E12" s="4">
        <f>COUNTIF(Resp4[4.54],B12)</f>
        <v>12</v>
      </c>
      <c r="F12" s="22">
        <f t="shared" si="0"/>
        <v>20</v>
      </c>
      <c r="G12" s="3">
        <f t="shared" si="1"/>
        <v>31.579000000000001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11.538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28.846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59.615000000000002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COUNTIFS(Resp4[Vínculo],"tecnico",Resp4[4.55],B7)</f>
        <v>0</v>
      </c>
      <c r="D7" s="4">
        <f>COUNTIFS(Resp4[Vínculo],"docente",Resp4[4.55],B7)</f>
        <v>3</v>
      </c>
      <c r="E7" s="4">
        <f>COUNTIF(Resp4[4.55],B7)</f>
        <v>3</v>
      </c>
      <c r="F7" s="4">
        <f t="shared" ref="F7:F13" si="0">ROUND($E7/E$13*100,2)</f>
        <v>5</v>
      </c>
      <c r="G7" s="3">
        <f t="shared" ref="G7:G12" si="1">ROUND($E7/SUM($E$7:$E$12)*100,3)</f>
        <v>7.8949999999999996</v>
      </c>
    </row>
    <row r="8" spans="1:7" x14ac:dyDescent="0.25">
      <c r="B8" s="2" t="s">
        <v>207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COUNTIFS(Resp4[Vínculo],"tecnico",Resp4[4.55],B9)</f>
        <v>0</v>
      </c>
      <c r="D9" s="4">
        <f>COUNTIFS(Resp4[Vínculo],"docente",Resp4[4.55],B9)</f>
        <v>1</v>
      </c>
      <c r="E9" s="4">
        <f>COUNTIF(Resp4[4.55],B9)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6</v>
      </c>
      <c r="E10" s="4">
        <f>COUNTIF(Resp4[4.55],B10)</f>
        <v>6</v>
      </c>
      <c r="F10" s="4">
        <f t="shared" si="0"/>
        <v>10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COUNTIFS(Resp4[Vínculo],"tecnico",Resp4[4.55],B11)</f>
        <v>0</v>
      </c>
      <c r="D11" s="4">
        <f>COUNTIFS(Resp4[Vínculo],"docente",Resp4[4.55],B11)</f>
        <v>14</v>
      </c>
      <c r="E11" s="4">
        <f>COUNTIF(Resp4[4.55],B11)</f>
        <v>14</v>
      </c>
      <c r="F11" s="4">
        <f t="shared" si="0"/>
        <v>23.33</v>
      </c>
      <c r="G11" s="3">
        <f t="shared" si="1"/>
        <v>36.841999999999999</v>
      </c>
    </row>
    <row r="12" spans="1:7" x14ac:dyDescent="0.25">
      <c r="B12" s="7" t="s">
        <v>196</v>
      </c>
      <c r="C12" s="4">
        <f>COUNTIFS(Resp4[Vínculo],"tecnico",Resp4[4.55],B12)</f>
        <v>0</v>
      </c>
      <c r="D12" s="4">
        <f>COUNTIFS(Resp4[Vínculo],"docente",Resp4[4.55],B12)</f>
        <v>14</v>
      </c>
      <c r="E12" s="4">
        <f>COUNTIF(Resp4[4.55],B12)</f>
        <v>14</v>
      </c>
      <c r="F12" s="22">
        <f t="shared" si="0"/>
        <v>23.33</v>
      </c>
      <c r="G12" s="3">
        <f t="shared" si="1"/>
        <v>36.841999999999999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2.6320000000000001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7.8949999999999996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COUNTIFS(Resp4[Vínculo],"tecnico",Resp4[4.56],B7)</f>
        <v>0</v>
      </c>
      <c r="D7" s="4">
        <f>COUNTIFS(Resp4[Vínculo],"docente",Resp4[4.56],B7)</f>
        <v>3</v>
      </c>
      <c r="E7" s="4">
        <f>COUNTIF(Resp4[4.56],B7)</f>
        <v>3</v>
      </c>
      <c r="F7" s="4">
        <f t="shared" ref="F7:F13" si="0">ROUND($E7/E$13*100,2)</f>
        <v>5</v>
      </c>
      <c r="G7" s="3">
        <f t="shared" ref="G7:G12" si="1">ROUND($E7/SUM($E$7:$E$12)*100,3)</f>
        <v>7.8949999999999996</v>
      </c>
    </row>
    <row r="8" spans="1:7" x14ac:dyDescent="0.25">
      <c r="B8" s="2" t="s">
        <v>207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COUNTIFS(Resp4[Vínculo],"tecnico",Resp4[4.56],B9)</f>
        <v>0</v>
      </c>
      <c r="D9" s="4">
        <f>COUNTIFS(Resp4[Vínculo],"docente",Resp4[4.56],B9)</f>
        <v>3</v>
      </c>
      <c r="E9" s="4">
        <f>COUNTIF(Resp4[4.56],B9)</f>
        <v>3</v>
      </c>
      <c r="F9" s="4">
        <f t="shared" si="0"/>
        <v>5</v>
      </c>
      <c r="G9" s="3">
        <f t="shared" si="1"/>
        <v>7.8949999999999996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5</v>
      </c>
      <c r="E10" s="4">
        <f>COUNTIF(Resp4[4.56],B10)</f>
        <v>5</v>
      </c>
      <c r="F10" s="4">
        <f t="shared" si="0"/>
        <v>8.33</v>
      </c>
      <c r="G10" s="3">
        <f t="shared" si="1"/>
        <v>13.157999999999999</v>
      </c>
    </row>
    <row r="11" spans="1:7" x14ac:dyDescent="0.25">
      <c r="B11" s="2" t="s">
        <v>195</v>
      </c>
      <c r="C11" s="4">
        <f>COUNTIFS(Resp4[Vínculo],"tecnico",Resp4[4.56],B11)</f>
        <v>0</v>
      </c>
      <c r="D11" s="4">
        <f>COUNTIFS(Resp4[Vínculo],"docente",Resp4[4.56],B11)</f>
        <v>21</v>
      </c>
      <c r="E11" s="4">
        <f>COUNTIF(Resp4[4.56],B11)</f>
        <v>21</v>
      </c>
      <c r="F11" s="4">
        <f t="shared" si="0"/>
        <v>35</v>
      </c>
      <c r="G11" s="3">
        <f t="shared" si="1"/>
        <v>55.262999999999998</v>
      </c>
    </row>
    <row r="12" spans="1:7" x14ac:dyDescent="0.25">
      <c r="B12" s="7" t="s">
        <v>196</v>
      </c>
      <c r="C12" s="4">
        <f>COUNTIFS(Resp4[Vínculo],"tecnico",Resp4[4.56],B12)</f>
        <v>0</v>
      </c>
      <c r="D12" s="4">
        <f>COUNTIFS(Resp4[Vínculo],"docente",Resp4[4.56],B12)</f>
        <v>6</v>
      </c>
      <c r="E12" s="4">
        <f>COUNTIF(Resp4[4.56],B12)</f>
        <v>6</v>
      </c>
      <c r="F12" s="22">
        <f t="shared" si="0"/>
        <v>10</v>
      </c>
      <c r="G12" s="3">
        <f t="shared" si="1"/>
        <v>15.789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7.8949999999999996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7.8949999999999996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13.157999999999999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71.052999999999997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</v>
      </c>
      <c r="E6" s="4">
        <f>E13-SUM(E7:E12)</f>
        <v>4</v>
      </c>
      <c r="F6" s="4">
        <f>ROUND($E6/E$13*100,2)</f>
        <v>6.67</v>
      </c>
    </row>
    <row r="7" spans="1:7" x14ac:dyDescent="0.25">
      <c r="B7" t="s">
        <v>202</v>
      </c>
      <c r="C7" s="4">
        <f>COUNTIFS(Resp4[Vínculo],"tecnico",Resp4[4.71],B7)</f>
        <v>0</v>
      </c>
      <c r="D7" s="4">
        <f>COUNTIFS(Resp4[Vínculo],"docente",Resp4[4.71],B7)</f>
        <v>43</v>
      </c>
      <c r="E7" s="4">
        <f>COUNTIF(Resp4[4.71],B7)</f>
        <v>43</v>
      </c>
      <c r="F7" s="4">
        <f t="shared" ref="F7:F12" si="0">ROUND($E7/E$13*100,2)</f>
        <v>71.67</v>
      </c>
      <c r="G7" s="3">
        <f t="shared" ref="G7:G12" si="1">ROUND($E7/SUM($E$7:$E$12)*100,3)</f>
        <v>76.786000000000001</v>
      </c>
    </row>
    <row r="8" spans="1:7" x14ac:dyDescent="0.25">
      <c r="B8" s="2" t="s">
        <v>207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3</v>
      </c>
      <c r="E10" s="4">
        <f>COUNTIF(Resp4[4.71],B10)</f>
        <v>3</v>
      </c>
      <c r="F10" s="4">
        <f t="shared" si="0"/>
        <v>5</v>
      </c>
      <c r="G10" s="3">
        <f t="shared" si="1"/>
        <v>5.3570000000000002</v>
      </c>
    </row>
    <row r="11" spans="1:7" x14ac:dyDescent="0.25">
      <c r="B11" s="2" t="s">
        <v>195</v>
      </c>
      <c r="C11" s="4">
        <f>COUNTIFS(Resp4[Vínculo],"tecnico",Resp4[4.71],B11)</f>
        <v>0</v>
      </c>
      <c r="D11" s="4">
        <f>COUNTIFS(Resp4[Vínculo],"docente",Resp4[4.71],B11)</f>
        <v>5</v>
      </c>
      <c r="E11" s="4">
        <f>COUNTIF(Resp4[4.71],B11)</f>
        <v>5</v>
      </c>
      <c r="F11" s="4">
        <f t="shared" si="0"/>
        <v>8.33</v>
      </c>
      <c r="G11" s="3">
        <f t="shared" si="1"/>
        <v>8.9290000000000003</v>
      </c>
    </row>
    <row r="12" spans="1:7" x14ac:dyDescent="0.25">
      <c r="B12" s="7" t="s">
        <v>196</v>
      </c>
      <c r="C12" s="4">
        <f>COUNTIFS(Resp4[Vínculo],"tecnico",Resp4[4.71],B12)</f>
        <v>0</v>
      </c>
      <c r="D12" s="4">
        <f>COUNTIFS(Resp4[Vínculo],"docente",Resp4[4.71],B12)</f>
        <v>5</v>
      </c>
      <c r="E12" s="4">
        <f>COUNTIF(Resp4[4.71],B12)</f>
        <v>5</v>
      </c>
      <c r="F12" s="22">
        <f t="shared" si="0"/>
        <v>8.33</v>
      </c>
      <c r="G12" s="3">
        <f t="shared" si="1"/>
        <v>8.9290000000000003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>SUM(F6:F12)</f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76.786000000000001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5.3570000000000002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17.856999999999999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COUNTIFS(Resp4[Vínculo],"tecnico",Resp4[4.57],B7)</f>
        <v>0</v>
      </c>
      <c r="D7" s="4">
        <f>COUNTIFS(Resp4[Vínculo],"docente",Resp4[4.57],B7)</f>
        <v>5</v>
      </c>
      <c r="E7" s="4">
        <f>COUNTIF(Resp4[4.57],B7)</f>
        <v>5</v>
      </c>
      <c r="F7" s="4">
        <f t="shared" ref="F7:F13" si="0">ROUND($E7/E$13*100,2)</f>
        <v>8.33</v>
      </c>
      <c r="G7" s="3">
        <f t="shared" ref="G7:G12" si="1">ROUND($E7/SUM($E$7:$E$12)*100,3)</f>
        <v>13.157999999999999</v>
      </c>
    </row>
    <row r="8" spans="1:7" x14ac:dyDescent="0.25">
      <c r="B8" s="2" t="s">
        <v>207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5</v>
      </c>
      <c r="E10" s="4">
        <f>COUNTIF(Resp4[4.57],B10)</f>
        <v>5</v>
      </c>
      <c r="F10" s="4">
        <f t="shared" si="0"/>
        <v>8.33</v>
      </c>
      <c r="G10" s="3">
        <f t="shared" si="1"/>
        <v>13.157999999999999</v>
      </c>
    </row>
    <row r="11" spans="1:7" x14ac:dyDescent="0.25">
      <c r="B11" s="2" t="s">
        <v>195</v>
      </c>
      <c r="C11" s="4">
        <f>COUNTIFS(Resp4[Vínculo],"tecnico",Resp4[4.57],B11)</f>
        <v>0</v>
      </c>
      <c r="D11" s="4">
        <f>COUNTIFS(Resp4[Vínculo],"docente",Resp4[4.57],B11)</f>
        <v>17</v>
      </c>
      <c r="E11" s="4">
        <f>COUNTIF(Resp4[4.57],B11)</f>
        <v>17</v>
      </c>
      <c r="F11" s="4">
        <f t="shared" si="0"/>
        <v>28.33</v>
      </c>
      <c r="G11" s="3">
        <f t="shared" si="1"/>
        <v>44.737000000000002</v>
      </c>
    </row>
    <row r="12" spans="1:7" x14ac:dyDescent="0.25">
      <c r="B12" s="7" t="s">
        <v>196</v>
      </c>
      <c r="C12" s="4">
        <f>COUNTIFS(Resp4[Vínculo],"tecnico",Resp4[4.57],B12)</f>
        <v>0</v>
      </c>
      <c r="D12" s="4">
        <f>COUNTIFS(Resp4[Vínculo],"docente",Resp4[4.57],B12)</f>
        <v>11</v>
      </c>
      <c r="E12" s="4">
        <f>COUNTIF(Resp4[4.57],B12)</f>
        <v>11</v>
      </c>
      <c r="F12" s="22">
        <f t="shared" si="0"/>
        <v>18.329999999999998</v>
      </c>
      <c r="G12" s="3">
        <f t="shared" si="1"/>
        <v>28.946999999999999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13.157999999999999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13.157999999999999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COUNTIFS(Resp4[Vínculo],"tecnico",Resp4[4.58],B7)</f>
        <v>0</v>
      </c>
      <c r="D7" s="4">
        <f>COUNTIFS(Resp4[Vínculo],"docente",Resp4[4.58],B7)</f>
        <v>3</v>
      </c>
      <c r="E7" s="4">
        <f>COUNTIF(Resp4[4.58],B7)</f>
        <v>3</v>
      </c>
      <c r="F7" s="4">
        <f t="shared" ref="F7:F13" si="0">ROUND($E7/E$13*100,2)</f>
        <v>5</v>
      </c>
      <c r="G7" s="3">
        <f t="shared" ref="G7:G12" si="1">ROUND($E7/SUM($E$7:$E$12)*100,3)</f>
        <v>7.8949999999999996</v>
      </c>
    </row>
    <row r="8" spans="1:7" x14ac:dyDescent="0.25">
      <c r="B8" s="2" t="s">
        <v>207</v>
      </c>
      <c r="C8" s="4">
        <f>COUNTIFS(Resp4[Vínculo],"tecnico",Resp4[4.58],B8)</f>
        <v>0</v>
      </c>
      <c r="D8" s="4">
        <f>COUNTIFS(Resp4[Vínculo],"docente",Resp4[4.58],B8)</f>
        <v>2</v>
      </c>
      <c r="E8" s="4">
        <f>COUNTIF(Resp4[4.58],B8)</f>
        <v>2</v>
      </c>
      <c r="F8" s="4">
        <f t="shared" si="0"/>
        <v>3.33</v>
      </c>
      <c r="G8" s="3">
        <f t="shared" si="1"/>
        <v>5.2629999999999999</v>
      </c>
    </row>
    <row r="9" spans="1:7" x14ac:dyDescent="0.25">
      <c r="B9" s="2" t="s">
        <v>204</v>
      </c>
      <c r="C9" s="4">
        <f>COUNTIFS(Resp4[Vínculo],"tecnico",Resp4[4.58],B9)</f>
        <v>0</v>
      </c>
      <c r="D9" s="4">
        <f>COUNTIFS(Resp4[Vínculo],"docente",Resp4[4.58],B9)</f>
        <v>1</v>
      </c>
      <c r="E9" s="4">
        <f>COUNTIF(Resp4[4.58],B9)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7</v>
      </c>
      <c r="E10" s="4">
        <f>COUNTIF(Resp4[4.58],B10)</f>
        <v>7</v>
      </c>
      <c r="F10" s="4">
        <f t="shared" si="0"/>
        <v>11.67</v>
      </c>
      <c r="G10" s="3">
        <f t="shared" si="1"/>
        <v>18.420999999999999</v>
      </c>
    </row>
    <row r="11" spans="1:7" x14ac:dyDescent="0.25">
      <c r="B11" s="2" t="s">
        <v>195</v>
      </c>
      <c r="C11" s="4">
        <f>COUNTIFS(Resp4[Vínculo],"tecnico",Resp4[4.58],B11)</f>
        <v>0</v>
      </c>
      <c r="D11" s="4">
        <f>COUNTIFS(Resp4[Vínculo],"docente",Resp4[4.58],B11)</f>
        <v>13</v>
      </c>
      <c r="E11" s="4">
        <f>COUNTIF(Resp4[4.58],B11)</f>
        <v>13</v>
      </c>
      <c r="F11" s="4">
        <f t="shared" si="0"/>
        <v>21.67</v>
      </c>
      <c r="G11" s="3">
        <f t="shared" si="1"/>
        <v>34.210999999999999</v>
      </c>
    </row>
    <row r="12" spans="1:7" x14ac:dyDescent="0.25">
      <c r="B12" s="7" t="s">
        <v>196</v>
      </c>
      <c r="C12" s="4">
        <f>COUNTIFS(Resp4[Vínculo],"tecnico",Resp4[4.58],B12)</f>
        <v>0</v>
      </c>
      <c r="D12" s="4">
        <f>COUNTIFS(Resp4[Vínculo],"docente",Resp4[4.58],B12)</f>
        <v>12</v>
      </c>
      <c r="E12" s="4">
        <f>COUNTIF(Resp4[4.58],B12)</f>
        <v>12</v>
      </c>
      <c r="F12" s="22">
        <f t="shared" si="0"/>
        <v>20</v>
      </c>
      <c r="G12" s="3">
        <f t="shared" si="1"/>
        <v>31.579000000000001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7.8949999999999996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7.8949999999999996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18.420999999999999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65.789000000000001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COUNTIFS(Resp4[Vínculo],"tecnico",Resp4[4.59],B7)</f>
        <v>0</v>
      </c>
      <c r="D7" s="4">
        <f>COUNTIFS(Resp4[Vínculo],"docente",Resp4[4.59],B7)</f>
        <v>2</v>
      </c>
      <c r="E7" s="4">
        <f>COUNTIF(Resp4[4.59],B7)</f>
        <v>2</v>
      </c>
      <c r="F7" s="4">
        <f t="shared" ref="F7:F13" si="0">ROUND($E7/E$13*100,2)</f>
        <v>3.33</v>
      </c>
      <c r="G7" s="3">
        <f t="shared" ref="G7:G12" si="1">ROUND($E7/SUM($E$7:$E$12)*100,3)</f>
        <v>5.2629999999999999</v>
      </c>
    </row>
    <row r="8" spans="1:7" x14ac:dyDescent="0.25">
      <c r="B8" s="2" t="s">
        <v>207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COUNTIFS(Resp4[Vínculo],"tecnico",Resp4[4.59],B9)</f>
        <v>0</v>
      </c>
      <c r="D9" s="4">
        <f>COUNTIFS(Resp4[Vínculo],"docente",Resp4[4.59],B9)</f>
        <v>1</v>
      </c>
      <c r="E9" s="4">
        <f>COUNTIF(Resp4[4.59],B9)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4</v>
      </c>
      <c r="E10" s="4">
        <f>COUNTIF(Resp4[4.59],B10)</f>
        <v>4</v>
      </c>
      <c r="F10" s="4">
        <f t="shared" si="0"/>
        <v>6.67</v>
      </c>
      <c r="G10" s="3">
        <f t="shared" si="1"/>
        <v>10.526</v>
      </c>
    </row>
    <row r="11" spans="1:7" x14ac:dyDescent="0.25">
      <c r="B11" s="2" t="s">
        <v>195</v>
      </c>
      <c r="C11" s="4">
        <f>COUNTIFS(Resp4[Vínculo],"tecnico",Resp4[4.59],B11)</f>
        <v>0</v>
      </c>
      <c r="D11" s="4">
        <f>COUNTIFS(Resp4[Vínculo],"docente",Resp4[4.59],B11)</f>
        <v>18</v>
      </c>
      <c r="E11" s="4">
        <f>COUNTIF(Resp4[4.59],B11)</f>
        <v>18</v>
      </c>
      <c r="F11" s="4">
        <f t="shared" si="0"/>
        <v>30</v>
      </c>
      <c r="G11" s="3">
        <f t="shared" si="1"/>
        <v>47.368000000000002</v>
      </c>
    </row>
    <row r="12" spans="1:7" x14ac:dyDescent="0.25">
      <c r="B12" s="7" t="s">
        <v>196</v>
      </c>
      <c r="C12" s="4">
        <f>COUNTIFS(Resp4[Vínculo],"tecnico",Resp4[4.59],B12)</f>
        <v>0</v>
      </c>
      <c r="D12" s="4">
        <f>COUNTIFS(Resp4[Vínculo],"docente",Resp4[4.59],B12)</f>
        <v>13</v>
      </c>
      <c r="E12" s="4">
        <f>COUNTIF(Resp4[4.59],B12)</f>
        <v>13</v>
      </c>
      <c r="F12" s="22">
        <f t="shared" si="0"/>
        <v>21.67</v>
      </c>
      <c r="G12" s="3">
        <f t="shared" si="1"/>
        <v>34.210999999999999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2.6320000000000001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81.578999999999994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COUNTIFS(Resp4[Vínculo],"tecnico",Resp4[4.60],B7)</f>
        <v>0</v>
      </c>
      <c r="D7" s="4">
        <f>COUNTIFS(Resp4[Vínculo],"docente",Resp4[4.60],B7)</f>
        <v>4</v>
      </c>
      <c r="E7" s="4">
        <f>COUNTIF(Resp4[4.60],B7)</f>
        <v>4</v>
      </c>
      <c r="F7" s="4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COUNTIFS(Resp4[Vínculo],"tecnico",Resp4[4.60],B8)</f>
        <v>0</v>
      </c>
      <c r="D8" s="4">
        <f>COUNTIFS(Resp4[Vínculo],"docente",Resp4[4.60],B8)</f>
        <v>1</v>
      </c>
      <c r="E8" s="4">
        <f>COUNTIF(Resp4[4.60],B8)</f>
        <v>1</v>
      </c>
      <c r="F8" s="4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COUNTIFS(Resp4[Vínculo],"tecnico",Resp4[4.60],B9)</f>
        <v>0</v>
      </c>
      <c r="D9" s="4">
        <f>COUNTIFS(Resp4[Vínculo],"docente",Resp4[4.60],B9)</f>
        <v>5</v>
      </c>
      <c r="E9" s="4">
        <f>COUNTIF(Resp4[4.60],B9)</f>
        <v>5</v>
      </c>
      <c r="F9" s="4">
        <f t="shared" si="0"/>
        <v>8.33</v>
      </c>
      <c r="G9" s="3">
        <f t="shared" si="1"/>
        <v>13.157999999999999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6</v>
      </c>
      <c r="E10" s="4">
        <f>COUNTIF(Resp4[4.60],B10)</f>
        <v>6</v>
      </c>
      <c r="F10" s="4">
        <f t="shared" si="0"/>
        <v>10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COUNTIFS(Resp4[Vínculo],"tecnico",Resp4[4.60],B11)</f>
        <v>0</v>
      </c>
      <c r="D11" s="4">
        <f>COUNTIFS(Resp4[Vínculo],"docente",Resp4[4.60],B11)</f>
        <v>13</v>
      </c>
      <c r="E11" s="4">
        <f>COUNTIF(Resp4[4.60],B11)</f>
        <v>13</v>
      </c>
      <c r="F11" s="4">
        <f t="shared" si="0"/>
        <v>21.67</v>
      </c>
      <c r="G11" s="3">
        <f t="shared" si="1"/>
        <v>34.210999999999999</v>
      </c>
    </row>
    <row r="12" spans="1:7" x14ac:dyDescent="0.25">
      <c r="B12" s="7" t="s">
        <v>196</v>
      </c>
      <c r="C12" s="4">
        <f>COUNTIFS(Resp4[Vínculo],"tecnico",Resp4[4.60],B12)</f>
        <v>0</v>
      </c>
      <c r="D12" s="4">
        <f>COUNTIFS(Resp4[Vínculo],"docente",Resp4[4.60],B12)</f>
        <v>9</v>
      </c>
      <c r="E12" s="4">
        <f>COUNTIF(Resp4[4.60],B12)</f>
        <v>9</v>
      </c>
      <c r="F12" s="22">
        <f t="shared" si="0"/>
        <v>15</v>
      </c>
      <c r="G12" s="3">
        <f t="shared" si="1"/>
        <v>23.684000000000001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15.789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57.895000000000003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COUNTIFS(Resp4[Vínculo],"tecnico",Resp4[4.61],B7)</f>
        <v>0</v>
      </c>
      <c r="D7" s="4">
        <f>COUNTIFS(Resp4[Vínculo],"docente",Resp4[4.61],B7)</f>
        <v>4</v>
      </c>
      <c r="E7" s="4">
        <f>COUNTIF(Resp4[4.61],B7)</f>
        <v>4</v>
      </c>
      <c r="F7" s="4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COUNTIFS(Resp4[Vínculo],"tecnico",Resp4[4.61],B8)</f>
        <v>0</v>
      </c>
      <c r="D8" s="4">
        <f>COUNTIFS(Resp4[Vínculo],"docente",Resp4[4.61],B8)</f>
        <v>1</v>
      </c>
      <c r="E8" s="4">
        <f>COUNTIF(Resp4[4.61],B8)</f>
        <v>1</v>
      </c>
      <c r="F8" s="4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COUNTIFS(Resp4[Vínculo],"tecnico",Resp4[4.61],B9)</f>
        <v>0</v>
      </c>
      <c r="D9" s="4">
        <f>COUNTIFS(Resp4[Vínculo],"docente",Resp4[4.61],B9)</f>
        <v>1</v>
      </c>
      <c r="E9" s="4">
        <f>COUNTIF(Resp4[4.61],B9)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5</v>
      </c>
      <c r="E10" s="4">
        <f>COUNTIF(Resp4[4.61],B10)</f>
        <v>5</v>
      </c>
      <c r="F10" s="4">
        <f t="shared" si="0"/>
        <v>8.33</v>
      </c>
      <c r="G10" s="3">
        <f t="shared" si="1"/>
        <v>13.157999999999999</v>
      </c>
    </row>
    <row r="11" spans="1:7" x14ac:dyDescent="0.25">
      <c r="B11" s="2" t="s">
        <v>195</v>
      </c>
      <c r="C11" s="4">
        <f>COUNTIFS(Resp4[Vínculo],"tecnico",Resp4[4.61],B11)</f>
        <v>0</v>
      </c>
      <c r="D11" s="4">
        <f>COUNTIFS(Resp4[Vínculo],"docente",Resp4[4.61],B11)</f>
        <v>20</v>
      </c>
      <c r="E11" s="4">
        <f>COUNTIF(Resp4[4.61],B11)</f>
        <v>20</v>
      </c>
      <c r="F11" s="4">
        <f t="shared" si="0"/>
        <v>33.33</v>
      </c>
      <c r="G11" s="3">
        <f t="shared" si="1"/>
        <v>52.631999999999998</v>
      </c>
    </row>
    <row r="12" spans="1:7" x14ac:dyDescent="0.25">
      <c r="B12" s="7" t="s">
        <v>196</v>
      </c>
      <c r="C12" s="4">
        <f>COUNTIFS(Resp4[Vínculo],"tecnico",Resp4[4.61],B12)</f>
        <v>0</v>
      </c>
      <c r="D12" s="4">
        <f>COUNTIFS(Resp4[Vínculo],"docente",Resp4[4.61],B12)</f>
        <v>7</v>
      </c>
      <c r="E12" s="4">
        <f>COUNTIF(Resp4[4.61],B12)</f>
        <v>7</v>
      </c>
      <c r="F12" s="22">
        <f t="shared" si="0"/>
        <v>11.67</v>
      </c>
      <c r="G12" s="3">
        <f t="shared" si="1"/>
        <v>18.420999999999999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5.2629999999999999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13.157999999999999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71.052999999999997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2</v>
      </c>
      <c r="E10" s="4">
        <f>COUNTIF(Resp4[4.62],B10)</f>
        <v>2</v>
      </c>
      <c r="F10" s="4">
        <f t="shared" si="0"/>
        <v>3.33</v>
      </c>
      <c r="G10" s="3">
        <f t="shared" si="1"/>
        <v>5.2629999999999999</v>
      </c>
    </row>
    <row r="11" spans="1:7" x14ac:dyDescent="0.25">
      <c r="B11" s="2" t="s">
        <v>195</v>
      </c>
      <c r="C11" s="4">
        <f>COUNTIFS(Resp4[Vínculo],"tecnico",Resp4[4.62],B11)</f>
        <v>0</v>
      </c>
      <c r="D11" s="4">
        <f>COUNTIFS(Resp4[Vínculo],"docente",Resp4[4.62],B11)</f>
        <v>12</v>
      </c>
      <c r="E11" s="4">
        <f>COUNTIF(Resp4[4.62],B11)</f>
        <v>12</v>
      </c>
      <c r="F11" s="4">
        <f t="shared" si="0"/>
        <v>20</v>
      </c>
      <c r="G11" s="3">
        <f t="shared" si="1"/>
        <v>31.579000000000001</v>
      </c>
    </row>
    <row r="12" spans="1:7" x14ac:dyDescent="0.25">
      <c r="B12" s="7" t="s">
        <v>196</v>
      </c>
      <c r="C12" s="4">
        <f>COUNTIFS(Resp4[Vínculo],"tecnico",Resp4[4.62],B12)</f>
        <v>0</v>
      </c>
      <c r="D12" s="4">
        <f>COUNTIFS(Resp4[Vínculo],"docente",Resp4[4.62],B12)</f>
        <v>24</v>
      </c>
      <c r="E12" s="4">
        <f>COUNTIF(Resp4[4.62],B12)</f>
        <v>24</v>
      </c>
      <c r="F12" s="22">
        <f>ROUND($E12/E$13*100,2)</f>
        <v>40</v>
      </c>
      <c r="G12" s="3">
        <f t="shared" si="1"/>
        <v>63.158000000000001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36</v>
      </c>
      <c r="E28" s="19">
        <f>ROUND(D28/SUM(D$25:D$28)*100,3)</f>
        <v>94.736999999999995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COUNTIFS(Resp4[Vínculo],"tecnico",Resp4[4.63],B9)</f>
        <v>0</v>
      </c>
      <c r="D9" s="4">
        <f>COUNTIFS(Resp4[Vínculo],"docente",Resp4[4.63],B9)</f>
        <v>1</v>
      </c>
      <c r="E9" s="4">
        <f>COUNTIF(Resp4[4.63],B9)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1</v>
      </c>
      <c r="E10" s="4">
        <f>COUNTIF(Resp4[4.63],B10)</f>
        <v>1</v>
      </c>
      <c r="F10" s="4">
        <f t="shared" si="0"/>
        <v>1.67</v>
      </c>
      <c r="G10" s="3">
        <f t="shared" si="1"/>
        <v>2.6320000000000001</v>
      </c>
    </row>
    <row r="11" spans="1:7" x14ac:dyDescent="0.25">
      <c r="B11" s="2" t="s">
        <v>195</v>
      </c>
      <c r="C11" s="4">
        <f>COUNTIFS(Resp4[Vínculo],"tecnico",Resp4[4.63],B11)</f>
        <v>0</v>
      </c>
      <c r="D11" s="4">
        <f>COUNTIFS(Resp4[Vínculo],"docente",Resp4[4.63],B11)</f>
        <v>13</v>
      </c>
      <c r="E11" s="4">
        <f>COUNTIF(Resp4[4.63],B11)</f>
        <v>13</v>
      </c>
      <c r="F11" s="4">
        <f t="shared" si="0"/>
        <v>21.67</v>
      </c>
      <c r="G11" s="3">
        <f t="shared" si="1"/>
        <v>34.210999999999999</v>
      </c>
    </row>
    <row r="12" spans="1:7" x14ac:dyDescent="0.25">
      <c r="B12" s="7" t="s">
        <v>196</v>
      </c>
      <c r="C12" s="4">
        <f>COUNTIFS(Resp4[Vínculo],"tecnico",Resp4[4.63],B12)</f>
        <v>0</v>
      </c>
      <c r="D12" s="4">
        <f>COUNTIFS(Resp4[Vínculo],"docente",Resp4[4.63],B12)</f>
        <v>23</v>
      </c>
      <c r="E12" s="4">
        <f>COUNTIF(Resp4[4.63],B12)</f>
        <v>23</v>
      </c>
      <c r="F12" s="22">
        <f t="shared" si="0"/>
        <v>38.33</v>
      </c>
      <c r="G12" s="3">
        <f t="shared" si="1"/>
        <v>60.526000000000003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2.6320000000000001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2.6320000000000001</v>
      </c>
    </row>
    <row r="28" spans="2:7" x14ac:dyDescent="0.25">
      <c r="B28" s="32" t="s">
        <v>33</v>
      </c>
      <c r="C28" s="32" t="s">
        <v>32</v>
      </c>
      <c r="D28" s="18">
        <f>SUM(D11:D12)</f>
        <v>36</v>
      </c>
      <c r="E28" s="19">
        <f>ROUND(D28/SUM(D$25:D$28)*100,3)</f>
        <v>94.736999999999995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COUNTIFS(Resp4[Vínculo],"tecnico",Resp4[4.64],B7)</f>
        <v>0</v>
      </c>
      <c r="D7" s="4">
        <f>COUNTIFS(Resp4[Vínculo],"docente",Resp4[4.64],B7)</f>
        <v>3</v>
      </c>
      <c r="E7" s="4">
        <f>COUNTIF(Resp4[4.64],B7)</f>
        <v>3</v>
      </c>
      <c r="F7" s="4">
        <f t="shared" ref="F7:F13" si="0">ROUND($E7/E$13*100,2)</f>
        <v>5</v>
      </c>
      <c r="G7" s="3">
        <f t="shared" ref="G7:G12" si="1">ROUND($E7/SUM($E$7:$E$12)*100,3)</f>
        <v>7.8949999999999996</v>
      </c>
    </row>
    <row r="8" spans="1:7" x14ac:dyDescent="0.25">
      <c r="B8" s="2" t="s">
        <v>207</v>
      </c>
      <c r="C8" s="4">
        <f>COUNTIFS(Resp4[Vínculo],"tecnico",Resp4[4.64],B8)</f>
        <v>0</v>
      </c>
      <c r="D8" s="4">
        <f>COUNTIFS(Resp4[Vínculo],"docente",Resp4[4.64],B8)</f>
        <v>1</v>
      </c>
      <c r="E8" s="4">
        <f>COUNTIF(Resp4[4.64],B8)</f>
        <v>1</v>
      </c>
      <c r="F8" s="4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COUNTIFS(Resp4[Vínculo],"tecnico",Resp4[4.64],B9)</f>
        <v>0</v>
      </c>
      <c r="D9" s="4">
        <f>COUNTIFS(Resp4[Vínculo],"docente",Resp4[4.64],B9)</f>
        <v>2</v>
      </c>
      <c r="E9" s="4">
        <f>COUNTIF(Resp4[4.64],B9)</f>
        <v>2</v>
      </c>
      <c r="F9" s="4">
        <f t="shared" si="0"/>
        <v>3.33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8</v>
      </c>
      <c r="E10" s="4">
        <f>COUNTIF(Resp4[4.64],B10)</f>
        <v>8</v>
      </c>
      <c r="F10" s="4">
        <f t="shared" si="0"/>
        <v>13.33</v>
      </c>
      <c r="G10" s="3">
        <f t="shared" si="1"/>
        <v>21.053000000000001</v>
      </c>
    </row>
    <row r="11" spans="1:7" x14ac:dyDescent="0.25">
      <c r="B11" s="2" t="s">
        <v>195</v>
      </c>
      <c r="C11" s="4">
        <f>COUNTIFS(Resp4[Vínculo],"tecnico",Resp4[4.64],B11)</f>
        <v>0</v>
      </c>
      <c r="D11" s="4">
        <f>COUNTIFS(Resp4[Vínculo],"docente",Resp4[4.64],B11)</f>
        <v>15</v>
      </c>
      <c r="E11" s="4">
        <f>COUNTIF(Resp4[4.64],B11)</f>
        <v>15</v>
      </c>
      <c r="F11" s="4">
        <f t="shared" si="0"/>
        <v>25</v>
      </c>
      <c r="G11" s="3">
        <f t="shared" si="1"/>
        <v>39.473999999999997</v>
      </c>
    </row>
    <row r="12" spans="1:7" x14ac:dyDescent="0.25">
      <c r="B12" s="7" t="s">
        <v>196</v>
      </c>
      <c r="C12" s="4">
        <f>COUNTIFS(Resp4[Vínculo],"tecnico",Resp4[4.64],B12)</f>
        <v>0</v>
      </c>
      <c r="D12" s="4">
        <f>COUNTIFS(Resp4[Vínculo],"docente",Resp4[4.64],B12)</f>
        <v>9</v>
      </c>
      <c r="E12" s="4">
        <f>COUNTIF(Resp4[4.64],B12)</f>
        <v>9</v>
      </c>
      <c r="F12" s="22">
        <f t="shared" si="0"/>
        <v>15</v>
      </c>
      <c r="G12" s="3">
        <f t="shared" si="1"/>
        <v>23.684000000000001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7.8949999999999996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7.8949999999999996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63.158000000000001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COUNTIFS(Resp4[Vínculo],"tecnico",Resp4[4.65],B7)</f>
        <v>0</v>
      </c>
      <c r="D7" s="4">
        <f>COUNTIFS(Resp4[Vínculo],"docente",Resp4[4.65],B7)</f>
        <v>5</v>
      </c>
      <c r="E7" s="4">
        <f>COUNTIF(Resp4[4.65],B7)</f>
        <v>5</v>
      </c>
      <c r="F7" s="4">
        <f t="shared" ref="F7:F13" si="0">ROUND($E7/E$13*100,2)</f>
        <v>8.33</v>
      </c>
      <c r="G7" s="3">
        <f t="shared" ref="G7:G12" si="1">ROUND($E7/SUM($E$7:$E$12)*100,3)</f>
        <v>13.157999999999999</v>
      </c>
    </row>
    <row r="8" spans="1:7" x14ac:dyDescent="0.25">
      <c r="B8" s="2" t="s">
        <v>207</v>
      </c>
      <c r="C8" s="4">
        <f>COUNTIFS(Resp4[Vínculo],"tecnico",Resp4[4.65],B8)</f>
        <v>0</v>
      </c>
      <c r="D8" s="4">
        <f>COUNTIFS(Resp4[Vínculo],"docente",Resp4[4.65],B8)</f>
        <v>2</v>
      </c>
      <c r="E8" s="4">
        <f>COUNTIF(Resp4[4.65],B8)</f>
        <v>2</v>
      </c>
      <c r="F8" s="4">
        <f t="shared" si="0"/>
        <v>3.33</v>
      </c>
      <c r="G8" s="3">
        <f t="shared" si="1"/>
        <v>5.2629999999999999</v>
      </c>
    </row>
    <row r="9" spans="1:7" x14ac:dyDescent="0.25">
      <c r="B9" s="2" t="s">
        <v>204</v>
      </c>
      <c r="C9" s="4">
        <f>COUNTIFS(Resp4[Vínculo],"tecnico",Resp4[4.65],B9)</f>
        <v>0</v>
      </c>
      <c r="D9" s="4">
        <f>COUNTIFS(Resp4[Vínculo],"docente",Resp4[4.65],B9)</f>
        <v>6</v>
      </c>
      <c r="E9" s="4">
        <f>COUNTIF(Resp4[4.65],B9)</f>
        <v>6</v>
      </c>
      <c r="F9" s="4">
        <f t="shared" si="0"/>
        <v>10</v>
      </c>
      <c r="G9" s="3">
        <f t="shared" si="1"/>
        <v>15.789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5</v>
      </c>
      <c r="E10" s="4">
        <f>COUNTIF(Resp4[4.65],B10)</f>
        <v>5</v>
      </c>
      <c r="F10" s="4">
        <f t="shared" si="0"/>
        <v>8.33</v>
      </c>
      <c r="G10" s="3">
        <f t="shared" si="1"/>
        <v>13.157999999999999</v>
      </c>
    </row>
    <row r="11" spans="1:7" x14ac:dyDescent="0.25">
      <c r="B11" s="2" t="s">
        <v>195</v>
      </c>
      <c r="C11" s="4">
        <f>COUNTIFS(Resp4[Vínculo],"tecnico",Resp4[4.65],B11)</f>
        <v>0</v>
      </c>
      <c r="D11" s="4">
        <f>COUNTIFS(Resp4[Vínculo],"docente",Resp4[4.65],B11)</f>
        <v>15</v>
      </c>
      <c r="E11" s="4">
        <f>COUNTIF(Resp4[4.65],B11)</f>
        <v>15</v>
      </c>
      <c r="F11" s="4">
        <f t="shared" si="0"/>
        <v>25</v>
      </c>
      <c r="G11" s="3">
        <f t="shared" si="1"/>
        <v>39.473999999999997</v>
      </c>
    </row>
    <row r="12" spans="1:7" x14ac:dyDescent="0.25">
      <c r="B12" s="7" t="s">
        <v>196</v>
      </c>
      <c r="C12" s="4">
        <f>COUNTIFS(Resp4[Vínculo],"tecnico",Resp4[4.65],B12)</f>
        <v>0</v>
      </c>
      <c r="D12" s="4">
        <f>COUNTIFS(Resp4[Vínculo],"docente",Resp4[4.65],B12)</f>
        <v>5</v>
      </c>
      <c r="E12" s="4">
        <f>COUNTIF(Resp4[4.65],B12)</f>
        <v>5</v>
      </c>
      <c r="F12" s="22">
        <f t="shared" si="0"/>
        <v>8.33</v>
      </c>
      <c r="G12" s="3">
        <f t="shared" si="1"/>
        <v>13.157999999999999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21.053000000000001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13.157999999999999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13.157999999999999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52.631999999999998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COUNTIFS(Resp4[Vínculo],"tecnico",Resp4[4.66],B7)</f>
        <v>0</v>
      </c>
      <c r="D7" s="4">
        <f>COUNTIFS(Resp4[Vínculo],"docente",Resp4[4.66],B7)</f>
        <v>4</v>
      </c>
      <c r="E7" s="4">
        <f>COUNTIF(Resp4[4.66],B7)</f>
        <v>4</v>
      </c>
      <c r="F7" s="4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COUNTIFS(Resp4[Vínculo],"tecnico",Resp4[4.66],B9)</f>
        <v>0</v>
      </c>
      <c r="D9" s="4">
        <f>COUNTIFS(Resp4[Vínculo],"docente",Resp4[4.66],B9)</f>
        <v>1</v>
      </c>
      <c r="E9" s="4">
        <f>COUNTIF(Resp4[4.66],B9)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6</v>
      </c>
      <c r="E10" s="4">
        <f>COUNTIF(Resp4[4.66],B10)</f>
        <v>6</v>
      </c>
      <c r="F10" s="4">
        <f t="shared" si="0"/>
        <v>10</v>
      </c>
      <c r="G10" s="3">
        <f t="shared" si="1"/>
        <v>15.789</v>
      </c>
    </row>
    <row r="11" spans="1:7" x14ac:dyDescent="0.25">
      <c r="B11" s="2" t="s">
        <v>195</v>
      </c>
      <c r="C11" s="4">
        <f>COUNTIFS(Resp4[Vínculo],"tecnico",Resp4[4.66],B11)</f>
        <v>0</v>
      </c>
      <c r="D11" s="4">
        <f>COUNTIFS(Resp4[Vínculo],"docente",Resp4[4.66],B11)</f>
        <v>14</v>
      </c>
      <c r="E11" s="4">
        <f>COUNTIF(Resp4[4.66],B11)</f>
        <v>14</v>
      </c>
      <c r="F11" s="4">
        <f t="shared" si="0"/>
        <v>23.33</v>
      </c>
      <c r="G11" s="3">
        <f t="shared" si="1"/>
        <v>36.841999999999999</v>
      </c>
    </row>
    <row r="12" spans="1:7" x14ac:dyDescent="0.25">
      <c r="B12" s="7" t="s">
        <v>196</v>
      </c>
      <c r="C12" s="4">
        <f>COUNTIFS(Resp4[Vínculo],"tecnico",Resp4[4.66],B12)</f>
        <v>0</v>
      </c>
      <c r="D12" s="4">
        <f>COUNTIFS(Resp4[Vínculo],"docente",Resp4[4.66],B12)</f>
        <v>13</v>
      </c>
      <c r="E12" s="4">
        <f>COUNTIF(Resp4[4.66],B12)</f>
        <v>13</v>
      </c>
      <c r="F12" s="22">
        <f t="shared" si="0"/>
        <v>21.67</v>
      </c>
      <c r="G12" s="3">
        <f t="shared" si="1"/>
        <v>34.210999999999999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2.6320000000000001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71.052999999999997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4"/>
  <sheetViews>
    <sheetView workbookViewId="0">
      <selection activeCell="R3" sqref="R3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COUNTIFS(Resp4[Vínculo],"tecnico",Resp4[4.01],B7)</f>
        <v>0</v>
      </c>
      <c r="D7" s="4">
        <f>COUNTIFS(Resp4[Vínculo],"docente",Resp4[4.01],B7)</f>
        <v>52</v>
      </c>
      <c r="E7" s="2">
        <f>COUNTIF(Resp4[4.01],B7)</f>
        <v>52</v>
      </c>
      <c r="F7" s="3">
        <f t="shared" ref="F7:F9" si="0">ROUND($E7/E$9*100,2)</f>
        <v>86.67</v>
      </c>
      <c r="G7" s="4">
        <f>ROUND($E7/SUM($E$7:$E$8)*100,2)</f>
        <v>86.67</v>
      </c>
      <c r="H7" s="2"/>
    </row>
    <row r="8" spans="1:8" x14ac:dyDescent="0.25">
      <c r="A8" s="2"/>
      <c r="B8" s="2" t="s">
        <v>199</v>
      </c>
      <c r="C8" s="4">
        <f>COUNTIFS(Resp4[Vínculo],"tecnico",Resp4[4.01],B8)</f>
        <v>0</v>
      </c>
      <c r="D8" s="4">
        <f>COUNTIFS(Resp4[Vínculo],"docente",Resp4[4.01],B8)</f>
        <v>8</v>
      </c>
      <c r="E8" s="2">
        <f>COUNTIF(Resp4[4.01],B8)</f>
        <v>8</v>
      </c>
      <c r="F8" s="24">
        <f t="shared" si="0"/>
        <v>13.33</v>
      </c>
      <c r="G8" s="4">
        <f>ROUND($E8/SUM($E$7:$E$8)*100,2)</f>
        <v>13.33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15">
        <f>ROUND($E6/E$13*100,2)</f>
        <v>36.67</v>
      </c>
    </row>
    <row r="7" spans="1:7" x14ac:dyDescent="0.25">
      <c r="B7" s="2" t="s">
        <v>201</v>
      </c>
      <c r="C7" s="4">
        <f>COUNTIFS(Resp4[Vínculo],"tecnico",Resp4[4.67],B7)</f>
        <v>0</v>
      </c>
      <c r="D7" s="4">
        <f>COUNTIFS(Resp4[Vínculo],"docente",Resp4[4.67],B7)</f>
        <v>4</v>
      </c>
      <c r="E7" s="4">
        <f>COUNTIF(Resp4[4.67],B7)</f>
        <v>4</v>
      </c>
      <c r="F7" s="15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COUNTIFS(Resp4[Vínculo],"tecnico",Resp4[4.67],B8)</f>
        <v>0</v>
      </c>
      <c r="D8" s="4">
        <f>COUNTIFS(Resp4[Vínculo],"docente",Resp4[4.67],B8)</f>
        <v>1</v>
      </c>
      <c r="E8" s="4">
        <f>COUNTIF(Resp4[4.67],B8)</f>
        <v>1</v>
      </c>
      <c r="F8" s="15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COUNTIFS(Resp4[Vínculo],"tecnico",Resp4[4.67],B9)</f>
        <v>0</v>
      </c>
      <c r="D9" s="4">
        <f>COUNTIFS(Resp4[Vínculo],"docente",Resp4[4.67],B9)</f>
        <v>2</v>
      </c>
      <c r="E9" s="4">
        <f>COUNTIF(Resp4[4.67],B9)</f>
        <v>2</v>
      </c>
      <c r="F9" s="15">
        <f t="shared" si="0"/>
        <v>3.33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10</v>
      </c>
      <c r="E10" s="4">
        <f>COUNTIF(Resp4[4.67],B10)</f>
        <v>10</v>
      </c>
      <c r="F10" s="15">
        <f t="shared" si="0"/>
        <v>16.670000000000002</v>
      </c>
      <c r="G10" s="3">
        <f t="shared" si="1"/>
        <v>26.315999999999999</v>
      </c>
    </row>
    <row r="11" spans="1:7" x14ac:dyDescent="0.25">
      <c r="B11" s="2" t="s">
        <v>195</v>
      </c>
      <c r="C11" s="4">
        <f>COUNTIFS(Resp4[Vínculo],"tecnico",Resp4[4.67],B11)</f>
        <v>0</v>
      </c>
      <c r="D11" s="4">
        <f>COUNTIFS(Resp4[Vínculo],"docente",Resp4[4.67],B11)</f>
        <v>13</v>
      </c>
      <c r="E11" s="4">
        <f>COUNTIF(Resp4[4.67],B11)</f>
        <v>13</v>
      </c>
      <c r="F11" s="15">
        <f t="shared" si="0"/>
        <v>21.67</v>
      </c>
      <c r="G11" s="3">
        <f t="shared" si="1"/>
        <v>34.210999999999999</v>
      </c>
    </row>
    <row r="12" spans="1:7" x14ac:dyDescent="0.25">
      <c r="B12" s="7" t="s">
        <v>196</v>
      </c>
      <c r="C12" s="4">
        <f>COUNTIFS(Resp4[Vínculo],"tecnico",Resp4[4.67],B12)</f>
        <v>0</v>
      </c>
      <c r="D12" s="4">
        <f>COUNTIFS(Resp4[Vínculo],"docente",Resp4[4.67],B12)</f>
        <v>8</v>
      </c>
      <c r="E12" s="4">
        <f>COUNTIF(Resp4[4.67],B12)</f>
        <v>8</v>
      </c>
      <c r="F12" s="19">
        <f t="shared" si="0"/>
        <v>13.33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7.8949999999999996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55.262999999999998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COUNTIFS(Resp4[Vínculo],"tecnico",Resp4[4.68],B7)</f>
        <v>0</v>
      </c>
      <c r="D7" s="4">
        <f>COUNTIFS(Resp4[Vínculo],"docente",Resp4[4.68],B7)</f>
        <v>4</v>
      </c>
      <c r="E7" s="4">
        <f>COUNTIF(Resp4[4.68],B7)</f>
        <v>4</v>
      </c>
      <c r="F7" s="4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COUNTIFS(Resp4[Vínculo],"tecnico",Resp4[4.68],B8)</f>
        <v>0</v>
      </c>
      <c r="D8" s="4">
        <f>COUNTIFS(Resp4[Vínculo],"docente",Resp4[4.68],B8)</f>
        <v>1</v>
      </c>
      <c r="E8" s="4">
        <f>COUNTIF(Resp4[4.68],B8)</f>
        <v>1</v>
      </c>
      <c r="F8" s="4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9</v>
      </c>
      <c r="E10" s="4">
        <f>COUNTIF(Resp4[4.68],B10)</f>
        <v>9</v>
      </c>
      <c r="F10" s="4">
        <f t="shared" si="0"/>
        <v>15</v>
      </c>
      <c r="G10" s="3">
        <f t="shared" si="1"/>
        <v>23.684000000000001</v>
      </c>
    </row>
    <row r="11" spans="1:7" x14ac:dyDescent="0.25">
      <c r="B11" s="2" t="s">
        <v>195</v>
      </c>
      <c r="C11" s="4">
        <f>COUNTIFS(Resp4[Vínculo],"tecnico",Resp4[4.68],B11)</f>
        <v>0</v>
      </c>
      <c r="D11" s="4">
        <f>COUNTIFS(Resp4[Vínculo],"docente",Resp4[4.68],B11)</f>
        <v>14</v>
      </c>
      <c r="E11" s="4">
        <f>COUNTIF(Resp4[4.68],B11)</f>
        <v>14</v>
      </c>
      <c r="F11" s="4">
        <f t="shared" si="0"/>
        <v>23.33</v>
      </c>
      <c r="G11" s="3">
        <f t="shared" si="1"/>
        <v>36.841999999999999</v>
      </c>
    </row>
    <row r="12" spans="1:7" x14ac:dyDescent="0.25">
      <c r="B12" s="7" t="s">
        <v>196</v>
      </c>
      <c r="C12" s="4">
        <f>COUNTIFS(Resp4[Vínculo],"tecnico",Resp4[4.68],B12)</f>
        <v>0</v>
      </c>
      <c r="D12" s="4">
        <f>COUNTIFS(Resp4[Vínculo],"docente",Resp4[4.68],B12)</f>
        <v>10</v>
      </c>
      <c r="E12" s="4">
        <f>COUNTIF(Resp4[4.68],B12)</f>
        <v>10</v>
      </c>
      <c r="F12" s="22">
        <f t="shared" si="0"/>
        <v>16.670000000000002</v>
      </c>
      <c r="G12" s="3">
        <f t="shared" si="1"/>
        <v>26.315999999999999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2.6320000000000001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9</v>
      </c>
      <c r="E27" s="15">
        <f>ROUND(D27/SUM(D$25:D$28)*100,3)</f>
        <v>23.684000000000001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22</v>
      </c>
      <c r="E6" s="4">
        <f>E13-SUM(E7:E12)</f>
        <v>22</v>
      </c>
      <c r="F6" s="4">
        <f>ROUND($E6/E$13*100,2)</f>
        <v>36.67</v>
      </c>
    </row>
    <row r="7" spans="1:7" x14ac:dyDescent="0.25">
      <c r="B7" s="2" t="s">
        <v>201</v>
      </c>
      <c r="C7" s="4">
        <f>COUNTIFS(Resp4[Vínculo],"tecnico",Resp4[4.69],B7)</f>
        <v>0</v>
      </c>
      <c r="D7" s="4">
        <f>COUNTIFS(Resp4[Vínculo],"docente",Resp4[4.69],B7)</f>
        <v>4</v>
      </c>
      <c r="E7" s="4">
        <f>COUNTIF(Resp4[4.69],B7)</f>
        <v>4</v>
      </c>
      <c r="F7" s="4">
        <f t="shared" ref="F7:F13" si="0">ROUND($E7/E$13*100,2)</f>
        <v>6.67</v>
      </c>
      <c r="G7" s="3">
        <f t="shared" ref="G7:G12" si="1">ROUND($E7/SUM($E$7:$E$12)*100,3)</f>
        <v>10.526</v>
      </c>
    </row>
    <row r="8" spans="1:7" x14ac:dyDescent="0.25">
      <c r="B8" s="2" t="s">
        <v>207</v>
      </c>
      <c r="C8" s="4">
        <f>COUNTIFS(Resp4[Vínculo],"tecnico",Resp4[4.69],B8)</f>
        <v>0</v>
      </c>
      <c r="D8" s="4">
        <f>COUNTIFS(Resp4[Vínculo],"docente",Resp4[4.69],B8)</f>
        <v>1</v>
      </c>
      <c r="E8" s="4">
        <f>COUNTIF(Resp4[4.69],B8)</f>
        <v>1</v>
      </c>
      <c r="F8" s="4">
        <f t="shared" si="0"/>
        <v>1.67</v>
      </c>
      <c r="G8" s="3">
        <f t="shared" si="1"/>
        <v>2.6320000000000001</v>
      </c>
    </row>
    <row r="9" spans="1:7" x14ac:dyDescent="0.25">
      <c r="B9" s="2" t="s">
        <v>204</v>
      </c>
      <c r="C9" s="4">
        <f>COUNTIFS(Resp4[Vínculo],"tecnico",Resp4[4.69],B9)</f>
        <v>0</v>
      </c>
      <c r="D9" s="4">
        <f>COUNTIFS(Resp4[Vínculo],"docente",Resp4[4.69],B9)</f>
        <v>1</v>
      </c>
      <c r="E9" s="4">
        <f>COUNTIF(Resp4[4.69],B9)</f>
        <v>1</v>
      </c>
      <c r="F9" s="4">
        <f t="shared" si="0"/>
        <v>1.67</v>
      </c>
      <c r="G9" s="3">
        <f t="shared" si="1"/>
        <v>2.6320000000000001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10</v>
      </c>
      <c r="E10" s="4">
        <f>COUNTIF(Resp4[4.69],B10)</f>
        <v>10</v>
      </c>
      <c r="F10" s="4">
        <f t="shared" si="0"/>
        <v>16.670000000000002</v>
      </c>
      <c r="G10" s="3">
        <f t="shared" si="1"/>
        <v>26.315999999999999</v>
      </c>
    </row>
    <row r="11" spans="1:7" x14ac:dyDescent="0.25">
      <c r="B11" s="2" t="s">
        <v>195</v>
      </c>
      <c r="C11" s="4">
        <f>COUNTIFS(Resp4[Vínculo],"tecnico",Resp4[4.69],B11)</f>
        <v>0</v>
      </c>
      <c r="D11" s="4">
        <f>COUNTIFS(Resp4[Vínculo],"docente",Resp4[4.69],B11)</f>
        <v>17</v>
      </c>
      <c r="E11" s="4">
        <f>COUNTIF(Resp4[4.69],B11)</f>
        <v>17</v>
      </c>
      <c r="F11" s="4">
        <f t="shared" si="0"/>
        <v>28.33</v>
      </c>
      <c r="G11" s="3">
        <f t="shared" si="1"/>
        <v>44.737000000000002</v>
      </c>
    </row>
    <row r="12" spans="1:7" x14ac:dyDescent="0.25">
      <c r="B12" s="7" t="s">
        <v>196</v>
      </c>
      <c r="C12" s="4">
        <f>COUNTIFS(Resp4[Vínculo],"tecnico",Resp4[4.69],B12)</f>
        <v>0</v>
      </c>
      <c r="D12" s="4">
        <f>COUNTIFS(Resp4[Vínculo],"docente",Resp4[4.69],B12)</f>
        <v>5</v>
      </c>
      <c r="E12" s="4">
        <f>COUNTIF(Resp4[4.69],B12)</f>
        <v>5</v>
      </c>
      <c r="F12" s="22">
        <f t="shared" si="0"/>
        <v>8.33</v>
      </c>
      <c r="G12" s="3">
        <f t="shared" si="1"/>
        <v>13.157999999999999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5.2629999999999999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57.895000000000003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</v>
      </c>
      <c r="E6" s="4">
        <f>E13-SUM(E7:E12)</f>
        <v>4</v>
      </c>
      <c r="F6" s="4">
        <f>ROUND($E6/E$13*100,2)</f>
        <v>6.67</v>
      </c>
    </row>
    <row r="7" spans="1:7" x14ac:dyDescent="0.25">
      <c r="B7" t="s">
        <v>202</v>
      </c>
      <c r="C7" s="4">
        <f>COUNTIFS(Resp4[Vínculo],"tecnico",Resp4[4.71],B7)</f>
        <v>0</v>
      </c>
      <c r="D7" s="4">
        <f>COUNTIFS(Resp4[Vínculo],"docente",Resp4[4.71],B7)</f>
        <v>43</v>
      </c>
      <c r="E7" s="4">
        <f>COUNTIF(Resp4[4.71],B7)</f>
        <v>43</v>
      </c>
      <c r="F7" s="4">
        <f t="shared" ref="F7:F13" si="0">ROUND($E7/E$13*100,2)</f>
        <v>71.67</v>
      </c>
      <c r="G7" s="3">
        <f t="shared" ref="G7:G12" si="1">ROUND($E7/SUM($E$7:$E$12)*100,3)</f>
        <v>76.786000000000001</v>
      </c>
    </row>
    <row r="8" spans="1:7" x14ac:dyDescent="0.25">
      <c r="B8" s="2" t="s">
        <v>207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0</v>
      </c>
      <c r="D10" s="4">
        <f>COUNTIFS(Resp4[Vínculo],"docente",Resp4[4.71],B10)</f>
        <v>3</v>
      </c>
      <c r="E10" s="4">
        <f>COUNTIF(Resp4[4.71],B10)</f>
        <v>3</v>
      </c>
      <c r="F10" s="4">
        <f t="shared" si="0"/>
        <v>5</v>
      </c>
      <c r="G10" s="3">
        <f t="shared" si="1"/>
        <v>5.3570000000000002</v>
      </c>
    </row>
    <row r="11" spans="1:7" x14ac:dyDescent="0.25">
      <c r="B11" s="2" t="s">
        <v>195</v>
      </c>
      <c r="C11" s="4">
        <f>COUNTIFS(Resp4[Vínculo],"tecnico",Resp4[4.71],B11)</f>
        <v>0</v>
      </c>
      <c r="D11" s="4">
        <f>COUNTIFS(Resp4[Vínculo],"docente",Resp4[4.71],B11)</f>
        <v>5</v>
      </c>
      <c r="E11" s="4">
        <f>COUNTIF(Resp4[4.71],B11)</f>
        <v>5</v>
      </c>
      <c r="F11" s="4">
        <f t="shared" si="0"/>
        <v>8.33</v>
      </c>
      <c r="G11" s="3">
        <f t="shared" si="1"/>
        <v>8.9290000000000003</v>
      </c>
    </row>
    <row r="12" spans="1:7" x14ac:dyDescent="0.25">
      <c r="B12" s="7" t="s">
        <v>196</v>
      </c>
      <c r="C12" s="4">
        <f>COUNTIFS(Resp4[Vínculo],"tecnico",Resp4[4.71],B12)</f>
        <v>0</v>
      </c>
      <c r="D12" s="4">
        <f>COUNTIFS(Resp4[Vínculo],"docente",Resp4[4.71],B12)</f>
        <v>5</v>
      </c>
      <c r="E12" s="4">
        <f>COUNTIF(Resp4[4.71],B12)</f>
        <v>5</v>
      </c>
      <c r="F12" s="22">
        <f t="shared" si="0"/>
        <v>8.33</v>
      </c>
      <c r="G12" s="3">
        <f t="shared" si="1"/>
        <v>8.9290000000000003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76.786000000000001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5.3570000000000002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17.856999999999999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</v>
      </c>
      <c r="E6" s="4">
        <f>E13-SUM(E7:E12)</f>
        <v>4</v>
      </c>
      <c r="F6" s="4">
        <f>ROUND($E6/E$13*100,2)</f>
        <v>6.67</v>
      </c>
    </row>
    <row r="7" spans="1:7" x14ac:dyDescent="0.25">
      <c r="B7" s="90" t="s">
        <v>202</v>
      </c>
      <c r="C7" s="4">
        <f>COUNTIFS(Resp4[Vínculo],"tecnico",Resp4[4.72],B7)</f>
        <v>0</v>
      </c>
      <c r="D7" s="4">
        <f>COUNTIFS(Resp4[Vínculo],"docente",Resp4[4.72],B7)</f>
        <v>43</v>
      </c>
      <c r="E7" s="4">
        <f>COUNTIF(Resp4[4.72],B7)</f>
        <v>43</v>
      </c>
      <c r="F7" s="4">
        <f t="shared" ref="F7:F13" si="0">ROUND($E7/E$13*100,2)</f>
        <v>71.67</v>
      </c>
      <c r="G7" s="3">
        <f t="shared" ref="G7:G12" si="1">ROUND($E7/SUM($E$7:$E$12)*100,3)</f>
        <v>76.786000000000001</v>
      </c>
    </row>
    <row r="8" spans="1:7" x14ac:dyDescent="0.25">
      <c r="B8" s="2" t="s">
        <v>207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COUNTIFS(Resp4[Vínculo],"tecnico",Resp4[4.72],B9)</f>
        <v>0</v>
      </c>
      <c r="D9" s="4">
        <f>COUNTIFS(Resp4[Vínculo],"docente",Resp4[4.72],B9)</f>
        <v>1</v>
      </c>
      <c r="E9" s="4">
        <f>COUNTIF(Resp4[4.72],B9)</f>
        <v>1</v>
      </c>
      <c r="F9" s="4">
        <f t="shared" si="0"/>
        <v>1.67</v>
      </c>
      <c r="G9" s="3">
        <f t="shared" si="1"/>
        <v>1.786</v>
      </c>
    </row>
    <row r="10" spans="1:7" x14ac:dyDescent="0.25">
      <c r="B10" s="2" t="s">
        <v>30</v>
      </c>
      <c r="C10" s="4">
        <f>COUNTIFS(Resp4[Vínculo],"tecnico",Resp4[4.72],B10)</f>
        <v>0</v>
      </c>
      <c r="D10" s="4">
        <f>COUNTIFS(Resp4[Vínculo],"docente",Resp4[4.72],B10)</f>
        <v>5</v>
      </c>
      <c r="E10" s="4">
        <f>COUNTIF(Resp4[4.72],B10)</f>
        <v>5</v>
      </c>
      <c r="F10" s="4">
        <f t="shared" si="0"/>
        <v>8.33</v>
      </c>
      <c r="G10" s="3">
        <f t="shared" si="1"/>
        <v>8.9290000000000003</v>
      </c>
    </row>
    <row r="11" spans="1:7" x14ac:dyDescent="0.25">
      <c r="B11" s="2" t="s">
        <v>195</v>
      </c>
      <c r="C11" s="4">
        <f>COUNTIFS(Resp4[Vínculo],"tecnico",Resp4[4.72],B11)</f>
        <v>0</v>
      </c>
      <c r="D11" s="4">
        <f>COUNTIFS(Resp4[Vínculo],"docente",Resp4[4.72],B11)</f>
        <v>4</v>
      </c>
      <c r="E11" s="4">
        <f>COUNTIF(Resp4[4.72],B11)</f>
        <v>4</v>
      </c>
      <c r="F11" s="4">
        <f t="shared" si="0"/>
        <v>6.67</v>
      </c>
      <c r="G11" s="3">
        <f t="shared" si="1"/>
        <v>7.1429999999999998</v>
      </c>
    </row>
    <row r="12" spans="1:7" x14ac:dyDescent="0.25">
      <c r="B12" s="7" t="s">
        <v>196</v>
      </c>
      <c r="C12" s="4">
        <f>COUNTIFS(Resp4[Vínculo],"tecnico",Resp4[4.72],B12)</f>
        <v>0</v>
      </c>
      <c r="D12" s="4">
        <f>COUNTIFS(Resp4[Vínculo],"docente",Resp4[4.72],B12)</f>
        <v>3</v>
      </c>
      <c r="E12" s="4">
        <f>COUNTIF(Resp4[4.72],B12)</f>
        <v>3</v>
      </c>
      <c r="F12" s="22">
        <f t="shared" si="0"/>
        <v>5</v>
      </c>
      <c r="G12" s="3">
        <f t="shared" si="1"/>
        <v>5.3570000000000002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1.786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76.786000000000001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8.9290000000000003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12.5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4</v>
      </c>
      <c r="E6" s="4">
        <f>E13-SUM(E7:E12)</f>
        <v>4</v>
      </c>
      <c r="F6" s="4">
        <f>ROUND($E6/E$13*100,2)</f>
        <v>6.67</v>
      </c>
    </row>
    <row r="7" spans="1:7" x14ac:dyDescent="0.25">
      <c r="B7" s="90" t="s">
        <v>202</v>
      </c>
      <c r="C7" s="4">
        <f>COUNTIFS(Resp4[Vínculo],"tecnico",Resp4[4.73],B7)</f>
        <v>0</v>
      </c>
      <c r="D7" s="4">
        <f>COUNTIFS(Resp4[Vínculo],"docente",Resp4[4.73],B7)</f>
        <v>43</v>
      </c>
      <c r="E7" s="4">
        <f>COUNTIF(Resp4[4.73],B7)</f>
        <v>43</v>
      </c>
      <c r="F7" s="4">
        <f t="shared" ref="F7:F12" si="0">ROUND($E7/E$13*100,2)</f>
        <v>71.67</v>
      </c>
      <c r="G7" s="3">
        <f t="shared" ref="G7:G12" si="1">ROUND($E7/SUM($E$7:$E$12)*100,3)</f>
        <v>76.786000000000001</v>
      </c>
    </row>
    <row r="8" spans="1:7" x14ac:dyDescent="0.25">
      <c r="B8" s="2" t="s">
        <v>207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0</v>
      </c>
      <c r="D10" s="4">
        <f>COUNTIFS(Resp4[Vínculo],"docente",Resp4[4.73],B10)</f>
        <v>4</v>
      </c>
      <c r="E10" s="4">
        <f>COUNTIF(Resp4[4.73],B10)</f>
        <v>4</v>
      </c>
      <c r="F10" s="4">
        <f t="shared" si="0"/>
        <v>6.67</v>
      </c>
      <c r="G10" s="3">
        <f t="shared" si="1"/>
        <v>7.1429999999999998</v>
      </c>
    </row>
    <row r="11" spans="1:7" x14ac:dyDescent="0.25">
      <c r="B11" s="2" t="s">
        <v>195</v>
      </c>
      <c r="C11" s="4">
        <f>COUNTIFS(Resp4[Vínculo],"tecnico",Resp4[4.73],B11)</f>
        <v>0</v>
      </c>
      <c r="D11" s="4">
        <f>COUNTIFS(Resp4[Vínculo],"docente",Resp4[4.73],B11)</f>
        <v>3</v>
      </c>
      <c r="E11" s="4">
        <f>COUNTIF(Resp4[4.73],B11)</f>
        <v>3</v>
      </c>
      <c r="F11" s="4">
        <f t="shared" si="0"/>
        <v>5</v>
      </c>
      <c r="G11" s="3">
        <f t="shared" si="1"/>
        <v>5.3570000000000002</v>
      </c>
    </row>
    <row r="12" spans="1:7" x14ac:dyDescent="0.25">
      <c r="B12" s="7" t="s">
        <v>196</v>
      </c>
      <c r="C12" s="4">
        <f>COUNTIFS(Resp4[Vínculo],"tecnico",Resp4[4.73],B12)</f>
        <v>0</v>
      </c>
      <c r="D12" s="4">
        <f>COUNTIFS(Resp4[Vínculo],"docente",Resp4[4.73],B12)</f>
        <v>6</v>
      </c>
      <c r="E12" s="4">
        <f>COUNTIF(Resp4[4.73],B12)</f>
        <v>6</v>
      </c>
      <c r="F12" s="22">
        <f t="shared" si="0"/>
        <v>10</v>
      </c>
      <c r="G12" s="3">
        <f t="shared" si="1"/>
        <v>10.714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76.786000000000001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7.1429999999999998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16.071000000000002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</v>
      </c>
      <c r="E6" s="4">
        <f>E13-SUM(E7:E12)</f>
        <v>6</v>
      </c>
      <c r="F6" s="4">
        <f>ROUND($E6/E$13*100,2)</f>
        <v>10</v>
      </c>
    </row>
    <row r="7" spans="1:7" x14ac:dyDescent="0.25">
      <c r="B7" t="s">
        <v>202</v>
      </c>
      <c r="C7" s="4">
        <f>COUNTIFS(Resp4[Vínculo],"tecnico",Resp4[4.74],B7)</f>
        <v>0</v>
      </c>
      <c r="D7" s="4">
        <f>COUNTIFS(Resp4[Vínculo],"docente",Resp4[4.74],B7)</f>
        <v>43</v>
      </c>
      <c r="E7" s="4">
        <f>COUNTIF(Resp4[4.74],B7)</f>
        <v>43</v>
      </c>
      <c r="F7" s="4">
        <f t="shared" ref="F7:F13" si="0">ROUND($E7/E$13*100,2)</f>
        <v>71.67</v>
      </c>
      <c r="G7" s="3">
        <f t="shared" ref="G7:G12" si="1">ROUND($E7/SUM($E$7:$E$12)*100,3)</f>
        <v>79.63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3</v>
      </c>
      <c r="E10" s="4">
        <f>COUNTIF(Resp4[4.74],B10)</f>
        <v>3</v>
      </c>
      <c r="F10" s="4">
        <f t="shared" si="0"/>
        <v>5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COUNTIFS(Resp4[Vínculo],"tecnico",Resp4[4.74],B11)</f>
        <v>0</v>
      </c>
      <c r="D11" s="4">
        <f>COUNTIFS(Resp4[Vínculo],"docente",Resp4[4.74],B11)</f>
        <v>4</v>
      </c>
      <c r="E11" s="4">
        <f>COUNTIF(Resp4[4.74],B11)</f>
        <v>4</v>
      </c>
      <c r="F11" s="4">
        <f t="shared" si="0"/>
        <v>6.67</v>
      </c>
      <c r="G11" s="3">
        <f t="shared" si="1"/>
        <v>7.407</v>
      </c>
    </row>
    <row r="12" spans="1:7" x14ac:dyDescent="0.25">
      <c r="B12" s="7" t="s">
        <v>196</v>
      </c>
      <c r="C12" s="4">
        <f>COUNTIFS(Resp4[Vínculo],"tecnico",Resp4[4.74],B12)</f>
        <v>0</v>
      </c>
      <c r="D12" s="4">
        <f>COUNTIFS(Resp4[Vínculo],"docente",Resp4[4.74],B12)</f>
        <v>4</v>
      </c>
      <c r="E12" s="4">
        <f>COUNTIF(Resp4[4.74],B12)</f>
        <v>4</v>
      </c>
      <c r="F12" s="22">
        <f t="shared" si="0"/>
        <v>6.67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79.63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14.815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</v>
      </c>
      <c r="E6" s="4">
        <f>E13-SUM(E7:E12)</f>
        <v>6</v>
      </c>
      <c r="F6" s="4">
        <f>ROUND($E6/E$13*100,2)</f>
        <v>10</v>
      </c>
    </row>
    <row r="7" spans="1:7" x14ac:dyDescent="0.25">
      <c r="B7" t="s">
        <v>202</v>
      </c>
      <c r="C7" s="4">
        <f>COUNTIFS(Resp4[Vínculo],"tecnico",Resp4[4.75],B7)</f>
        <v>0</v>
      </c>
      <c r="D7" s="4">
        <f>COUNTIFS(Resp4[Vínculo],"docente",Resp4[4.75],B7)</f>
        <v>43</v>
      </c>
      <c r="E7" s="4">
        <f>COUNTIF(Resp4[4.75],B7)</f>
        <v>43</v>
      </c>
      <c r="F7" s="4">
        <f t="shared" ref="F7:F12" si="0">ROUND($E7/E$13*100,2)</f>
        <v>71.67</v>
      </c>
      <c r="G7" s="3">
        <f t="shared" ref="G7:G12" si="1">ROUND($E7/SUM($E$7:$E$12)*100,3)</f>
        <v>79.63</v>
      </c>
    </row>
    <row r="8" spans="1:7" x14ac:dyDescent="0.25">
      <c r="B8" s="2" t="s">
        <v>207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4</v>
      </c>
      <c r="E10" s="4">
        <f>COUNTIF(Resp4[4.75],B10)</f>
        <v>4</v>
      </c>
      <c r="F10" s="4">
        <f t="shared" si="0"/>
        <v>6.67</v>
      </c>
      <c r="G10" s="3">
        <f t="shared" si="1"/>
        <v>7.407</v>
      </c>
    </row>
    <row r="11" spans="1:7" x14ac:dyDescent="0.25">
      <c r="B11" s="2" t="s">
        <v>195</v>
      </c>
      <c r="C11" s="4">
        <f>COUNTIFS(Resp4[Vínculo],"tecnico",Resp4[4.75],B11)</f>
        <v>0</v>
      </c>
      <c r="D11" s="4">
        <f>COUNTIFS(Resp4[Vínculo],"docente",Resp4[4.75],B11)</f>
        <v>4</v>
      </c>
      <c r="E11" s="4">
        <f>COUNTIF(Resp4[4.75],B11)</f>
        <v>4</v>
      </c>
      <c r="F11" s="4">
        <f t="shared" si="0"/>
        <v>6.67</v>
      </c>
      <c r="G11" s="3">
        <f t="shared" si="1"/>
        <v>7.407</v>
      </c>
    </row>
    <row r="12" spans="1:7" x14ac:dyDescent="0.25">
      <c r="B12" s="7" t="s">
        <v>196</v>
      </c>
      <c r="C12" s="4">
        <f>COUNTIFS(Resp4[Vínculo],"tecnico",Resp4[4.75],B12)</f>
        <v>0</v>
      </c>
      <c r="D12" s="4">
        <f>COUNTIFS(Resp4[Vínculo],"docente",Resp4[4.75],B12)</f>
        <v>3</v>
      </c>
      <c r="E12" s="4">
        <f>COUNTIF(Resp4[4.75],B12)</f>
        <v>3</v>
      </c>
      <c r="F12" s="22">
        <f t="shared" si="0"/>
        <v>5</v>
      </c>
      <c r="G12" s="3">
        <f t="shared" si="1"/>
        <v>5.556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>SUM(F6:F12)</f>
        <v>100.01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79.63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7.407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12.962999999999999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7</v>
      </c>
      <c r="E6" s="4">
        <f>E13-SUM(E7:E12)</f>
        <v>7</v>
      </c>
      <c r="F6" s="4">
        <f>ROUND($E6/E$13*100,2)</f>
        <v>11.67</v>
      </c>
    </row>
    <row r="7" spans="1:7" x14ac:dyDescent="0.25">
      <c r="B7" t="s">
        <v>202</v>
      </c>
      <c r="C7" s="4">
        <f>COUNTIFS(Resp4[Vínculo],"tecnico",Resp4[4.76],B7)</f>
        <v>0</v>
      </c>
      <c r="D7" s="4">
        <f>COUNTIFS(Resp4[Vínculo],"docente",Resp4[4.76],B7)</f>
        <v>43</v>
      </c>
      <c r="E7" s="4">
        <f>COUNTIF(Resp4[4.76],B7)</f>
        <v>43</v>
      </c>
      <c r="F7" s="4">
        <f t="shared" ref="F7:F12" si="0">ROUND($E7/E$13*100,2)</f>
        <v>71.67</v>
      </c>
      <c r="G7" s="3">
        <f t="shared" ref="G7:G12" si="1">ROUND($E7/SUM($E$7:$E$12)*100,3)</f>
        <v>81.132000000000005</v>
      </c>
    </row>
    <row r="8" spans="1:7" x14ac:dyDescent="0.25">
      <c r="B8" s="2" t="s">
        <v>207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0</v>
      </c>
      <c r="D10" s="4">
        <f>COUNTIFS(Resp4[Vínculo],"docente",Resp4[4.76],B10)</f>
        <v>4</v>
      </c>
      <c r="E10" s="4">
        <f>COUNTIF(Resp4[4.76],B10)</f>
        <v>4</v>
      </c>
      <c r="F10" s="4">
        <f t="shared" si="0"/>
        <v>6.67</v>
      </c>
      <c r="G10" s="3">
        <f t="shared" si="1"/>
        <v>7.5469999999999997</v>
      </c>
    </row>
    <row r="11" spans="1:7" x14ac:dyDescent="0.25">
      <c r="B11" s="2" t="s">
        <v>195</v>
      </c>
      <c r="C11" s="4">
        <f>COUNTIFS(Resp4[Vínculo],"tecnico",Resp4[4.76],B11)</f>
        <v>0</v>
      </c>
      <c r="D11" s="4">
        <f>COUNTIFS(Resp4[Vínculo],"docente",Resp4[4.76],B11)</f>
        <v>3</v>
      </c>
      <c r="E11" s="4">
        <f>COUNTIF(Resp4[4.76],B11)</f>
        <v>3</v>
      </c>
      <c r="F11" s="4">
        <f t="shared" si="0"/>
        <v>5</v>
      </c>
      <c r="G11" s="3">
        <f t="shared" si="1"/>
        <v>5.66</v>
      </c>
    </row>
    <row r="12" spans="1:7" x14ac:dyDescent="0.25">
      <c r="B12" s="7" t="s">
        <v>196</v>
      </c>
      <c r="C12" s="4">
        <f>COUNTIFS(Resp4[Vínculo],"tecnico",Resp4[4.76],B12)</f>
        <v>0</v>
      </c>
      <c r="D12" s="4">
        <f>COUNTIFS(Resp4[Vínculo],"docente",Resp4[4.76],B12)</f>
        <v>3</v>
      </c>
      <c r="E12" s="4">
        <f>COUNTIF(Resp4[4.76],B12)</f>
        <v>3</v>
      </c>
      <c r="F12" s="4">
        <f t="shared" si="0"/>
        <v>5</v>
      </c>
      <c r="G12" s="3">
        <f t="shared" si="1"/>
        <v>5.66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88">
        <f>SUM(F6:F12)</f>
        <v>100.01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81.132000000000005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7.5469999999999997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11.321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6</v>
      </c>
      <c r="E6" s="4">
        <f>E13-SUM(E7:E12)</f>
        <v>6</v>
      </c>
      <c r="F6" s="4">
        <f>ROUND($E6/E$13*100,2)</f>
        <v>10</v>
      </c>
    </row>
    <row r="7" spans="1:7" x14ac:dyDescent="0.25">
      <c r="B7" t="s">
        <v>202</v>
      </c>
      <c r="C7" s="4">
        <f>COUNTIFS(Resp4[Vínculo],"tecnico",Resp4[4.77],B7)</f>
        <v>0</v>
      </c>
      <c r="D7" s="4">
        <f>COUNTIFS(Resp4[Vínculo],"docente",Resp4[4.77],B7)</f>
        <v>43</v>
      </c>
      <c r="E7" s="4">
        <f>COUNTIF(Resp4[4.77],B7)</f>
        <v>43</v>
      </c>
      <c r="F7" s="4">
        <f t="shared" ref="F7:F12" si="0">ROUND($E7/E$13*100,2)</f>
        <v>71.67</v>
      </c>
      <c r="G7" s="3">
        <f t="shared" ref="G7:G12" si="1">ROUND($E7/SUM($E$7:$E$12)*100,3)</f>
        <v>79.63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0</v>
      </c>
      <c r="D10" s="4">
        <f>COUNTIFS(Resp4[Vínculo],"docente",Resp4[4.74],B10)</f>
        <v>3</v>
      </c>
      <c r="E10" s="4">
        <f>COUNTIF(Resp4[4.74],B10)</f>
        <v>3</v>
      </c>
      <c r="F10" s="4">
        <f t="shared" si="0"/>
        <v>5</v>
      </c>
      <c r="G10" s="3">
        <f t="shared" si="1"/>
        <v>5.556</v>
      </c>
    </row>
    <row r="11" spans="1:7" x14ac:dyDescent="0.25">
      <c r="B11" s="2" t="s">
        <v>195</v>
      </c>
      <c r="C11" s="4">
        <f>COUNTIFS(Resp4[Vínculo],"tecnico",Resp4[4.74],B11)</f>
        <v>0</v>
      </c>
      <c r="D11" s="4">
        <f>COUNTIFS(Resp4[Vínculo],"docente",Resp4[4.74],B11)</f>
        <v>4</v>
      </c>
      <c r="E11" s="4">
        <f>COUNTIF(Resp4[4.74],B11)</f>
        <v>4</v>
      </c>
      <c r="F11" s="4">
        <f t="shared" si="0"/>
        <v>6.67</v>
      </c>
      <c r="G11" s="3">
        <f t="shared" si="1"/>
        <v>7.407</v>
      </c>
    </row>
    <row r="12" spans="1:7" x14ac:dyDescent="0.25">
      <c r="B12" s="7" t="s">
        <v>196</v>
      </c>
      <c r="C12" s="4">
        <f>COUNTIFS(Resp4[Vínculo],"tecnico",Resp4[4.74],B12)</f>
        <v>0</v>
      </c>
      <c r="D12" s="4">
        <f>COUNTIFS(Resp4[Vínculo],"docente",Resp4[4.74],B12)</f>
        <v>4</v>
      </c>
      <c r="E12" s="4">
        <f>COUNTIF(Resp4[4.74],B12)</f>
        <v>4</v>
      </c>
      <c r="F12" s="22">
        <f t="shared" si="0"/>
        <v>6.67</v>
      </c>
      <c r="G12" s="3">
        <f t="shared" si="1"/>
        <v>7.407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89">
        <f>SUM(F6:F12)</f>
        <v>100.01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202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202</v>
      </c>
      <c r="C26" s="16" t="s">
        <v>23</v>
      </c>
      <c r="D26" s="14">
        <f>D7</f>
        <v>43</v>
      </c>
      <c r="E26" s="15">
        <f>ROUND(D26/SUM(D$25:D$28)*100,3)</f>
        <v>79.63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14.815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3">
        <f>ROUND($E6/E$13*100,2)</f>
        <v>13.33</v>
      </c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0</v>
      </c>
      <c r="E7" s="4">
        <f>COUNTIF(Resp4[4.02],B7)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COUNTIFS(Resp4[Vínculo],"tecnico",Resp4[4.02],B$9)</f>
        <v>0</v>
      </c>
      <c r="D9" s="4">
        <f>COUNTIFS(Resp4[Vínculo],"docente",Resp4[4.02],B9)</f>
        <v>5</v>
      </c>
      <c r="E9" s="4">
        <f>COUNTIF(Resp4[4.02],B9)</f>
        <v>5</v>
      </c>
      <c r="F9" s="3">
        <f t="shared" si="0"/>
        <v>8.33</v>
      </c>
      <c r="G9" s="3">
        <f t="shared" si="1"/>
        <v>9.6150000000000002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15</v>
      </c>
      <c r="E10" s="4">
        <f>COUNTIF(Resp4[4.02],B10)</f>
        <v>15</v>
      </c>
      <c r="F10" s="3">
        <f t="shared" si="0"/>
        <v>25</v>
      </c>
      <c r="G10" s="3">
        <f t="shared" si="1"/>
        <v>28.846</v>
      </c>
    </row>
    <row r="11" spans="1:7" x14ac:dyDescent="0.25">
      <c r="B11" s="2" t="s">
        <v>195</v>
      </c>
      <c r="C11" s="4">
        <f>COUNTIFS(Resp4[Vínculo],"tecnico",Resp4[4.02],B$11)</f>
        <v>0</v>
      </c>
      <c r="D11" s="4">
        <f>COUNTIFS(Resp4[Vínculo],"docente",Resp4[4.02],B11)</f>
        <v>22</v>
      </c>
      <c r="E11" s="4">
        <f>COUNTIF(Resp4[4.02],B11)</f>
        <v>22</v>
      </c>
      <c r="F11" s="3">
        <f t="shared" si="0"/>
        <v>36.67</v>
      </c>
      <c r="G11" s="3">
        <f t="shared" si="1"/>
        <v>42.308</v>
      </c>
    </row>
    <row r="12" spans="1:7" x14ac:dyDescent="0.25">
      <c r="B12" s="7" t="s">
        <v>196</v>
      </c>
      <c r="C12" s="4">
        <f>COUNTIFS(Resp4[Vínculo],"tecnico",Resp4[4.02],B$12)</f>
        <v>0</v>
      </c>
      <c r="D12" s="4">
        <f>COUNTIFS(Resp4[Vínculo],"docente",Resp4[4.02],B12)</f>
        <v>9</v>
      </c>
      <c r="E12" s="4">
        <f>COUNTIF(Resp4[4.02],B12)</f>
        <v>9</v>
      </c>
      <c r="F12" s="24">
        <f t="shared" si="0"/>
        <v>15</v>
      </c>
      <c r="G12" s="3">
        <f t="shared" si="1"/>
        <v>17.308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11.538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15</v>
      </c>
      <c r="E27" s="15">
        <f>ROUND(D27/SUM(D$25:D$28)*100,3)</f>
        <v>28.846</v>
      </c>
    </row>
    <row r="28" spans="2:7" x14ac:dyDescent="0.25">
      <c r="B28" s="32" t="s">
        <v>33</v>
      </c>
      <c r="C28" s="32" t="s">
        <v>32</v>
      </c>
      <c r="D28" s="18">
        <f>SUM(D11:D12)</f>
        <v>31</v>
      </c>
      <c r="E28" s="19">
        <f>ROUND(D28/SUM(D$25:D$28)*100,3)</f>
        <v>59.615000000000002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0</v>
      </c>
      <c r="D7" s="4">
        <f>COUNTIFS(Resp4[Vínculo],"docente",Resp4[4.79],C14)</f>
        <v>9</v>
      </c>
      <c r="E7" s="4">
        <f>COUNTIF(Resp4[4.79],C14)</f>
        <v>9</v>
      </c>
      <c r="F7" s="4">
        <f t="shared" ref="F7:F11" si="0">ROUND($E7/E$11*100,2)</f>
        <v>15</v>
      </c>
      <c r="G7" s="3">
        <f>ROUND($E7/SUM($E$7:$E$10)*100,3)</f>
        <v>15</v>
      </c>
    </row>
    <row r="8" spans="1:7" x14ac:dyDescent="0.25">
      <c r="B8" t="s">
        <v>508</v>
      </c>
      <c r="C8" s="4">
        <f>COUNTIFS(Resp4[Vínculo],"tecnico",Resp4[4.79],C15)</f>
        <v>0</v>
      </c>
      <c r="D8" s="4">
        <f>COUNTIFS(Resp4[Vínculo],"docente",Resp4[4.79],C15)</f>
        <v>21</v>
      </c>
      <c r="E8" s="4">
        <f>COUNTIF(Resp4[4.79],C15)</f>
        <v>21</v>
      </c>
      <c r="F8" s="4">
        <f t="shared" si="0"/>
        <v>35</v>
      </c>
      <c r="G8" s="3">
        <f>ROUND($E8/SUM($E$7:$E$10)*100,3)</f>
        <v>35</v>
      </c>
    </row>
    <row r="9" spans="1:7" x14ac:dyDescent="0.25">
      <c r="B9" t="s">
        <v>509</v>
      </c>
      <c r="C9" s="4">
        <f>COUNTIFS(Resp4[Vínculo],"tecnico",Resp4[4.79],C16)</f>
        <v>0</v>
      </c>
      <c r="D9" s="4">
        <f>COUNTIFS(Resp4[Vínculo],"docente",Resp4[4.79],C16)</f>
        <v>17</v>
      </c>
      <c r="E9" s="4">
        <f>COUNTIF(Resp4[4.79],C16)</f>
        <v>17</v>
      </c>
      <c r="F9" s="4">
        <f t="shared" si="0"/>
        <v>28.33</v>
      </c>
      <c r="G9" s="3">
        <f>ROUND($E9/SUM($E$7:$E$10)*100,3)</f>
        <v>28.332999999999998</v>
      </c>
    </row>
    <row r="10" spans="1:7" x14ac:dyDescent="0.25">
      <c r="B10" s="23" t="s">
        <v>205</v>
      </c>
      <c r="C10" s="22">
        <f>COUNTIFS(Resp4[Vínculo],"tecnico",Resp4[4.79],B10)</f>
        <v>0</v>
      </c>
      <c r="D10" s="22">
        <f>COUNTIFS(Resp4[Vínculo],"docente",Resp4[4.79],B10)</f>
        <v>13</v>
      </c>
      <c r="E10" s="22">
        <f>COUNTIF(Resp4[4.79],B10)</f>
        <v>13</v>
      </c>
      <c r="F10" s="22">
        <f t="shared" si="0"/>
        <v>21.67</v>
      </c>
      <c r="G10" s="24">
        <f>ROUND($E10/SUM($E$7:$E$10)*100,3)</f>
        <v>21.667000000000002</v>
      </c>
    </row>
    <row r="11" spans="1:7" x14ac:dyDescent="0.25">
      <c r="B11" t="s">
        <v>502</v>
      </c>
      <c r="C11">
        <f>SUM(C6:C10)</f>
        <v>0</v>
      </c>
      <c r="D11">
        <f>SUM(D6:D10)</f>
        <v>60</v>
      </c>
      <c r="E11">
        <f>SUM(C11:D11)</f>
        <v>60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203</v>
      </c>
    </row>
    <row r="15" spans="1:7" x14ac:dyDescent="0.25">
      <c r="B15" t="s">
        <v>508</v>
      </c>
      <c r="C15" t="s">
        <v>200</v>
      </c>
    </row>
    <row r="16" spans="1:7" x14ac:dyDescent="0.25">
      <c r="B16" t="s">
        <v>509</v>
      </c>
      <c r="C16" t="s">
        <v>206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COUNTIFS(Resp4[Vínculo],"tecnico",Resp4[4.81],B7)</f>
        <v>0</v>
      </c>
      <c r="D7" s="4">
        <f>COUNTIFS(Resp4[Vínculo],"docente",Resp4[4.81],B7)</f>
        <v>54</v>
      </c>
      <c r="E7" s="2">
        <f>COUNTIF(Resp4[4.81],B7)</f>
        <v>54</v>
      </c>
      <c r="F7" s="15">
        <f t="shared" ref="F7:F9" si="0">ROUND($E7/E$9*100,2)</f>
        <v>90</v>
      </c>
      <c r="G7" s="4">
        <f>ROUND($E7/SUM($E$7:$E$8)*100,2)</f>
        <v>90</v>
      </c>
      <c r="H7" s="2"/>
    </row>
    <row r="8" spans="1:8" x14ac:dyDescent="0.25">
      <c r="A8" s="2"/>
      <c r="B8" s="2" t="s">
        <v>199</v>
      </c>
      <c r="C8" s="4">
        <f>COUNTIFS(Resp4[Vínculo],"tecnico",Resp4[4.81],B8)</f>
        <v>0</v>
      </c>
      <c r="D8" s="4">
        <f>COUNTIFS(Resp4[Vínculo],"docente",Resp4[4.81],B8)</f>
        <v>6</v>
      </c>
      <c r="E8" s="2">
        <f>COUNTIF(Resp4[4.81],B8)</f>
        <v>6</v>
      </c>
      <c r="F8" s="19">
        <f t="shared" si="0"/>
        <v>10</v>
      </c>
      <c r="G8" s="4">
        <f>ROUND($E8/SUM($E$7:$E$8)*100,2)</f>
        <v>10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0</v>
      </c>
      <c r="D9" s="28">
        <f>SUM(D6:D8)</f>
        <v>60</v>
      </c>
      <c r="E9" s="28">
        <f>SUM(C9:D9)</f>
        <v>60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197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194</v>
      </c>
      <c r="C7" s="4">
        <f>COUNTIFS(Resp4[Vínculo],"tecnico",Resp4[4.85],B7)</f>
        <v>0</v>
      </c>
      <c r="D7" s="4">
        <f>COUNTIFS(Resp4[Vínculo],"docente",Resp4[4.85],B7)</f>
        <v>32</v>
      </c>
      <c r="E7" s="2">
        <f>COUNTIF(Resp4[4.85],B7)</f>
        <v>32</v>
      </c>
      <c r="F7" s="4">
        <f t="shared" ref="F7:F9" si="0">ROUND($E7/E$9*100,2)</f>
        <v>53.33</v>
      </c>
      <c r="G7" s="4">
        <f>ROUND($E7/SUM($E$7:$E$8)*100,2)</f>
        <v>53.33</v>
      </c>
      <c r="H7" s="2"/>
    </row>
    <row r="8" spans="1:8" x14ac:dyDescent="0.25">
      <c r="A8" s="2"/>
      <c r="B8" s="2" t="s">
        <v>199</v>
      </c>
      <c r="C8" s="4">
        <f>COUNTIFS(Resp4[Vínculo],"tecnico",Resp4[4.85],B8)</f>
        <v>0</v>
      </c>
      <c r="D8" s="4">
        <f>COUNTIFS(Resp4[Vínculo],"docente",Resp4[4.85],B8)</f>
        <v>28</v>
      </c>
      <c r="E8" s="2">
        <f>COUNTIF(Resp4[4.85],B8)</f>
        <v>28</v>
      </c>
      <c r="F8" s="22">
        <f t="shared" si="0"/>
        <v>46.67</v>
      </c>
      <c r="G8" s="4">
        <f>ROUND($E8/SUM($E$7:$E$8)*100,2)</f>
        <v>46.67</v>
      </c>
      <c r="H8" s="2"/>
    </row>
    <row r="9" spans="1:8" x14ac:dyDescent="0.25">
      <c r="A9" s="2"/>
      <c r="B9" s="8" t="s">
        <v>502</v>
      </c>
      <c r="C9" s="8">
        <f>SUM(C6:C8)</f>
        <v>0</v>
      </c>
      <c r="D9" s="8">
        <f>SUM(D6:D8)</f>
        <v>60</v>
      </c>
      <c r="E9" s="8">
        <f>SUM(C9:D9)</f>
        <v>60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COUNTIFS(Resp4[Vínculo],"tecnico",Resp4[4.86],B10)</f>
        <v>0</v>
      </c>
      <c r="D10" s="4">
        <f>COUNTIFS(Resp4[Vínculo],"docente",Resp4[4.86],B10)</f>
        <v>7</v>
      </c>
      <c r="E10" s="4">
        <f>COUNTIF(Resp4[4.86],B10)</f>
        <v>7</v>
      </c>
      <c r="F10" s="4">
        <f t="shared" si="0"/>
        <v>11.67</v>
      </c>
      <c r="G10" s="3">
        <f t="shared" si="1"/>
        <v>21.875</v>
      </c>
    </row>
    <row r="11" spans="1:7" x14ac:dyDescent="0.25">
      <c r="B11" s="2" t="s">
        <v>195</v>
      </c>
      <c r="C11" s="4">
        <f>COUNTIFS(Resp4[Vínculo],"tecnico",Resp4[4.86],B11)</f>
        <v>0</v>
      </c>
      <c r="D11" s="4">
        <f>COUNTIFS(Resp4[Vínculo],"docente",Resp4[4.86],B11)</f>
        <v>16</v>
      </c>
      <c r="E11" s="4">
        <f>COUNTIF(Resp4[4.86],B11)</f>
        <v>16</v>
      </c>
      <c r="F11" s="4">
        <f t="shared" si="0"/>
        <v>26.67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COUNTIFS(Resp4[Vínculo],"tecnico",Resp4[4.86],B12)</f>
        <v>0</v>
      </c>
      <c r="D12" s="4">
        <f>COUNTIFS(Resp4[Vínculo],"docente",Resp4[4.86],B12)</f>
        <v>9</v>
      </c>
      <c r="E12" s="4">
        <f>COUNTIF(Resp4[4.86],B12)</f>
        <v>9</v>
      </c>
      <c r="F12" s="22">
        <f t="shared" si="0"/>
        <v>15</v>
      </c>
      <c r="G12" s="3">
        <f t="shared" si="1"/>
        <v>28.125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21.875</v>
      </c>
    </row>
    <row r="28" spans="2:7" x14ac:dyDescent="0.25">
      <c r="B28" s="32" t="s">
        <v>33</v>
      </c>
      <c r="C28" s="32" t="s">
        <v>32</v>
      </c>
      <c r="D28" s="18">
        <f>SUM(D11:D12)</f>
        <v>25</v>
      </c>
      <c r="E28" s="19">
        <f>ROUND(D28/SUM(D$25:D$28)*100,3)</f>
        <v>78.125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207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204</v>
      </c>
      <c r="C9" s="4">
        <f>COUNTIFS(Resp4[Vínculo],"tecnico",Resp4[4.87],B9)</f>
        <v>0</v>
      </c>
      <c r="D9" s="4">
        <f>COUNTIFS(Resp4[Vínculo],"docente",Resp4[4.87],B9)</f>
        <v>2</v>
      </c>
      <c r="E9" s="4">
        <f>COUNTIF(Resp4[4.87],B9)</f>
        <v>2</v>
      </c>
      <c r="F9" s="4">
        <f>ROUND($E9/E$13*100,2)</f>
        <v>3.33</v>
      </c>
      <c r="G9" s="3">
        <f t="shared" si="0"/>
        <v>6.25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4</v>
      </c>
      <c r="E10" s="4">
        <f>COUNTIF(Resp4[4.87],B10)</f>
        <v>4</v>
      </c>
      <c r="F10" s="4">
        <f>ROUND($E10/E$13*100,2)</f>
        <v>6.67</v>
      </c>
      <c r="G10" s="3">
        <f t="shared" si="0"/>
        <v>12.5</v>
      </c>
    </row>
    <row r="11" spans="1:7" x14ac:dyDescent="0.25">
      <c r="B11" s="2" t="s">
        <v>195</v>
      </c>
      <c r="C11" s="4">
        <f>COUNTIFS(Resp4[Vínculo],"tecnico",Resp4[4.87],B11)</f>
        <v>0</v>
      </c>
      <c r="D11" s="4">
        <f>COUNTIFS(Resp4[Vínculo],"docente",Resp4[4.87],B11)</f>
        <v>15</v>
      </c>
      <c r="E11" s="4">
        <f>COUNTIF(Resp4[4.87],B11)</f>
        <v>15</v>
      </c>
      <c r="F11" s="4">
        <f>ROUND($E11/E$13*100,2)</f>
        <v>25</v>
      </c>
      <c r="G11" s="3">
        <f t="shared" si="0"/>
        <v>46.875</v>
      </c>
    </row>
    <row r="12" spans="1:7" x14ac:dyDescent="0.25">
      <c r="B12" s="7" t="s">
        <v>196</v>
      </c>
      <c r="C12" s="4">
        <f>COUNTIFS(Resp4[Vínculo],"tecnico",Resp4[4.87],B12)</f>
        <v>0</v>
      </c>
      <c r="D12" s="4">
        <f>COUNTIFS(Resp4[Vínculo],"docente",Resp4[4.87],B12)</f>
        <v>11</v>
      </c>
      <c r="E12" s="4">
        <f>COUNTIF(Resp4[4.87],B12)</f>
        <v>11</v>
      </c>
      <c r="F12" s="22">
        <f>ROUND($E12/E$13*100,2)</f>
        <v>18.329999999999998</v>
      </c>
      <c r="G12" s="3">
        <f t="shared" si="0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15">
        <f>ROUND($E6/E$13*100,2)</f>
        <v>46.67</v>
      </c>
    </row>
    <row r="7" spans="1:7" x14ac:dyDescent="0.25">
      <c r="B7" s="2" t="s">
        <v>201</v>
      </c>
      <c r="C7" s="4">
        <f>COUNTIFS(Resp4[Vínculo],"tecnico",Resp4[4.88],B7)</f>
        <v>0</v>
      </c>
      <c r="D7" s="4">
        <f>COUNTIFS(Resp4[Vínculo],"docente",Resp4[4.88],B7)</f>
        <v>2</v>
      </c>
      <c r="E7" s="4">
        <f>COUNTIF(Resp4[4.88],B7)</f>
        <v>2</v>
      </c>
      <c r="F7" s="15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COUNTIFS(Resp4[Vínculo],"tecnico",Resp4[4.88],B8)</f>
        <v>0</v>
      </c>
      <c r="D8" s="4">
        <f>COUNTIFS(Resp4[Vínculo],"docente",Resp4[4.88],B8)</f>
        <v>1</v>
      </c>
      <c r="E8" s="4">
        <f>COUNTIF(Resp4[4.88],B8)</f>
        <v>1</v>
      </c>
      <c r="F8" s="15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COUNTIFS(Resp4[Vínculo],"tecnico",Resp4[4.88],B9)</f>
        <v>0</v>
      </c>
      <c r="D9" s="4">
        <f>COUNTIFS(Resp4[Vínculo],"docente",Resp4[4.88],B9)</f>
        <v>1</v>
      </c>
      <c r="E9" s="4">
        <f>COUNTIF(Resp4[4.88],B9)</f>
        <v>1</v>
      </c>
      <c r="F9" s="15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6</v>
      </c>
      <c r="E10" s="4">
        <f>COUNTIF(Resp4[4.88],B10)</f>
        <v>6</v>
      </c>
      <c r="F10" s="15">
        <f t="shared" si="0"/>
        <v>10</v>
      </c>
      <c r="G10" s="3">
        <f t="shared" si="1"/>
        <v>18.75</v>
      </c>
    </row>
    <row r="11" spans="1:7" x14ac:dyDescent="0.25">
      <c r="B11" s="2" t="s">
        <v>195</v>
      </c>
      <c r="C11" s="4">
        <f>COUNTIFS(Resp4[Vínculo],"tecnico",Resp4[4.88],B11)</f>
        <v>0</v>
      </c>
      <c r="D11" s="4">
        <f>COUNTIFS(Resp4[Vínculo],"docente",Resp4[4.88],B11)</f>
        <v>11</v>
      </c>
      <c r="E11" s="4">
        <f>COUNTIF(Resp4[4.88],B11)</f>
        <v>11</v>
      </c>
      <c r="F11" s="15">
        <f t="shared" si="0"/>
        <v>18.329999999999998</v>
      </c>
      <c r="G11" s="3">
        <f t="shared" si="1"/>
        <v>34.375</v>
      </c>
    </row>
    <row r="12" spans="1:7" x14ac:dyDescent="0.25">
      <c r="B12" s="7" t="s">
        <v>196</v>
      </c>
      <c r="C12" s="4">
        <f>COUNTIFS(Resp4[Vínculo],"tecnico",Resp4[4.88],B12)</f>
        <v>0</v>
      </c>
      <c r="D12" s="4">
        <f>COUNTIFS(Resp4[Vínculo],"docente",Resp4[4.88],B12)</f>
        <v>11</v>
      </c>
      <c r="E12" s="4">
        <f>COUNTIF(Resp4[4.88],B12)</f>
        <v>11</v>
      </c>
      <c r="F12" s="19">
        <f t="shared" si="0"/>
        <v>18.329999999999998</v>
      </c>
      <c r="G12" s="3">
        <f t="shared" si="1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18.75</v>
      </c>
    </row>
    <row r="28" spans="2:7" x14ac:dyDescent="0.25">
      <c r="B28" s="32" t="s">
        <v>33</v>
      </c>
      <c r="C28" s="32" t="s">
        <v>32</v>
      </c>
      <c r="D28" s="18">
        <f>SUM(D11:D12)</f>
        <v>22</v>
      </c>
      <c r="E28" s="19">
        <f>ROUND(D28/SUM(D$25:D$28)*100,3)</f>
        <v>68.75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COUNTIFS(Resp4[Vínculo],"tecnico",Resp4[4.89],B7)</f>
        <v>0</v>
      </c>
      <c r="D7" s="4">
        <f>COUNTIFS(Resp4[Vínculo],"docente",Resp4[4.89],B7)</f>
        <v>5</v>
      </c>
      <c r="E7" s="4">
        <f>COUNTIF(Resp4[4.89],B7)</f>
        <v>5</v>
      </c>
      <c r="F7" s="4">
        <f t="shared" ref="F7:F13" si="0">ROUND($E7/E$13*100,2)</f>
        <v>8.33</v>
      </c>
      <c r="G7" s="3">
        <f t="shared" ref="G7:G12" si="1">ROUND($E7/SUM($E$7:$E$12)*100,3)</f>
        <v>15.625</v>
      </c>
    </row>
    <row r="8" spans="1:7" x14ac:dyDescent="0.25">
      <c r="B8" s="2" t="s">
        <v>207</v>
      </c>
      <c r="C8" s="4">
        <f>COUNTIFS(Resp4[Vínculo],"tecnico",Resp4[4.89],B8)</f>
        <v>0</v>
      </c>
      <c r="D8" s="4">
        <f>COUNTIFS(Resp4[Vínculo],"docente",Resp4[4.89],B8)</f>
        <v>4</v>
      </c>
      <c r="E8" s="4">
        <f>COUNTIF(Resp4[4.89],B8)</f>
        <v>4</v>
      </c>
      <c r="F8" s="4">
        <f t="shared" si="0"/>
        <v>6.67</v>
      </c>
      <c r="G8" s="3">
        <f t="shared" si="1"/>
        <v>12.5</v>
      </c>
    </row>
    <row r="9" spans="1:7" x14ac:dyDescent="0.25">
      <c r="B9" s="2" t="s">
        <v>204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COUNTIFS(Resp4[Vínculo],"tecnico",Resp4[4.89],B10)</f>
        <v>0</v>
      </c>
      <c r="D10" s="4">
        <f>COUNTIFS(Resp4[Vínculo],"docente",Resp4[4.89],B10)</f>
        <v>4</v>
      </c>
      <c r="E10" s="4">
        <f>COUNTIF(Resp4[4.89],B10)</f>
        <v>4</v>
      </c>
      <c r="F10" s="4">
        <f t="shared" si="0"/>
        <v>6.67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COUNTIFS(Resp4[Vínculo],"tecnico",Resp4[4.89],B11)</f>
        <v>0</v>
      </c>
      <c r="D11" s="4">
        <f>COUNTIFS(Resp4[Vínculo],"docente",Resp4[4.89],B11)</f>
        <v>13</v>
      </c>
      <c r="E11" s="4">
        <f>COUNTIF(Resp4[4.89],B11)</f>
        <v>13</v>
      </c>
      <c r="F11" s="4">
        <f t="shared" si="0"/>
        <v>21.67</v>
      </c>
      <c r="G11" s="3">
        <f t="shared" si="1"/>
        <v>40.625</v>
      </c>
    </row>
    <row r="12" spans="1:7" x14ac:dyDescent="0.25">
      <c r="B12" s="7" t="s">
        <v>196</v>
      </c>
      <c r="C12" s="4">
        <f>COUNTIFS(Resp4[Vínculo],"tecnico",Resp4[4.89],B12)</f>
        <v>0</v>
      </c>
      <c r="D12" s="4">
        <f>COUNTIFS(Resp4[Vínculo],"docente",Resp4[4.89],B12)</f>
        <v>6</v>
      </c>
      <c r="E12" s="4">
        <f>COUNTIF(Resp4[4.89],B12)</f>
        <v>6</v>
      </c>
      <c r="F12" s="22">
        <f t="shared" si="0"/>
        <v>10</v>
      </c>
      <c r="G12" s="3">
        <f t="shared" si="1"/>
        <v>18.75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12.5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15.625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59.375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COUNTIFS(Resp4[Vínculo],"tecnico",Resp4[4.90],B7)</f>
        <v>0</v>
      </c>
      <c r="D7" s="4">
        <f>COUNTIFS(Resp4[Vínculo],"docente",Resp4[4.90],B7)</f>
        <v>5</v>
      </c>
      <c r="E7" s="4">
        <f>COUNTIF(Resp4[4.90],B7)</f>
        <v>5</v>
      </c>
      <c r="F7" s="4">
        <f t="shared" ref="F7:F13" si="0">ROUND($E7/E$13*100,2)</f>
        <v>8.33</v>
      </c>
      <c r="G7" s="3">
        <f t="shared" ref="G7:G12" si="1">ROUND($E7/SUM($E$7:$E$12)*100,3)</f>
        <v>15.625</v>
      </c>
    </row>
    <row r="8" spans="1:7" x14ac:dyDescent="0.25">
      <c r="B8" s="2" t="s">
        <v>207</v>
      </c>
      <c r="C8" s="4">
        <f>COUNTIFS(Resp4[Vínculo],"tecnico",Resp4[4.90],B8)</f>
        <v>0</v>
      </c>
      <c r="D8" s="4">
        <f>COUNTIFS(Resp4[Vínculo],"docente",Resp4[4.90],B8)</f>
        <v>3</v>
      </c>
      <c r="E8" s="4">
        <f>COUNTIF(Resp4[4.90],B8)</f>
        <v>3</v>
      </c>
      <c r="F8" s="4">
        <f t="shared" si="0"/>
        <v>5</v>
      </c>
      <c r="G8" s="3">
        <f t="shared" si="1"/>
        <v>9.375</v>
      </c>
    </row>
    <row r="9" spans="1:7" x14ac:dyDescent="0.25">
      <c r="B9" s="2" t="s">
        <v>204</v>
      </c>
      <c r="C9" s="4">
        <f>COUNTIFS(Resp4[Vínculo],"tecnico",Resp4[4.90],B9)</f>
        <v>0</v>
      </c>
      <c r="D9" s="4">
        <f>COUNTIFS(Resp4[Vínculo],"docente",Resp4[4.90],B9)</f>
        <v>1</v>
      </c>
      <c r="E9" s="4">
        <f>COUNTIF(Resp4[4.90],B9)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7</v>
      </c>
      <c r="E10" s="4">
        <f>COUNTIF(Resp4[4.90],B10)</f>
        <v>7</v>
      </c>
      <c r="F10" s="4">
        <f t="shared" si="0"/>
        <v>11.67</v>
      </c>
      <c r="G10" s="3">
        <f t="shared" si="1"/>
        <v>21.875</v>
      </c>
    </row>
    <row r="11" spans="1:7" x14ac:dyDescent="0.25">
      <c r="B11" s="2" t="s">
        <v>195</v>
      </c>
      <c r="C11" s="4">
        <f>COUNTIFS(Resp4[Vínculo],"tecnico",Resp4[4.90],B11)</f>
        <v>0</v>
      </c>
      <c r="D11" s="4">
        <f>COUNTIFS(Resp4[Vínculo],"docente",Resp4[4.90],B11)</f>
        <v>8</v>
      </c>
      <c r="E11" s="4">
        <f>COUNTIF(Resp4[4.90],B11)</f>
        <v>8</v>
      </c>
      <c r="F11" s="4">
        <f t="shared" si="0"/>
        <v>13.33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COUNTIFS(Resp4[Vínculo],"tecnico",Resp4[4.90],B12)</f>
        <v>0</v>
      </c>
      <c r="D12" s="4">
        <f>COUNTIFS(Resp4[Vínculo],"docente",Resp4[4.90],B12)</f>
        <v>8</v>
      </c>
      <c r="E12" s="4">
        <f>COUNTIF(Resp4[4.90],B12)</f>
        <v>8</v>
      </c>
      <c r="F12" s="22">
        <f t="shared" si="0"/>
        <v>13.33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12.5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15.625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21.875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COUNTIFS(Resp4[Vínculo],"tecnico",Resp4[4.91],B7)</f>
        <v>0</v>
      </c>
      <c r="D7" s="4">
        <f>COUNTIFS(Resp4[Vínculo],"docente",Resp4[4.91],B7)</f>
        <v>2</v>
      </c>
      <c r="E7" s="4">
        <f>COUNTIF(Resp4[4.91],B7)</f>
        <v>2</v>
      </c>
      <c r="F7" s="4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COUNTIFS(Resp4[Vínculo],"tecnico",Resp4[4.91],B8)</f>
        <v>0</v>
      </c>
      <c r="D8" s="4">
        <f>COUNTIFS(Resp4[Vínculo],"docente",Resp4[4.91],B8)</f>
        <v>1</v>
      </c>
      <c r="E8" s="4">
        <f>COUNTIF(Resp4[4.91],B8)</f>
        <v>1</v>
      </c>
      <c r="F8" s="4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COUNTIFS(Resp4[Vínculo],"tecnico",Resp4[4.91],B9)</f>
        <v>0</v>
      </c>
      <c r="D9" s="4">
        <f>COUNTIFS(Resp4[Vínculo],"docente",Resp4[4.91],B9)</f>
        <v>2</v>
      </c>
      <c r="E9" s="4">
        <f>COUNTIF(Resp4[4.91],B9)</f>
        <v>2</v>
      </c>
      <c r="F9" s="4">
        <f t="shared" si="0"/>
        <v>3.33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8</v>
      </c>
      <c r="E10" s="4">
        <f>COUNTIF(Resp4[4.91],B10)</f>
        <v>8</v>
      </c>
      <c r="F10" s="4">
        <f t="shared" si="0"/>
        <v>13.33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COUNTIFS(Resp4[Vínculo],"tecnico",Resp4[4.91],B11)</f>
        <v>0</v>
      </c>
      <c r="D11" s="4">
        <f>COUNTIFS(Resp4[Vínculo],"docente",Resp4[4.91],B11)</f>
        <v>9</v>
      </c>
      <c r="E11" s="4">
        <f>COUNTIF(Resp4[4.91],B11)</f>
        <v>9</v>
      </c>
      <c r="F11" s="4">
        <f t="shared" si="0"/>
        <v>15</v>
      </c>
      <c r="G11" s="3">
        <f t="shared" si="1"/>
        <v>28.125</v>
      </c>
    </row>
    <row r="12" spans="1:7" x14ac:dyDescent="0.25">
      <c r="B12" s="7" t="s">
        <v>196</v>
      </c>
      <c r="C12" s="4">
        <f>COUNTIFS(Resp4[Vínculo],"tecnico",Resp4[4.91],B12)</f>
        <v>0</v>
      </c>
      <c r="D12" s="4">
        <f>COUNTIFS(Resp4[Vínculo],"docente",Resp4[4.91],B12)</f>
        <v>10</v>
      </c>
      <c r="E12" s="4">
        <f>COUNTIF(Resp4[4.91],B12)</f>
        <v>10</v>
      </c>
      <c r="F12" s="22">
        <f t="shared" si="0"/>
        <v>16.670000000000002</v>
      </c>
      <c r="G12" s="3">
        <f t="shared" si="1"/>
        <v>31.25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9.375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59.375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COUNTIFS(Resp4[Vínculo],"tecnico",Resp4[4.92],B9)</f>
        <v>0</v>
      </c>
      <c r="D9" s="4">
        <f>COUNTIFS(Resp4[Vínculo],"docente",Resp4[4.92],B9)</f>
        <v>1</v>
      </c>
      <c r="E9" s="4">
        <f>COUNTIF(Resp4[4.92],B9)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COUNTIFS(Resp4[Vínculo],"tecnico",Resp4[4.92],B10)</f>
        <v>0</v>
      </c>
      <c r="D10" s="4">
        <f>COUNTIFS(Resp4[Vínculo],"docente",Resp4[4.92],B10)</f>
        <v>4</v>
      </c>
      <c r="E10" s="4">
        <f>COUNTIF(Resp4[4.92],B10)</f>
        <v>4</v>
      </c>
      <c r="F10" s="4">
        <f t="shared" si="0"/>
        <v>6.67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COUNTIFS(Resp4[Vínculo],"tecnico",Resp4[4.92],B11)</f>
        <v>0</v>
      </c>
      <c r="D11" s="4">
        <f>COUNTIFS(Resp4[Vínculo],"docente",Resp4[4.92],B11)</f>
        <v>15</v>
      </c>
      <c r="E11" s="4">
        <f>COUNTIF(Resp4[4.92],B11)</f>
        <v>15</v>
      </c>
      <c r="F11" s="4">
        <f t="shared" si="0"/>
        <v>25</v>
      </c>
      <c r="G11" s="3">
        <f t="shared" si="1"/>
        <v>46.875</v>
      </c>
    </row>
    <row r="12" spans="1:7" x14ac:dyDescent="0.25">
      <c r="B12" s="7" t="s">
        <v>196</v>
      </c>
      <c r="C12" s="4">
        <f>COUNTIFS(Resp4[Vínculo],"tecnico",Resp4[4.92],B12)</f>
        <v>0</v>
      </c>
      <c r="D12" s="4">
        <f>COUNTIFS(Resp4[Vínculo],"docente",Resp4[4.92],B12)</f>
        <v>12</v>
      </c>
      <c r="E12" s="4">
        <f>COUNTIF(Resp4[4.92],B12)</f>
        <v>12</v>
      </c>
      <c r="F12" s="22">
        <f t="shared" si="0"/>
        <v>20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84.375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8</v>
      </c>
      <c r="E6" s="4">
        <f>E13-SUM(E7:E12)</f>
        <v>8</v>
      </c>
      <c r="F6" s="4">
        <f t="shared" ref="F6:F13" si="0">ROUND($E6/E$13*100,2)</f>
        <v>13.33</v>
      </c>
    </row>
    <row r="7" spans="1:7" x14ac:dyDescent="0.25">
      <c r="B7" s="2" t="s">
        <v>201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4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COUNTIFS(Resp4[Vínculo],"tecnico",Resp4[4.03],B8)</f>
        <v>0</v>
      </c>
      <c r="D8" s="4">
        <f>COUNTIFS(Resp4[Vínculo],"docente",Resp4[4.03],B8)</f>
        <v>1</v>
      </c>
      <c r="E8" s="4">
        <f>COUNTIF(Resp4[4.03],B8)</f>
        <v>1</v>
      </c>
      <c r="F8" s="4">
        <f t="shared" si="0"/>
        <v>1.67</v>
      </c>
      <c r="G8" s="3">
        <f t="shared" si="1"/>
        <v>1.923</v>
      </c>
    </row>
    <row r="9" spans="1:7" x14ac:dyDescent="0.25">
      <c r="B9" s="2" t="s">
        <v>204</v>
      </c>
      <c r="C9" s="4">
        <f>COUNTIFS(Resp4[Vínculo],"tecnico",Resp4[4.03],B9)</f>
        <v>0</v>
      </c>
      <c r="D9" s="4">
        <f>COUNTIFS(Resp4[Vínculo],"docente",Resp4[4.03],B9)</f>
        <v>6</v>
      </c>
      <c r="E9" s="4">
        <f>COUNTIF(Resp4[4.03],B9)</f>
        <v>6</v>
      </c>
      <c r="F9" s="4">
        <f t="shared" si="0"/>
        <v>10</v>
      </c>
      <c r="G9" s="3">
        <f t="shared" si="1"/>
        <v>11.538</v>
      </c>
    </row>
    <row r="10" spans="1:7" x14ac:dyDescent="0.25">
      <c r="B10" s="2" t="s">
        <v>30</v>
      </c>
      <c r="C10" s="4">
        <f>COUNTIFS(Resp4[Vínculo],"tecnico",Resp4[4.03],B10)</f>
        <v>0</v>
      </c>
      <c r="D10" s="4">
        <f>COUNTIFS(Resp4[Vínculo],"docente",Resp4[4.03],B10)</f>
        <v>13</v>
      </c>
      <c r="E10" s="4">
        <f>COUNTIF(Resp4[4.03],B10)</f>
        <v>13</v>
      </c>
      <c r="F10" s="4">
        <f t="shared" si="0"/>
        <v>21.67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COUNTIFS(Resp4[Vínculo],"tecnico",Resp4[4.03],B11)</f>
        <v>0</v>
      </c>
      <c r="D11" s="4">
        <f>COUNTIFS(Resp4[Vínculo],"docente",Resp4[4.03],B11)</f>
        <v>23</v>
      </c>
      <c r="E11" s="4">
        <f>COUNTIF(Resp4[4.03],B11)</f>
        <v>23</v>
      </c>
      <c r="F11" s="4">
        <f t="shared" si="0"/>
        <v>38.33</v>
      </c>
      <c r="G11" s="3">
        <f t="shared" si="1"/>
        <v>44.231000000000002</v>
      </c>
    </row>
    <row r="12" spans="1:7" x14ac:dyDescent="0.25">
      <c r="B12" s="7" t="s">
        <v>196</v>
      </c>
      <c r="C12" s="4">
        <f>COUNTIFS(Resp4[Vínculo],"tecnico",Resp4[4.03],B12)</f>
        <v>0</v>
      </c>
      <c r="D12" s="4">
        <f>COUNTIFS(Resp4[Vínculo],"docente",Resp4[4.03],B12)</f>
        <v>9</v>
      </c>
      <c r="E12" s="4">
        <f>COUNTIF(Resp4[4.03],B12)</f>
        <v>9</v>
      </c>
      <c r="F12" s="22">
        <f t="shared" si="0"/>
        <v>15</v>
      </c>
      <c r="G12" s="3">
        <f t="shared" si="1"/>
        <v>17.308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7</v>
      </c>
      <c r="E25" s="15">
        <f>ROUND(D25/SUM(D$25:D$28)*100,3)</f>
        <v>13.462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13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32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COUNTIFS(Resp4[Vínculo],"tecnico",Resp4[4.93],B7)</f>
        <v>0</v>
      </c>
      <c r="D7" s="4">
        <f>COUNTIFS(Resp4[Vínculo],"docente",Resp4[4.93],B7)</f>
        <v>2</v>
      </c>
      <c r="E7" s="4">
        <f>COUNTIF(Resp4[4.93],B7)</f>
        <v>2</v>
      </c>
      <c r="F7" s="4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COUNTIFS(Resp4[Vínculo],"tecnico",Resp4[4.93],B9)</f>
        <v>0</v>
      </c>
      <c r="D9" s="4">
        <f>COUNTIFS(Resp4[Vínculo],"docente",Resp4[4.93],B9)</f>
        <v>1</v>
      </c>
      <c r="E9" s="4">
        <f>COUNTIF(Resp4[4.93],B9)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5</v>
      </c>
      <c r="E10" s="4">
        <f>COUNTIF(Resp4[4.93],B10)</f>
        <v>5</v>
      </c>
      <c r="F10" s="4">
        <f t="shared" si="0"/>
        <v>8.33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COUNTIFS(Resp4[Vínculo],"tecnico",Resp4[4.93],B11)</f>
        <v>0</v>
      </c>
      <c r="D11" s="4">
        <f>COUNTIFS(Resp4[Vínculo],"docente",Resp4[4.93],B11)</f>
        <v>13</v>
      </c>
      <c r="E11" s="4">
        <f>COUNTIF(Resp4[4.93],B11)</f>
        <v>13</v>
      </c>
      <c r="F11" s="4">
        <f t="shared" si="0"/>
        <v>21.67</v>
      </c>
      <c r="G11" s="3">
        <f t="shared" si="1"/>
        <v>40.625</v>
      </c>
    </row>
    <row r="12" spans="1:7" x14ac:dyDescent="0.25">
      <c r="B12" s="7" t="s">
        <v>196</v>
      </c>
      <c r="C12" s="4">
        <f>COUNTIFS(Resp4[Vínculo],"tecnico",Resp4[4.93],B12)</f>
        <v>0</v>
      </c>
      <c r="D12" s="4">
        <f>COUNTIFS(Resp4[Vínculo],"docente",Resp4[4.93],B12)</f>
        <v>11</v>
      </c>
      <c r="E12" s="4">
        <f>COUNTIF(Resp4[4.93],B12)</f>
        <v>11</v>
      </c>
      <c r="F12" s="22">
        <f t="shared" si="0"/>
        <v>18.329999999999998</v>
      </c>
      <c r="G12" s="3">
        <f t="shared" si="1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15.625</v>
      </c>
    </row>
    <row r="28" spans="2:7" x14ac:dyDescent="0.25">
      <c r="B28" s="32" t="s">
        <v>33</v>
      </c>
      <c r="C28" s="32" t="s">
        <v>32</v>
      </c>
      <c r="D28" s="18">
        <f>SUM(D11:D12)</f>
        <v>24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COUNTIFS(Resp4[Vínculo],"tecnico",Resp4[4.94],B8)</f>
        <v>0</v>
      </c>
      <c r="D8" s="4">
        <f>COUNTIFS(Resp4[Vínculo],"docente",Resp4[4.94],B8)</f>
        <v>1</v>
      </c>
      <c r="E8" s="4">
        <f>COUNTIF(Resp4[4.94],B8)</f>
        <v>1</v>
      </c>
      <c r="F8" s="4">
        <f t="shared" si="0"/>
        <v>1.67</v>
      </c>
      <c r="G8" s="3">
        <f t="shared" si="1"/>
        <v>3.125</v>
      </c>
    </row>
    <row r="9" spans="1:7" x14ac:dyDescent="0.25">
      <c r="B9" s="2" t="s">
        <v>204</v>
      </c>
      <c r="C9" s="4">
        <f>COUNTIFS(Resp4[Vínculo],"tecnico",Resp4[4.94],B9)</f>
        <v>0</v>
      </c>
      <c r="D9" s="4">
        <f>COUNTIFS(Resp4[Vínculo],"docente",Resp4[4.94],B9)</f>
        <v>7</v>
      </c>
      <c r="E9" s="4">
        <f>COUNTIF(Resp4[4.94],B9)</f>
        <v>7</v>
      </c>
      <c r="F9" s="4">
        <f t="shared" si="0"/>
        <v>11.67</v>
      </c>
      <c r="G9" s="3">
        <f t="shared" si="1"/>
        <v>21.875</v>
      </c>
    </row>
    <row r="10" spans="1:7" x14ac:dyDescent="0.25">
      <c r="B10" s="2" t="s">
        <v>30</v>
      </c>
      <c r="C10" s="4">
        <f>COUNTIFS(Resp4[Vínculo],"tecnico",Resp4[4.94],B10)</f>
        <v>0</v>
      </c>
      <c r="D10" s="4">
        <f>COUNTIFS(Resp4[Vínculo],"docente",Resp4[4.94],B10)</f>
        <v>11</v>
      </c>
      <c r="E10" s="4">
        <f>COUNTIF(Resp4[4.94],B10)</f>
        <v>11</v>
      </c>
      <c r="F10" s="4">
        <f t="shared" si="0"/>
        <v>18.329999999999998</v>
      </c>
      <c r="G10" s="3">
        <f t="shared" si="1"/>
        <v>34.375</v>
      </c>
    </row>
    <row r="11" spans="1:7" x14ac:dyDescent="0.25">
      <c r="B11" s="2" t="s">
        <v>195</v>
      </c>
      <c r="C11" s="4">
        <f>COUNTIFS(Resp4[Vínculo],"tecnico",Resp4[4.94],B11)</f>
        <v>0</v>
      </c>
      <c r="D11" s="4">
        <f>COUNTIFS(Resp4[Vínculo],"docente",Resp4[4.94],B11)</f>
        <v>8</v>
      </c>
      <c r="E11" s="4">
        <f>COUNTIF(Resp4[4.94],B11)</f>
        <v>8</v>
      </c>
      <c r="F11" s="4">
        <f t="shared" si="0"/>
        <v>13.33</v>
      </c>
      <c r="G11" s="3">
        <f t="shared" si="1"/>
        <v>25</v>
      </c>
    </row>
    <row r="12" spans="1:7" x14ac:dyDescent="0.25">
      <c r="B12" s="7" t="s">
        <v>196</v>
      </c>
      <c r="C12" s="4">
        <f>COUNTIFS(Resp4[Vínculo],"tecnico",Resp4[4.94],B12)</f>
        <v>0</v>
      </c>
      <c r="D12" s="4">
        <f>COUNTIFS(Resp4[Vínculo],"docente",Resp4[4.94],B12)</f>
        <v>5</v>
      </c>
      <c r="E12" s="4">
        <f>COUNTIF(Resp4[4.94],B12)</f>
        <v>5</v>
      </c>
      <c r="F12" s="22">
        <f t="shared" si="0"/>
        <v>8.33</v>
      </c>
      <c r="G12" s="3">
        <f t="shared" si="1"/>
        <v>15.625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11</v>
      </c>
      <c r="E27" s="15">
        <f>ROUND(D27/SUM(D$25:D$28)*100,3)</f>
        <v>34.375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40.625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COUNTIFS(Resp4[Vínculo],"tecnico",Resp4[4.95],B7)</f>
        <v>0</v>
      </c>
      <c r="D7" s="4">
        <f>COUNTIFS(Resp4[Vínculo],"docente",Resp4[4.95],B7)</f>
        <v>1</v>
      </c>
      <c r="E7" s="4">
        <f>COUNTIF(Resp4[4.95],B7)</f>
        <v>1</v>
      </c>
      <c r="F7" s="4">
        <f t="shared" ref="F7:F13" si="0">ROUND($E7/E$13*100,2)</f>
        <v>1.67</v>
      </c>
      <c r="G7" s="3">
        <f t="shared" ref="G7:G12" si="1">ROUND($E7/SUM($E$7:$E$12)*100,3)</f>
        <v>3.125</v>
      </c>
    </row>
    <row r="8" spans="1:7" x14ac:dyDescent="0.25">
      <c r="B8" s="2" t="s">
        <v>207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5</v>
      </c>
      <c r="E10" s="4">
        <f>COUNTIF(Resp4[4.95],B10)</f>
        <v>5</v>
      </c>
      <c r="F10" s="4">
        <f t="shared" si="0"/>
        <v>8.33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COUNTIFS(Resp4[Vínculo],"tecnico",Resp4[4.95],B11)</f>
        <v>0</v>
      </c>
      <c r="D11" s="4">
        <f>COUNTIFS(Resp4[Vínculo],"docente",Resp4[4.95],B11)</f>
        <v>14</v>
      </c>
      <c r="E11" s="4">
        <f>COUNTIF(Resp4[4.95],B11)</f>
        <v>14</v>
      </c>
      <c r="F11" s="4">
        <f t="shared" si="0"/>
        <v>23.33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COUNTIFS(Resp4[Vínculo],"tecnico",Resp4[4.95],B12)</f>
        <v>0</v>
      </c>
      <c r="D12" s="4">
        <f>COUNTIFS(Resp4[Vínculo],"docente",Resp4[4.95],B12)</f>
        <v>12</v>
      </c>
      <c r="E12" s="4">
        <f>COUNTIF(Resp4[4.95],B12)</f>
        <v>12</v>
      </c>
      <c r="F12" s="22">
        <f t="shared" si="0"/>
        <v>20</v>
      </c>
      <c r="G12" s="3">
        <f t="shared" si="1"/>
        <v>37.5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3.125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15.625</v>
      </c>
    </row>
    <row r="28" spans="2:7" x14ac:dyDescent="0.25">
      <c r="B28" s="32" t="s">
        <v>33</v>
      </c>
      <c r="C28" s="32" t="s">
        <v>32</v>
      </c>
      <c r="D28" s="18">
        <f>SUM(D11:D12)</f>
        <v>26</v>
      </c>
      <c r="E28" s="19">
        <f>ROUND(D28/SUM(D$25:D$28)*100,3)</f>
        <v>81.25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4</v>
      </c>
      <c r="E10" s="4">
        <f>COUNTIF(Resp4[4.96],B10)</f>
        <v>4</v>
      </c>
      <c r="F10" s="4">
        <f t="shared" si="0"/>
        <v>6.67</v>
      </c>
      <c r="G10" s="3">
        <f t="shared" si="1"/>
        <v>12.5</v>
      </c>
    </row>
    <row r="11" spans="1:7" x14ac:dyDescent="0.25">
      <c r="B11" s="2" t="s">
        <v>195</v>
      </c>
      <c r="C11" s="4">
        <f>COUNTIFS(Resp4[Vínculo],"tecnico",Resp4[4.96],B11)</f>
        <v>0</v>
      </c>
      <c r="D11" s="4">
        <f>COUNTIFS(Resp4[Vínculo],"docente",Resp4[4.96],B11)</f>
        <v>14</v>
      </c>
      <c r="E11" s="4">
        <f>COUNTIF(Resp4[4.96],B11)</f>
        <v>14</v>
      </c>
      <c r="F11" s="4">
        <f t="shared" si="0"/>
        <v>23.33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COUNTIFS(Resp4[Vínculo],"tecnico",Resp4[4.96],B12)</f>
        <v>0</v>
      </c>
      <c r="D12" s="4">
        <f>COUNTIFS(Resp4[Vínculo],"docente",Resp4[4.96],B12)</f>
        <v>14</v>
      </c>
      <c r="E12" s="4">
        <f>COUNTIF(Resp4[4.96],B12)</f>
        <v>14</v>
      </c>
      <c r="F12" s="22">
        <f t="shared" si="0"/>
        <v>23.33</v>
      </c>
      <c r="G12" s="3">
        <f t="shared" si="1"/>
        <v>43.75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28</v>
      </c>
      <c r="E28" s="19">
        <f>ROUND(D28/SUM(D$25:D$28)*100,3)</f>
        <v>87.5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COUNTIFS(Resp4[Vínculo],"tecnico",Resp4[4.97],B7)</f>
        <v>0</v>
      </c>
      <c r="D7" s="4">
        <f>COUNTIFS(Resp4[Vínculo],"docente",Resp4[4.97],B7)</f>
        <v>0</v>
      </c>
      <c r="E7" s="4">
        <f>COUNTIF(Resp4[4.97],B7)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2</v>
      </c>
      <c r="E10" s="4">
        <f>COUNTIF(Resp4[4.97],B10)</f>
        <v>2</v>
      </c>
      <c r="F10" s="4">
        <f t="shared" si="0"/>
        <v>3.33</v>
      </c>
      <c r="G10" s="3">
        <f t="shared" si="1"/>
        <v>6.25</v>
      </c>
    </row>
    <row r="11" spans="1:7" x14ac:dyDescent="0.25">
      <c r="B11" s="2" t="s">
        <v>195</v>
      </c>
      <c r="C11" s="4">
        <f>COUNTIFS(Resp4[Vínculo],"tecnico",Resp4[4.97],B11)</f>
        <v>0</v>
      </c>
      <c r="D11" s="4">
        <f>COUNTIFS(Resp4[Vínculo],"docente",Resp4[4.97],B11)</f>
        <v>15</v>
      </c>
      <c r="E11" s="4">
        <f>COUNTIF(Resp4[4.97],B11)</f>
        <v>15</v>
      </c>
      <c r="F11" s="4">
        <f t="shared" si="0"/>
        <v>25</v>
      </c>
      <c r="G11" s="3">
        <f t="shared" si="1"/>
        <v>46.875</v>
      </c>
    </row>
    <row r="12" spans="1:7" x14ac:dyDescent="0.25">
      <c r="B12" s="7" t="s">
        <v>196</v>
      </c>
      <c r="C12" s="4">
        <f>COUNTIFS(Resp4[Vínculo],"tecnico",Resp4[4.97],B12)</f>
        <v>0</v>
      </c>
      <c r="D12" s="4">
        <f>COUNTIFS(Resp4[Vínculo],"docente",Resp4[4.97],B12)</f>
        <v>15</v>
      </c>
      <c r="E12" s="4">
        <f>COUNTIF(Resp4[4.97],B12)</f>
        <v>15</v>
      </c>
      <c r="F12" s="22">
        <f t="shared" si="0"/>
        <v>25</v>
      </c>
      <c r="G12" s="3">
        <f t="shared" si="1"/>
        <v>46.875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6.25</v>
      </c>
    </row>
    <row r="28" spans="2:7" x14ac:dyDescent="0.25">
      <c r="B28" s="32" t="s">
        <v>33</v>
      </c>
      <c r="C28" s="32" t="s">
        <v>32</v>
      </c>
      <c r="D28" s="18">
        <f>SUM(D11:D12)</f>
        <v>30</v>
      </c>
      <c r="E28" s="19">
        <f>ROUND(D28/SUM(D$25:D$28)*100,3)</f>
        <v>93.75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COUNTIFS(Resp4[Vínculo],"tecnico",Resp4[4.98],B7)</f>
        <v>0</v>
      </c>
      <c r="D7" s="4">
        <f>COUNTIFS(Resp4[Vínculo],"docente",Resp4[4.98],B7)</f>
        <v>2</v>
      </c>
      <c r="E7" s="4">
        <f>COUNTIF(Resp4[4.98],B7)</f>
        <v>2</v>
      </c>
      <c r="F7" s="4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COUNTIFS(Resp4[Vínculo],"tecnico",Resp4[4.98],B9)</f>
        <v>0</v>
      </c>
      <c r="D9" s="4">
        <f>COUNTIFS(Resp4[Vínculo],"docente",Resp4[4.98],B9)</f>
        <v>2</v>
      </c>
      <c r="E9" s="4">
        <f>COUNTIF(Resp4[4.98],B9)</f>
        <v>2</v>
      </c>
      <c r="F9" s="4">
        <f t="shared" si="0"/>
        <v>3.33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COUNTIFS(Resp4[Vínculo],"tecnico",Resp4[4.98],B10)</f>
        <v>0</v>
      </c>
      <c r="D10" s="4">
        <f>COUNTIFS(Resp4[Vínculo],"docente",Resp4[4.98],B10)</f>
        <v>8</v>
      </c>
      <c r="E10" s="4">
        <f>COUNTIF(Resp4[4.98],B10)</f>
        <v>8</v>
      </c>
      <c r="F10" s="4">
        <f t="shared" si="0"/>
        <v>13.33</v>
      </c>
      <c r="G10" s="3">
        <f t="shared" si="1"/>
        <v>25</v>
      </c>
    </row>
    <row r="11" spans="1:7" x14ac:dyDescent="0.25">
      <c r="B11" s="2" t="s">
        <v>195</v>
      </c>
      <c r="C11" s="4">
        <f>COUNTIFS(Resp4[Vínculo],"tecnico",Resp4[4.98],B11)</f>
        <v>0</v>
      </c>
      <c r="D11" s="4">
        <f>COUNTIFS(Resp4[Vínculo],"docente",Resp4[4.98],B11)</f>
        <v>11</v>
      </c>
      <c r="E11" s="4">
        <f>COUNTIF(Resp4[4.98],B11)</f>
        <v>11</v>
      </c>
      <c r="F11" s="4">
        <f t="shared" si="0"/>
        <v>18.329999999999998</v>
      </c>
      <c r="G11" s="3">
        <f t="shared" si="1"/>
        <v>34.375</v>
      </c>
    </row>
    <row r="12" spans="1:7" x14ac:dyDescent="0.25">
      <c r="B12" s="7" t="s">
        <v>196</v>
      </c>
      <c r="C12" s="4">
        <f>COUNTIFS(Resp4[Vínculo],"tecnico",Resp4[4.98],B12)</f>
        <v>0</v>
      </c>
      <c r="D12" s="4">
        <f>COUNTIFS(Resp4[Vínculo],"docente",Resp4[4.98],B12)</f>
        <v>9</v>
      </c>
      <c r="E12" s="4">
        <f>COUNTIF(Resp4[4.98],B12)</f>
        <v>9</v>
      </c>
      <c r="F12" s="22">
        <f t="shared" si="0"/>
        <v>15</v>
      </c>
      <c r="G12" s="3">
        <f t="shared" si="1"/>
        <v>28.125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20</v>
      </c>
      <c r="E28" s="19">
        <f>ROUND(D28/SUM(D$25:D$28)*100,3)</f>
        <v>62.5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5</v>
      </c>
      <c r="E10" s="4">
        <f>COUNTIF(Resp4[4.99],B10)</f>
        <v>5</v>
      </c>
      <c r="F10" s="4">
        <f t="shared" si="0"/>
        <v>8.33</v>
      </c>
      <c r="G10" s="3">
        <f t="shared" si="1"/>
        <v>15.625</v>
      </c>
    </row>
    <row r="11" spans="1:7" x14ac:dyDescent="0.25">
      <c r="B11" s="2" t="s">
        <v>195</v>
      </c>
      <c r="C11" s="4">
        <f>COUNTIFS(Resp4[Vínculo],"tecnico",Resp4[4.99],B11)</f>
        <v>0</v>
      </c>
      <c r="D11" s="4">
        <f>COUNTIFS(Resp4[Vínculo],"docente",Resp4[4.99],B11)</f>
        <v>14</v>
      </c>
      <c r="E11" s="4">
        <f>COUNTIF(Resp4[4.99],B11)</f>
        <v>14</v>
      </c>
      <c r="F11" s="4">
        <f t="shared" si="0"/>
        <v>23.33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COUNTIFS(Resp4[Vínculo],"tecnico",Resp4[4.99],B12)</f>
        <v>0</v>
      </c>
      <c r="D12" s="4">
        <f>COUNTIFS(Resp4[Vínculo],"docente",Resp4[4.99],B12)</f>
        <v>13</v>
      </c>
      <c r="E12" s="4">
        <f>COUNTIF(Resp4[4.99],B12)</f>
        <v>13</v>
      </c>
      <c r="F12" s="22">
        <f t="shared" si="0"/>
        <v>21.67</v>
      </c>
      <c r="G12" s="3">
        <f t="shared" si="1"/>
        <v>40.625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15.625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84.375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COUNTIFS(Resp4[Vínculo],"tecnico",Resp4[4.100],B7)</f>
        <v>0</v>
      </c>
      <c r="D7" s="4">
        <f>COUNTIFS(Resp4[Vínculo],"docente",Resp4[4.100],B7)</f>
        <v>2</v>
      </c>
      <c r="E7" s="4">
        <f>COUNTIF(Resp4[4.100],B7)</f>
        <v>2</v>
      </c>
      <c r="F7" s="4">
        <f t="shared" ref="F7:F13" si="0">ROUND($E7/E$13*100,2)</f>
        <v>3.33</v>
      </c>
      <c r="G7" s="3">
        <f t="shared" ref="G7:G12" si="1">ROUND($E7/SUM($E$7:$E$12)*100,3)</f>
        <v>6.25</v>
      </c>
    </row>
    <row r="8" spans="1:7" x14ac:dyDescent="0.25">
      <c r="B8" s="2" t="s">
        <v>207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COUNTIFS(Resp4[Vínculo],"tecnico",Resp4[4.100],B9)</f>
        <v>0</v>
      </c>
      <c r="D9" s="4">
        <f>COUNTIFS(Resp4[Vínculo],"docente",Resp4[4.100],B9)</f>
        <v>2</v>
      </c>
      <c r="E9" s="4">
        <f>COUNTIF(Resp4[4.100],B9)</f>
        <v>2</v>
      </c>
      <c r="F9" s="4">
        <f t="shared" si="0"/>
        <v>3.33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COUNTIFS(Resp4[Vínculo],"tecnico",Resp4[4.100],B10)</f>
        <v>0</v>
      </c>
      <c r="D10" s="4">
        <f>COUNTIFS(Resp4[Vínculo],"docente",Resp4[4.100],B10)</f>
        <v>7</v>
      </c>
      <c r="E10" s="4">
        <f>COUNTIF(Resp4[4.100],B10)</f>
        <v>7</v>
      </c>
      <c r="F10" s="4">
        <f t="shared" si="0"/>
        <v>11.67</v>
      </c>
      <c r="G10" s="3">
        <f t="shared" si="1"/>
        <v>21.875</v>
      </c>
    </row>
    <row r="11" spans="1:7" x14ac:dyDescent="0.25">
      <c r="B11" s="2" t="s">
        <v>195</v>
      </c>
      <c r="C11" s="4">
        <f>COUNTIFS(Resp4[Vínculo],"tecnico",Resp4[4.100],B11)</f>
        <v>0</v>
      </c>
      <c r="D11" s="4">
        <f>COUNTIFS(Resp4[Vínculo],"docente",Resp4[4.100],B11)</f>
        <v>11</v>
      </c>
      <c r="E11" s="4">
        <f>COUNTIF(Resp4[4.100],B11)</f>
        <v>11</v>
      </c>
      <c r="F11" s="4">
        <f t="shared" si="0"/>
        <v>18.329999999999998</v>
      </c>
      <c r="G11" s="3">
        <f t="shared" si="1"/>
        <v>34.375</v>
      </c>
    </row>
    <row r="12" spans="1:7" x14ac:dyDescent="0.25">
      <c r="B12" s="7" t="s">
        <v>196</v>
      </c>
      <c r="C12" s="4">
        <f>COUNTIFS(Resp4[Vínculo],"tecnico",Resp4[4.100],B12)</f>
        <v>0</v>
      </c>
      <c r="D12" s="4">
        <f>COUNTIFS(Resp4[Vínculo],"docente",Resp4[4.100],B12)</f>
        <v>10</v>
      </c>
      <c r="E12" s="4">
        <f>COUNTIF(Resp4[4.100],B12)</f>
        <v>10</v>
      </c>
      <c r="F12" s="22">
        <f t="shared" si="0"/>
        <v>16.670000000000002</v>
      </c>
      <c r="G12" s="3">
        <f t="shared" si="1"/>
        <v>31.25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6.25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21.875</v>
      </c>
    </row>
    <row r="28" spans="2:7" x14ac:dyDescent="0.25">
      <c r="B28" s="32" t="s">
        <v>33</v>
      </c>
      <c r="C28" s="32" t="s">
        <v>32</v>
      </c>
      <c r="D28" s="18">
        <f>SUM(D11:D12)</f>
        <v>21</v>
      </c>
      <c r="E28" s="19">
        <f>ROUND(D28/SUM(D$25:D$28)*100,3)</f>
        <v>65.625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COUNTIFS(Resp4[Vínculo],"tecnico",Resp4[4.101],B9)</f>
        <v>0</v>
      </c>
      <c r="D9" s="4">
        <f>COUNTIFS(Resp4[Vínculo],"docente",Resp4[4.101],B9)</f>
        <v>2</v>
      </c>
      <c r="E9" s="4">
        <f>COUNTIF(Resp4[4.101],B9)</f>
        <v>2</v>
      </c>
      <c r="F9" s="4">
        <f t="shared" si="0"/>
        <v>3.33</v>
      </c>
      <c r="G9" s="3">
        <f t="shared" si="1"/>
        <v>6.25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3</v>
      </c>
      <c r="E10" s="4">
        <f>COUNTIF(Resp4[4.101],B10)</f>
        <v>3</v>
      </c>
      <c r="F10" s="4">
        <f t="shared" si="0"/>
        <v>5</v>
      </c>
      <c r="G10" s="3">
        <f t="shared" si="1"/>
        <v>9.375</v>
      </c>
    </row>
    <row r="11" spans="1:7" x14ac:dyDescent="0.25">
      <c r="B11" s="2" t="s">
        <v>195</v>
      </c>
      <c r="C11" s="4">
        <f>COUNTIFS(Resp4[Vínculo],"tecnico",Resp4[4.101],B11)</f>
        <v>0</v>
      </c>
      <c r="D11" s="4">
        <f>COUNTIFS(Resp4[Vínculo],"docente",Resp4[4.101],B11)</f>
        <v>16</v>
      </c>
      <c r="E11" s="4">
        <f>COUNTIF(Resp4[4.101],B11)</f>
        <v>16</v>
      </c>
      <c r="F11" s="4">
        <f t="shared" si="0"/>
        <v>26.67</v>
      </c>
      <c r="G11" s="3">
        <f t="shared" si="1"/>
        <v>50</v>
      </c>
    </row>
    <row r="12" spans="1:7" x14ac:dyDescent="0.25">
      <c r="B12" s="7" t="s">
        <v>196</v>
      </c>
      <c r="C12" s="4">
        <f>COUNTIFS(Resp4[Vínculo],"tecnico",Resp4[4.101],B12)</f>
        <v>0</v>
      </c>
      <c r="D12" s="4">
        <f>COUNTIFS(Resp4[Vínculo],"docente",Resp4[4.101],B12)</f>
        <v>11</v>
      </c>
      <c r="E12" s="4">
        <f>COUNTIF(Resp4[4.101],B12)</f>
        <v>11</v>
      </c>
      <c r="F12" s="22">
        <f t="shared" si="0"/>
        <v>18.329999999999998</v>
      </c>
      <c r="G12" s="3">
        <f t="shared" si="1"/>
        <v>34.375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6.25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9.375</v>
      </c>
    </row>
    <row r="28" spans="2:7" x14ac:dyDescent="0.25">
      <c r="B28" s="32" t="s">
        <v>33</v>
      </c>
      <c r="C28" s="32" t="s">
        <v>32</v>
      </c>
      <c r="D28" s="18">
        <f>SUM(D11:D12)</f>
        <v>27</v>
      </c>
      <c r="E28" s="19">
        <f>ROUND(D28/SUM(D$25:D$28)*100,3)</f>
        <v>84.375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28</v>
      </c>
      <c r="E6" s="4">
        <f>E13-SUM(E7:E12)</f>
        <v>28</v>
      </c>
      <c r="F6" s="4">
        <f>ROUND($E6/E$13*100,2)</f>
        <v>46.67</v>
      </c>
    </row>
    <row r="7" spans="1:7" x14ac:dyDescent="0.25">
      <c r="B7" s="2" t="s">
        <v>201</v>
      </c>
      <c r="C7" s="4">
        <f>COUNTIFS(Resp4[Vínculo],"tecnico",Resp4[4.102],B7)</f>
        <v>0</v>
      </c>
      <c r="D7" s="4">
        <f>COUNTIFS(Resp4[Vínculo],"docente",Resp4[4.102],B7)</f>
        <v>0</v>
      </c>
      <c r="E7" s="4">
        <f>COUNTIF(Resp4[4.102],B7)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204</v>
      </c>
      <c r="C9" s="4">
        <f>COUNTIFS(Resp4[Vínculo],"tecnico",Resp4[4.102],B9)</f>
        <v>0</v>
      </c>
      <c r="D9" s="4">
        <f>COUNTIFS(Resp4[Vínculo],"docente",Resp4[4.102],B9)</f>
        <v>1</v>
      </c>
      <c r="E9" s="4">
        <f>COUNTIF(Resp4[4.102],B9)</f>
        <v>1</v>
      </c>
      <c r="F9" s="4">
        <f t="shared" si="0"/>
        <v>1.67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1</v>
      </c>
      <c r="E10" s="4">
        <f>COUNTIF(Resp4[4.102],B10)</f>
        <v>1</v>
      </c>
      <c r="F10" s="4">
        <f t="shared" si="0"/>
        <v>1.67</v>
      </c>
      <c r="G10" s="3">
        <f t="shared" si="1"/>
        <v>3.125</v>
      </c>
    </row>
    <row r="11" spans="1:7" x14ac:dyDescent="0.25">
      <c r="B11" s="2" t="s">
        <v>195</v>
      </c>
      <c r="C11" s="4">
        <f>COUNTIFS(Resp4[Vínculo],"tecnico",Resp4[4.102],B11)</f>
        <v>0</v>
      </c>
      <c r="D11" s="4">
        <f>COUNTIFS(Resp4[Vínculo],"docente",Resp4[4.102],B11)</f>
        <v>14</v>
      </c>
      <c r="E11" s="4">
        <f>COUNTIF(Resp4[4.102],B11)</f>
        <v>14</v>
      </c>
      <c r="F11" s="4">
        <f t="shared" si="0"/>
        <v>23.33</v>
      </c>
      <c r="G11" s="3">
        <f t="shared" si="1"/>
        <v>43.75</v>
      </c>
    </row>
    <row r="12" spans="1:7" x14ac:dyDescent="0.25">
      <c r="B12" s="7" t="s">
        <v>196</v>
      </c>
      <c r="C12" s="4">
        <f>COUNTIFS(Resp4[Vínculo],"tecnico",Resp4[4.102],B12)</f>
        <v>0</v>
      </c>
      <c r="D12" s="4">
        <f>COUNTIFS(Resp4[Vínculo],"docente",Resp4[4.102],B12)</f>
        <v>16</v>
      </c>
      <c r="E12" s="4">
        <f>COUNTIF(Resp4[4.102],B12)</f>
        <v>16</v>
      </c>
      <c r="F12" s="22">
        <f t="shared" si="0"/>
        <v>26.67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0</v>
      </c>
      <c r="D13" s="8">
        <f>SUM(D6:D12)</f>
        <v>60</v>
      </c>
      <c r="E13" s="8">
        <f>SUM(C13:D13)</f>
        <v>60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3.125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3.125</v>
      </c>
    </row>
    <row r="28" spans="2:7" x14ac:dyDescent="0.25">
      <c r="B28" s="32" t="s">
        <v>33</v>
      </c>
      <c r="C28" s="32" t="s">
        <v>32</v>
      </c>
      <c r="D28" s="18">
        <f>SUM(D11:D12)</f>
        <v>30</v>
      </c>
      <c r="E28" s="19">
        <f>ROUND(D28/SUM(D$25:D$28)*100,3)</f>
        <v>93.75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2021-12-27T20:21:53Z</dcterms:created>
  <dcterms:modified xsi:type="dcterms:W3CDTF">2022-12-12T21:53:19Z</dcterms:modified>
  <cp:category/>
  <cp:contentStatus/>
</cp:coreProperties>
</file>