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drawings/drawing20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1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2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3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4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5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7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8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9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0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31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32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4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35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36.xml" ContentType="application/vnd.openxmlformats-officedocument.drawing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37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38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39.xml" ContentType="application/vnd.openxmlformats-officedocument.drawing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40.xml" ContentType="application/vnd.openxmlformats-officedocument.drawing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41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42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drawings/drawing43.xml" ContentType="application/vnd.openxmlformats-officedocument.drawing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44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drawings/drawing45.xml" ContentType="application/vnd.openxmlformats-officedocument.drawing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drawings/drawing46.xml" ContentType="application/vnd.openxmlformats-officedocument.drawing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47.xml" ContentType="application/vnd.openxmlformats-officedocument.drawing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drawings/drawing48.xml" ContentType="application/vnd.openxmlformats-officedocument.drawing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drawings/drawing49.xml" ContentType="application/vnd.openxmlformats-officedocument.drawing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drawings/drawing50.xml" ContentType="application/vnd.openxmlformats-officedocument.drawing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drawings/drawing51.xml" ContentType="application/vnd.openxmlformats-officedocument.drawing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drawings/drawing52.xml" ContentType="application/vnd.openxmlformats-officedocument.drawing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53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drawings/drawing54.xml" ContentType="application/vnd.openxmlformats-officedocument.drawing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drawings/drawing55.xml" ContentType="application/vnd.openxmlformats-officedocument.drawing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drawings/drawing56.xml" ContentType="application/vnd.openxmlformats-officedocument.drawing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drawings/drawing57.xml" ContentType="application/vnd.openxmlformats-officedocument.drawing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drawings/drawing58.xml" ContentType="application/vnd.openxmlformats-officedocument.drawing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fprbr0-my.sharepoint.com/personal/seai_ufpr_br/Documents/Resultados Pesquisas 2021/IC-IT-PÓS/CORRIGIDAS PG/PROGRAMAS/"/>
    </mc:Choice>
  </mc:AlternateContent>
  <xr:revisionPtr revIDLastSave="4" documentId="8_{8ECB5A52-FBA3-45A4-9585-73CB80A85895}" xr6:coauthVersionLast="47" xr6:coauthVersionMax="47" xr10:uidLastSave="{5BAC0D94-42BC-479F-A998-4ACCA66893D0}"/>
  <bookViews>
    <workbookView xWindow="24810" yWindow="270" windowWidth="23595" windowHeight="13890" tabRatio="984" activeTab="1" xr2:uid="{00000000-000D-0000-FFFF-FFFF00000000}"/>
  </bookViews>
  <sheets>
    <sheet name="OrientaçõesInformações" sheetId="64" r:id="rId1"/>
    <sheet name="Pós-Graduação" sheetId="1" r:id="rId2"/>
    <sheet name="TítuloQuestões" sheetId="2" r:id="rId3"/>
    <sheet name="Q01" sheetId="5" r:id="rId4"/>
    <sheet name="Q02" sheetId="6" r:id="rId5"/>
    <sheet name="Q03" sheetId="7" r:id="rId6"/>
    <sheet name="Q04" sheetId="8" r:id="rId7"/>
    <sheet name="Q06" sheetId="9" r:id="rId8"/>
    <sheet name="Q07" sheetId="10" r:id="rId9"/>
    <sheet name="Q08" sheetId="11" r:id="rId10"/>
    <sheet name="Q09" sheetId="12" r:id="rId11"/>
    <sheet name="Q10" sheetId="13" r:id="rId12"/>
    <sheet name="Q11" sheetId="14" r:id="rId13"/>
    <sheet name="Q12" sheetId="15" r:id="rId14"/>
    <sheet name="Q13" sheetId="16" r:id="rId15"/>
    <sheet name="Q14" sheetId="17" r:id="rId16"/>
    <sheet name="Q15" sheetId="18" r:id="rId17"/>
    <sheet name="Q16" sheetId="19" r:id="rId18"/>
    <sheet name="Q17" sheetId="20" r:id="rId19"/>
    <sheet name="Q18" sheetId="21" r:id="rId20"/>
    <sheet name="Q19" sheetId="22" r:id="rId21"/>
    <sheet name="Q20" sheetId="24" r:id="rId22"/>
    <sheet name="Q21" sheetId="25" r:id="rId23"/>
    <sheet name="Q22" sheetId="26" r:id="rId24"/>
    <sheet name="Q23" sheetId="27" r:id="rId25"/>
    <sheet name="Q24" sheetId="28" r:id="rId26"/>
    <sheet name="Q25" sheetId="29" r:id="rId27"/>
    <sheet name="Q26" sheetId="30" r:id="rId28"/>
    <sheet name="Q27" sheetId="31" r:id="rId29"/>
    <sheet name="Q28" sheetId="32" r:id="rId30"/>
    <sheet name="Q29" sheetId="33" r:id="rId31"/>
    <sheet name="Q30" sheetId="34" r:id="rId32"/>
    <sheet name="Q31" sheetId="35" r:id="rId33"/>
    <sheet name="Q32" sheetId="36" r:id="rId34"/>
    <sheet name="Q33" sheetId="37" r:id="rId35"/>
    <sheet name="Q34" sheetId="38" r:id="rId36"/>
    <sheet name="Q35" sheetId="39" r:id="rId37"/>
    <sheet name="Q36" sheetId="40" r:id="rId38"/>
    <sheet name="Q37" sheetId="41" r:id="rId39"/>
    <sheet name="Q38" sheetId="42" r:id="rId40"/>
    <sheet name="Q39" sheetId="43" r:id="rId41"/>
    <sheet name="Q40" sheetId="44" r:id="rId42"/>
    <sheet name="Q41" sheetId="45" r:id="rId43"/>
    <sheet name="Q42" sheetId="46" r:id="rId44"/>
    <sheet name="Q43" sheetId="47" r:id="rId45"/>
    <sheet name="Q44" sheetId="48" r:id="rId46"/>
    <sheet name="Q45" sheetId="49" r:id="rId47"/>
    <sheet name="Q46" sheetId="50" r:id="rId48"/>
    <sheet name="Q47" sheetId="51" r:id="rId49"/>
    <sheet name="Q48" sheetId="52" r:id="rId50"/>
    <sheet name="Q49" sheetId="53" r:id="rId51"/>
    <sheet name="Q50" sheetId="54" r:id="rId52"/>
    <sheet name="Q51" sheetId="55" r:id="rId53"/>
    <sheet name="Q52" sheetId="56" r:id="rId54"/>
    <sheet name="Q54" sheetId="57" r:id="rId55"/>
    <sheet name="Q55" sheetId="58" r:id="rId56"/>
    <sheet name="Q56" sheetId="59" r:id="rId57"/>
    <sheet name="Q57" sheetId="60" r:id="rId58"/>
    <sheet name="Q58" sheetId="61" r:id="rId59"/>
    <sheet name="Q59" sheetId="62" r:id="rId60"/>
    <sheet name="Q60" sheetId="63" r:id="rId6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63" l="1"/>
  <c r="C8" i="63"/>
  <c r="C9" i="63"/>
  <c r="C10" i="63"/>
  <c r="C11" i="63"/>
  <c r="C12" i="63"/>
  <c r="C12" i="57"/>
  <c r="C7" i="57"/>
  <c r="C8" i="57"/>
  <c r="D20" i="57" s="1"/>
  <c r="C9" i="57"/>
  <c r="C10" i="57"/>
  <c r="C11" i="57"/>
  <c r="C6" i="57"/>
  <c r="C6" i="8"/>
  <c r="C6" i="34"/>
  <c r="C12" i="52"/>
  <c r="C6" i="47"/>
  <c r="C12" i="47"/>
  <c r="C6" i="46"/>
  <c r="C11" i="32"/>
  <c r="C12" i="32"/>
  <c r="C12" i="30"/>
  <c r="C7" i="18"/>
  <c r="C8" i="18"/>
  <c r="C9" i="18"/>
  <c r="C10" i="18"/>
  <c r="C11" i="18"/>
  <c r="C12" i="18"/>
  <c r="C6" i="18"/>
  <c r="C7" i="14"/>
  <c r="C8" i="14"/>
  <c r="C9" i="14"/>
  <c r="C10" i="14"/>
  <c r="C11" i="14"/>
  <c r="C12" i="14"/>
  <c r="C7" i="20"/>
  <c r="C7" i="62"/>
  <c r="C8" i="62"/>
  <c r="C9" i="62"/>
  <c r="C10" i="62"/>
  <c r="C11" i="62"/>
  <c r="C12" i="62"/>
  <c r="C6" i="60"/>
  <c r="C7" i="59"/>
  <c r="C8" i="59"/>
  <c r="D20" i="59" s="1"/>
  <c r="C9" i="59"/>
  <c r="C10" i="59"/>
  <c r="C11" i="59"/>
  <c r="C12" i="59"/>
  <c r="C6" i="59"/>
  <c r="C6" i="58"/>
  <c r="C7" i="58"/>
  <c r="C8" i="58"/>
  <c r="D20" i="58" s="1"/>
  <c r="C9" i="58"/>
  <c r="C10" i="58"/>
  <c r="C11" i="58"/>
  <c r="C12" i="58"/>
  <c r="D21" i="57" l="1"/>
  <c r="D22" i="57"/>
  <c r="D21" i="58"/>
  <c r="D22" i="58"/>
  <c r="D19" i="58"/>
  <c r="D21" i="59"/>
  <c r="D22" i="59"/>
  <c r="D19" i="59"/>
  <c r="D21" i="62"/>
  <c r="D21" i="32"/>
  <c r="E10" i="58"/>
  <c r="C13" i="57"/>
  <c r="D7" i="57" s="1"/>
  <c r="E11" i="58"/>
  <c r="E9" i="59"/>
  <c r="E10" i="59"/>
  <c r="E11" i="59"/>
  <c r="E7" i="59"/>
  <c r="E12" i="59"/>
  <c r="C13" i="59"/>
  <c r="D6" i="59" s="1"/>
  <c r="E6" i="59"/>
  <c r="E8" i="59"/>
  <c r="E9" i="58"/>
  <c r="E7" i="58"/>
  <c r="E12" i="58"/>
  <c r="C13" i="58"/>
  <c r="D12" i="58" s="1"/>
  <c r="E6" i="58"/>
  <c r="E8" i="58"/>
  <c r="E22" i="58" l="1"/>
  <c r="E21" i="58"/>
  <c r="E19" i="58"/>
  <c r="E20" i="58"/>
  <c r="D10" i="57"/>
  <c r="D9" i="57"/>
  <c r="D12" i="57"/>
  <c r="D8" i="57"/>
  <c r="D11" i="57"/>
  <c r="E13" i="58"/>
  <c r="D6" i="57"/>
  <c r="D12" i="59"/>
  <c r="D10" i="59"/>
  <c r="D8" i="59"/>
  <c r="E13" i="59"/>
  <c r="D7" i="59"/>
  <c r="D9" i="59"/>
  <c r="D11" i="59"/>
  <c r="D6" i="58"/>
  <c r="D7" i="58"/>
  <c r="D9" i="58"/>
  <c r="D11" i="58"/>
  <c r="D10" i="58"/>
  <c r="D8" i="58"/>
  <c r="C7" i="45"/>
  <c r="C8" i="45"/>
  <c r="D20" i="45" s="1"/>
  <c r="C9" i="45"/>
  <c r="C10" i="45"/>
  <c r="C11" i="45"/>
  <c r="C12" i="45"/>
  <c r="C7" i="46"/>
  <c r="D20" i="46" s="1"/>
  <c r="C8" i="46"/>
  <c r="D21" i="46" s="1"/>
  <c r="C9" i="46"/>
  <c r="C10" i="46"/>
  <c r="C11" i="46"/>
  <c r="C12" i="46"/>
  <c r="C7" i="44"/>
  <c r="C8" i="44"/>
  <c r="C9" i="44"/>
  <c r="C10" i="44"/>
  <c r="C11" i="44"/>
  <c r="C12" i="44"/>
  <c r="C6" i="44"/>
  <c r="C7" i="43"/>
  <c r="C8" i="43"/>
  <c r="D20" i="43" s="1"/>
  <c r="C9" i="43"/>
  <c r="C10" i="43"/>
  <c r="C11" i="43"/>
  <c r="C12" i="43"/>
  <c r="C6" i="43"/>
  <c r="C7" i="42"/>
  <c r="C8" i="42"/>
  <c r="D21" i="42" s="1"/>
  <c r="C9" i="42"/>
  <c r="C10" i="42"/>
  <c r="C11" i="42"/>
  <c r="C12" i="42"/>
  <c r="C6" i="42"/>
  <c r="C7" i="41"/>
  <c r="C8" i="41"/>
  <c r="C9" i="41"/>
  <c r="C10" i="41"/>
  <c r="C11" i="41"/>
  <c r="C12" i="41"/>
  <c r="C6" i="41"/>
  <c r="C7" i="40"/>
  <c r="C8" i="40"/>
  <c r="C9" i="40"/>
  <c r="C10" i="40"/>
  <c r="C11" i="40"/>
  <c r="C12" i="40"/>
  <c r="C6" i="40"/>
  <c r="C7" i="39"/>
  <c r="C8" i="39"/>
  <c r="C9" i="39"/>
  <c r="C10" i="39"/>
  <c r="C11" i="39"/>
  <c r="C12" i="39"/>
  <c r="C6" i="39"/>
  <c r="C7" i="38"/>
  <c r="C8" i="38"/>
  <c r="C9" i="38"/>
  <c r="C10" i="38"/>
  <c r="C11" i="38"/>
  <c r="C12" i="38"/>
  <c r="C6" i="38"/>
  <c r="C7" i="37"/>
  <c r="C8" i="37"/>
  <c r="D20" i="37" s="1"/>
  <c r="C9" i="37"/>
  <c r="C10" i="37"/>
  <c r="C11" i="37"/>
  <c r="C12" i="37"/>
  <c r="D19" i="40" l="1"/>
  <c r="D20" i="42"/>
  <c r="D19" i="41"/>
  <c r="D22" i="37"/>
  <c r="D21" i="39"/>
  <c r="D21" i="41"/>
  <c r="D22" i="41"/>
  <c r="D23" i="42"/>
  <c r="D22" i="43"/>
  <c r="D23" i="46"/>
  <c r="D21" i="45"/>
  <c r="D22" i="42"/>
  <c r="D22" i="44"/>
  <c r="D22" i="46"/>
  <c r="D19" i="43"/>
  <c r="D21" i="40"/>
  <c r="D13" i="57"/>
  <c r="C13" i="38"/>
  <c r="D13" i="59"/>
  <c r="D13" i="58"/>
  <c r="E9" i="46"/>
  <c r="E10" i="46"/>
  <c r="E7" i="46"/>
  <c r="E11" i="46"/>
  <c r="E6" i="46"/>
  <c r="E12" i="46"/>
  <c r="E8" i="46"/>
  <c r="C13" i="46"/>
  <c r="D9" i="46" s="1"/>
  <c r="E6" i="44"/>
  <c r="E9" i="44"/>
  <c r="E11" i="44"/>
  <c r="E10" i="44"/>
  <c r="E12" i="44"/>
  <c r="E7" i="44"/>
  <c r="C13" i="44"/>
  <c r="D11" i="44" s="1"/>
  <c r="E8" i="44"/>
  <c r="C13" i="41"/>
  <c r="E6" i="43"/>
  <c r="E9" i="43"/>
  <c r="E11" i="43"/>
  <c r="E10" i="43"/>
  <c r="E7" i="43"/>
  <c r="E8" i="43"/>
  <c r="E12" i="43"/>
  <c r="C13" i="43"/>
  <c r="D12" i="43" s="1"/>
  <c r="E9" i="42"/>
  <c r="E10" i="42"/>
  <c r="E11" i="42"/>
  <c r="E12" i="42"/>
  <c r="E7" i="42"/>
  <c r="C13" i="42"/>
  <c r="D8" i="42" s="1"/>
  <c r="E8" i="42"/>
  <c r="E6" i="42"/>
  <c r="E8" i="41"/>
  <c r="E12" i="41"/>
  <c r="E9" i="41"/>
  <c r="E6" i="41"/>
  <c r="E7" i="41"/>
  <c r="E11" i="41"/>
  <c r="E10" i="41"/>
  <c r="E9" i="40"/>
  <c r="E10" i="40"/>
  <c r="E7" i="40"/>
  <c r="E11" i="40"/>
  <c r="E12" i="40"/>
  <c r="C13" i="40"/>
  <c r="E8" i="40"/>
  <c r="E6" i="40"/>
  <c r="E9" i="39"/>
  <c r="E10" i="39"/>
  <c r="E7" i="39"/>
  <c r="E11" i="39"/>
  <c r="E12" i="39"/>
  <c r="C13" i="39"/>
  <c r="E8" i="39"/>
  <c r="E6" i="39"/>
  <c r="E9" i="38"/>
  <c r="E11" i="38"/>
  <c r="E7" i="38"/>
  <c r="E8" i="38"/>
  <c r="E12" i="38"/>
  <c r="D7" i="38"/>
  <c r="E6" i="38"/>
  <c r="E10" i="38"/>
  <c r="D6" i="42" l="1"/>
  <c r="D9" i="43"/>
  <c r="D12" i="46"/>
  <c r="D10" i="46"/>
  <c r="D8" i="46"/>
  <c r="D6" i="46"/>
  <c r="D11" i="46"/>
  <c r="D7" i="46"/>
  <c r="E13" i="46"/>
  <c r="E13" i="44"/>
  <c r="D8" i="44"/>
  <c r="D6" i="44"/>
  <c r="D10" i="44"/>
  <c r="D7" i="44"/>
  <c r="D9" i="44"/>
  <c r="D12" i="44"/>
  <c r="E13" i="43"/>
  <c r="D6" i="43"/>
  <c r="D8" i="43"/>
  <c r="D11" i="43"/>
  <c r="D10" i="43"/>
  <c r="D7" i="43"/>
  <c r="D7" i="42"/>
  <c r="E13" i="42"/>
  <c r="D9" i="42"/>
  <c r="D11" i="42"/>
  <c r="D10" i="42"/>
  <c r="D12" i="42"/>
  <c r="E13" i="40"/>
  <c r="D7" i="40"/>
  <c r="D9" i="40"/>
  <c r="D11" i="40"/>
  <c r="D12" i="40"/>
  <c r="D10" i="40"/>
  <c r="D8" i="40"/>
  <c r="D6" i="40"/>
  <c r="E13" i="39"/>
  <c r="D9" i="39"/>
  <c r="D7" i="39"/>
  <c r="D11" i="39"/>
  <c r="D12" i="39"/>
  <c r="D10" i="39"/>
  <c r="D8" i="39"/>
  <c r="D6" i="39"/>
  <c r="D11" i="38"/>
  <c r="E13" i="38"/>
  <c r="D8" i="38"/>
  <c r="D6" i="38"/>
  <c r="D9" i="38"/>
  <c r="D12" i="38"/>
  <c r="D10" i="38"/>
  <c r="D13" i="46" l="1"/>
  <c r="D13" i="44"/>
  <c r="D13" i="43"/>
  <c r="D13" i="42"/>
  <c r="D13" i="40"/>
  <c r="D13" i="39"/>
  <c r="D13" i="38"/>
  <c r="C6" i="37" l="1"/>
  <c r="C7" i="36"/>
  <c r="C8" i="36"/>
  <c r="C9" i="36"/>
  <c r="C10" i="36"/>
  <c r="C11" i="36"/>
  <c r="C12" i="36"/>
  <c r="C6" i="36"/>
  <c r="C7" i="35"/>
  <c r="C8" i="35"/>
  <c r="C9" i="35"/>
  <c r="C10" i="35"/>
  <c r="C11" i="35"/>
  <c r="C12" i="35"/>
  <c r="C6" i="35"/>
  <c r="C7" i="34"/>
  <c r="C8" i="34"/>
  <c r="C9" i="34"/>
  <c r="C10" i="34"/>
  <c r="C11" i="34"/>
  <c r="C12" i="34"/>
  <c r="C7" i="33"/>
  <c r="C8" i="33"/>
  <c r="C9" i="33"/>
  <c r="C10" i="33"/>
  <c r="C11" i="33"/>
  <c r="C12" i="33"/>
  <c r="C6" i="33"/>
  <c r="C7" i="32"/>
  <c r="C8" i="32"/>
  <c r="C9" i="32"/>
  <c r="C10" i="32"/>
  <c r="C6" i="32"/>
  <c r="D19" i="32" s="1"/>
  <c r="C7" i="31"/>
  <c r="C8" i="31"/>
  <c r="C9" i="31"/>
  <c r="C10" i="31"/>
  <c r="C11" i="31"/>
  <c r="C12" i="31"/>
  <c r="C6" i="31"/>
  <c r="C7" i="30"/>
  <c r="C8" i="30"/>
  <c r="D20" i="30" s="1"/>
  <c r="C9" i="30"/>
  <c r="C10" i="30"/>
  <c r="C11" i="30"/>
  <c r="C6" i="30"/>
  <c r="C7" i="29"/>
  <c r="C8" i="29"/>
  <c r="C9" i="29"/>
  <c r="C10" i="29"/>
  <c r="C11" i="29"/>
  <c r="C12" i="29"/>
  <c r="C6" i="29"/>
  <c r="C12" i="28"/>
  <c r="C7" i="28"/>
  <c r="C8" i="28"/>
  <c r="C9" i="28"/>
  <c r="C10" i="28"/>
  <c r="C11" i="28"/>
  <c r="C6" i="28"/>
  <c r="C7" i="27"/>
  <c r="C8" i="27"/>
  <c r="C9" i="27"/>
  <c r="C10" i="27"/>
  <c r="C11" i="27"/>
  <c r="C12" i="27"/>
  <c r="C6" i="27"/>
  <c r="C7" i="26"/>
  <c r="C8" i="26"/>
  <c r="C9" i="26"/>
  <c r="C10" i="26"/>
  <c r="C11" i="26"/>
  <c r="C12" i="26"/>
  <c r="C6" i="26"/>
  <c r="C7" i="25"/>
  <c r="C8" i="25"/>
  <c r="D20" i="25" s="1"/>
  <c r="C9" i="25"/>
  <c r="C10" i="25"/>
  <c r="C11" i="25"/>
  <c r="C12" i="25"/>
  <c r="C6" i="25"/>
  <c r="C7" i="22"/>
  <c r="C8" i="22"/>
  <c r="C9" i="22"/>
  <c r="C10" i="22"/>
  <c r="C11" i="22"/>
  <c r="C12" i="22"/>
  <c r="C6" i="22"/>
  <c r="C7" i="21"/>
  <c r="C8" i="21"/>
  <c r="C9" i="21"/>
  <c r="C10" i="21"/>
  <c r="C11" i="21"/>
  <c r="C12" i="21"/>
  <c r="C6" i="21"/>
  <c r="C7" i="11"/>
  <c r="C8" i="11"/>
  <c r="D20" i="11" s="1"/>
  <c r="C9" i="11"/>
  <c r="C10" i="11"/>
  <c r="C11" i="11"/>
  <c r="C12" i="11"/>
  <c r="C6" i="11"/>
  <c r="C7" i="13"/>
  <c r="C8" i="13"/>
  <c r="C9" i="13"/>
  <c r="C10" i="13"/>
  <c r="C11" i="13"/>
  <c r="C12" i="13"/>
  <c r="D20" i="63"/>
  <c r="C6" i="63"/>
  <c r="C13" i="63" s="1"/>
  <c r="A2" i="63"/>
  <c r="C6" i="62"/>
  <c r="A2" i="62"/>
  <c r="C7" i="61"/>
  <c r="C8" i="61"/>
  <c r="C9" i="61"/>
  <c r="C10" i="61"/>
  <c r="C11" i="61"/>
  <c r="C12" i="61"/>
  <c r="C6" i="61"/>
  <c r="A2" i="61"/>
  <c r="C8" i="60"/>
  <c r="C9" i="60"/>
  <c r="C10" i="60"/>
  <c r="C11" i="60"/>
  <c r="C12" i="60"/>
  <c r="C13" i="60"/>
  <c r="C7" i="60"/>
  <c r="A2" i="60"/>
  <c r="A2" i="59"/>
  <c r="A2" i="58"/>
  <c r="A2" i="57"/>
  <c r="C7" i="56"/>
  <c r="C8" i="56"/>
  <c r="C9" i="56"/>
  <c r="C10" i="56"/>
  <c r="C11" i="56"/>
  <c r="C12" i="56"/>
  <c r="C6" i="56"/>
  <c r="A2" i="56"/>
  <c r="C7" i="55"/>
  <c r="C8" i="55"/>
  <c r="D20" i="55" s="1"/>
  <c r="C9" i="55"/>
  <c r="C10" i="55"/>
  <c r="C11" i="55"/>
  <c r="C12" i="55"/>
  <c r="C6" i="55"/>
  <c r="A2" i="55"/>
  <c r="C7" i="54"/>
  <c r="C8" i="54"/>
  <c r="C9" i="54"/>
  <c r="C10" i="54"/>
  <c r="C11" i="54"/>
  <c r="C12" i="54"/>
  <c r="C6" i="54"/>
  <c r="A2" i="54"/>
  <c r="C7" i="53"/>
  <c r="C8" i="53"/>
  <c r="C9" i="53"/>
  <c r="C10" i="53"/>
  <c r="C11" i="53"/>
  <c r="C12" i="53"/>
  <c r="C6" i="53"/>
  <c r="A2" i="53"/>
  <c r="C7" i="52"/>
  <c r="C8" i="52"/>
  <c r="C9" i="52"/>
  <c r="C10" i="52"/>
  <c r="C11" i="52"/>
  <c r="D21" i="52" s="1"/>
  <c r="C6" i="52"/>
  <c r="A2" i="52"/>
  <c r="C7" i="51"/>
  <c r="C8" i="51"/>
  <c r="C9" i="51"/>
  <c r="C10" i="51"/>
  <c r="C11" i="51"/>
  <c r="C12" i="51"/>
  <c r="C6" i="51"/>
  <c r="A2" i="51"/>
  <c r="C7" i="50"/>
  <c r="C8" i="50"/>
  <c r="C9" i="50"/>
  <c r="C10" i="50"/>
  <c r="C11" i="50"/>
  <c r="C12" i="50"/>
  <c r="C6" i="50"/>
  <c r="A2" i="50"/>
  <c r="C7" i="49"/>
  <c r="C8" i="49"/>
  <c r="C9" i="49"/>
  <c r="C10" i="49"/>
  <c r="C11" i="49"/>
  <c r="C12" i="49"/>
  <c r="C6" i="49"/>
  <c r="A2" i="49"/>
  <c r="C7" i="48"/>
  <c r="C8" i="48"/>
  <c r="D20" i="48" s="1"/>
  <c r="C9" i="48"/>
  <c r="C10" i="48"/>
  <c r="C11" i="48"/>
  <c r="C12" i="48"/>
  <c r="C6" i="48"/>
  <c r="A2" i="48"/>
  <c r="C7" i="47"/>
  <c r="D19" i="47" s="1"/>
  <c r="C8" i="47"/>
  <c r="C9" i="47"/>
  <c r="C10" i="47"/>
  <c r="C11" i="47"/>
  <c r="D21" i="47" s="1"/>
  <c r="A2" i="47"/>
  <c r="A2" i="46"/>
  <c r="C6" i="45"/>
  <c r="A2" i="45"/>
  <c r="A2" i="44"/>
  <c r="A2" i="43"/>
  <c r="A2" i="42"/>
  <c r="A2" i="41"/>
  <c r="A2" i="40"/>
  <c r="A2" i="39"/>
  <c r="A2" i="38"/>
  <c r="A2" i="37"/>
  <c r="A2" i="36"/>
  <c r="A2" i="35"/>
  <c r="A2" i="34"/>
  <c r="A2" i="33"/>
  <c r="A2" i="32"/>
  <c r="A2" i="31"/>
  <c r="A2" i="30"/>
  <c r="A2" i="29"/>
  <c r="A2" i="28"/>
  <c r="A2" i="27"/>
  <c r="A2" i="26"/>
  <c r="A2" i="25"/>
  <c r="C7" i="24"/>
  <c r="C6" i="24"/>
  <c r="A2" i="24"/>
  <c r="A2" i="22"/>
  <c r="A2" i="21"/>
  <c r="C8" i="20"/>
  <c r="C9" i="20"/>
  <c r="C10" i="20"/>
  <c r="C11" i="20"/>
  <c r="C12" i="20"/>
  <c r="C6" i="20"/>
  <c r="A2" i="20"/>
  <c r="C7" i="19"/>
  <c r="C8" i="19"/>
  <c r="C9" i="19"/>
  <c r="C10" i="19"/>
  <c r="C11" i="19"/>
  <c r="C12" i="19"/>
  <c r="C6" i="19"/>
  <c r="A2" i="19"/>
  <c r="D20" i="18"/>
  <c r="A2" i="18"/>
  <c r="C7" i="17"/>
  <c r="C8" i="17"/>
  <c r="D20" i="17" s="1"/>
  <c r="C9" i="17"/>
  <c r="C10" i="17"/>
  <c r="C11" i="17"/>
  <c r="C12" i="17"/>
  <c r="C6" i="17"/>
  <c r="A2" i="17"/>
  <c r="C7" i="16"/>
  <c r="C8" i="16"/>
  <c r="C9" i="16"/>
  <c r="C10" i="16"/>
  <c r="C11" i="16"/>
  <c r="C12" i="16"/>
  <c r="C6" i="16"/>
  <c r="A2" i="16"/>
  <c r="C7" i="15"/>
  <c r="C8" i="15"/>
  <c r="C9" i="15"/>
  <c r="C10" i="15"/>
  <c r="C11" i="15"/>
  <c r="C12" i="15"/>
  <c r="C6" i="15"/>
  <c r="A2" i="15"/>
  <c r="C6" i="14"/>
  <c r="A2" i="14"/>
  <c r="C6" i="13"/>
  <c r="A2" i="13"/>
  <c r="C7" i="12"/>
  <c r="C8" i="12"/>
  <c r="D20" i="12" s="1"/>
  <c r="C9" i="12"/>
  <c r="C10" i="12"/>
  <c r="C11" i="12"/>
  <c r="C12" i="12"/>
  <c r="C6" i="12"/>
  <c r="A2" i="12"/>
  <c r="A2" i="11"/>
  <c r="C7" i="10"/>
  <c r="C8" i="10"/>
  <c r="C9" i="10"/>
  <c r="C10" i="10"/>
  <c r="C11" i="10"/>
  <c r="C12" i="10"/>
  <c r="C6" i="10"/>
  <c r="A2" i="10"/>
  <c r="C12" i="9"/>
  <c r="C11" i="9"/>
  <c r="C10" i="9"/>
  <c r="C9" i="9"/>
  <c r="C8" i="9"/>
  <c r="C7" i="9"/>
  <c r="C6" i="9"/>
  <c r="A2" i="9"/>
  <c r="C7" i="8"/>
  <c r="A2" i="8"/>
  <c r="C7" i="7"/>
  <c r="C6" i="7"/>
  <c r="A2" i="7"/>
  <c r="C7" i="6"/>
  <c r="C6" i="6"/>
  <c r="A2" i="6"/>
  <c r="C7" i="5"/>
  <c r="C6" i="5"/>
  <c r="A2" i="5"/>
  <c r="D19" i="31" l="1"/>
  <c r="D19" i="61"/>
  <c r="D19" i="52"/>
  <c r="D22" i="47"/>
  <c r="D21" i="48"/>
  <c r="D22" i="48"/>
  <c r="D21" i="49"/>
  <c r="D22" i="49"/>
  <c r="D21" i="50"/>
  <c r="D22" i="50"/>
  <c r="D21" i="51"/>
  <c r="D22" i="51"/>
  <c r="D21" i="61"/>
  <c r="D22" i="61"/>
  <c r="D21" i="63"/>
  <c r="D22" i="63"/>
  <c r="D21" i="22"/>
  <c r="D21" i="31"/>
  <c r="D22" i="31"/>
  <c r="D22" i="34"/>
  <c r="D22" i="36"/>
  <c r="E6" i="34"/>
  <c r="D19" i="34"/>
  <c r="C13" i="34"/>
  <c r="D6" i="34" s="1"/>
  <c r="C13" i="19"/>
  <c r="D22" i="52"/>
  <c r="D19" i="53"/>
  <c r="D22" i="53"/>
  <c r="D19" i="55"/>
  <c r="C13" i="56"/>
  <c r="D19" i="56"/>
  <c r="D22" i="56"/>
  <c r="D22" i="35"/>
  <c r="D19" i="48"/>
  <c r="D19" i="50"/>
  <c r="D19" i="51"/>
  <c r="D19" i="63"/>
  <c r="D19" i="30"/>
  <c r="C13" i="62"/>
  <c r="D19" i="62"/>
  <c r="C13" i="17"/>
  <c r="D21" i="53"/>
  <c r="D21" i="55"/>
  <c r="D21" i="56"/>
  <c r="D19" i="37"/>
  <c r="C13" i="37"/>
  <c r="D7" i="37" s="1"/>
  <c r="C8" i="24"/>
  <c r="C8" i="5"/>
  <c r="C13" i="9"/>
  <c r="C13" i="14"/>
  <c r="C13" i="10"/>
  <c r="C13" i="32"/>
  <c r="D7" i="32" s="1"/>
  <c r="C13" i="20"/>
  <c r="C13" i="13"/>
  <c r="C13" i="27"/>
  <c r="C13" i="35"/>
  <c r="C8" i="7"/>
  <c r="C13" i="26"/>
  <c r="D8" i="26" s="1"/>
  <c r="C13" i="30"/>
  <c r="D9" i="30" s="1"/>
  <c r="C13" i="25"/>
  <c r="C13" i="33"/>
  <c r="D10" i="33" s="1"/>
  <c r="C13" i="22"/>
  <c r="C13" i="36"/>
  <c r="C8" i="8"/>
  <c r="C13" i="21"/>
  <c r="D12" i="21" s="1"/>
  <c r="C13" i="31"/>
  <c r="D12" i="31" s="1"/>
  <c r="C13" i="15"/>
  <c r="C13" i="16"/>
  <c r="C13" i="18"/>
  <c r="C13" i="11"/>
  <c r="C13" i="12"/>
  <c r="C8" i="6"/>
  <c r="D6" i="6" s="1"/>
  <c r="C13" i="61"/>
  <c r="E9" i="37"/>
  <c r="E10" i="37"/>
  <c r="E7" i="37"/>
  <c r="E11" i="37"/>
  <c r="E8" i="37"/>
  <c r="E12" i="37"/>
  <c r="E6" i="37"/>
  <c r="E9" i="36"/>
  <c r="E10" i="36"/>
  <c r="E7" i="36"/>
  <c r="E11" i="36"/>
  <c r="E12" i="36"/>
  <c r="E8" i="36"/>
  <c r="E6" i="36"/>
  <c r="E9" i="35"/>
  <c r="E10" i="35"/>
  <c r="E7" i="35"/>
  <c r="E11" i="35"/>
  <c r="E12" i="35"/>
  <c r="E8" i="35"/>
  <c r="E6" i="35"/>
  <c r="E9" i="34"/>
  <c r="E7" i="34"/>
  <c r="E10" i="34"/>
  <c r="E11" i="34"/>
  <c r="E12" i="34"/>
  <c r="E8" i="34"/>
  <c r="E9" i="33"/>
  <c r="E7" i="33"/>
  <c r="E10" i="33"/>
  <c r="E11" i="33"/>
  <c r="E12" i="33"/>
  <c r="E6" i="33"/>
  <c r="E8" i="33"/>
  <c r="E9" i="32"/>
  <c r="E10" i="32"/>
  <c r="E11" i="32"/>
  <c r="E12" i="32"/>
  <c r="E7" i="32"/>
  <c r="E8" i="32"/>
  <c r="E6" i="32"/>
  <c r="E6" i="31"/>
  <c r="E10" i="31"/>
  <c r="E9" i="31"/>
  <c r="E11" i="31"/>
  <c r="E12" i="31"/>
  <c r="E7" i="31"/>
  <c r="E8" i="31"/>
  <c r="E8" i="30"/>
  <c r="E9" i="30"/>
  <c r="E7" i="30"/>
  <c r="E11" i="30"/>
  <c r="E10" i="30"/>
  <c r="E12" i="30"/>
  <c r="E6" i="30"/>
  <c r="E9" i="29"/>
  <c r="E7" i="29"/>
  <c r="E11" i="29"/>
  <c r="E10" i="29"/>
  <c r="E12" i="29"/>
  <c r="C13" i="29"/>
  <c r="D10" i="29" s="1"/>
  <c r="E8" i="29"/>
  <c r="E6" i="29"/>
  <c r="E9" i="28"/>
  <c r="E10" i="28"/>
  <c r="E7" i="28"/>
  <c r="E11" i="28"/>
  <c r="E12" i="28"/>
  <c r="E8" i="28"/>
  <c r="E6" i="28"/>
  <c r="E9" i="27"/>
  <c r="E10" i="27"/>
  <c r="E7" i="27"/>
  <c r="E11" i="27"/>
  <c r="E12" i="27"/>
  <c r="E8" i="27"/>
  <c r="E6" i="27"/>
  <c r="E9" i="26"/>
  <c r="E7" i="26"/>
  <c r="E11" i="26"/>
  <c r="E10" i="26"/>
  <c r="D20" i="26"/>
  <c r="E12" i="26"/>
  <c r="E8" i="26"/>
  <c r="E6" i="26"/>
  <c r="E9" i="25"/>
  <c r="E7" i="25"/>
  <c r="E11" i="25"/>
  <c r="E10" i="25"/>
  <c r="E12" i="25"/>
  <c r="E8" i="25"/>
  <c r="E6" i="25"/>
  <c r="D19" i="20"/>
  <c r="E9" i="21"/>
  <c r="E10" i="21"/>
  <c r="E7" i="21"/>
  <c r="E11" i="21"/>
  <c r="E12" i="21"/>
  <c r="D20" i="21"/>
  <c r="E8" i="21"/>
  <c r="E6" i="21"/>
  <c r="D19" i="21"/>
  <c r="D19" i="25"/>
  <c r="D19" i="26"/>
  <c r="D21" i="11"/>
  <c r="D21" i="9"/>
  <c r="D22" i="14"/>
  <c r="D22" i="15"/>
  <c r="D22" i="12"/>
  <c r="E7" i="6"/>
  <c r="D22" i="10"/>
  <c r="D21" i="12"/>
  <c r="D21" i="14"/>
  <c r="D21" i="15"/>
  <c r="D21" i="17"/>
  <c r="D21" i="19"/>
  <c r="D21" i="20"/>
  <c r="D22" i="20"/>
  <c r="D22" i="11"/>
  <c r="D21" i="21"/>
  <c r="D21" i="10"/>
  <c r="D22" i="22"/>
  <c r="D22" i="25"/>
  <c r="D22" i="26"/>
  <c r="D22" i="9"/>
  <c r="D19" i="17"/>
  <c r="D19" i="18"/>
  <c r="D19" i="9"/>
  <c r="E12" i="13"/>
  <c r="E12" i="16"/>
  <c r="D21" i="18"/>
  <c r="D21" i="25"/>
  <c r="E6" i="6"/>
  <c r="D19" i="12"/>
  <c r="D19" i="11"/>
  <c r="D19" i="10"/>
  <c r="E6" i="11"/>
  <c r="E6" i="12"/>
  <c r="D19" i="13"/>
  <c r="C13" i="55"/>
  <c r="C13" i="49"/>
  <c r="C13" i="45"/>
  <c r="C13" i="48"/>
  <c r="D6" i="48" s="1"/>
  <c r="C13" i="51"/>
  <c r="C13" i="54"/>
  <c r="C13" i="47"/>
  <c r="C13" i="50"/>
  <c r="C13" i="53"/>
  <c r="B3" i="63"/>
  <c r="B2" i="63"/>
  <c r="E6" i="63"/>
  <c r="E7" i="63"/>
  <c r="E8" i="63"/>
  <c r="E9" i="63"/>
  <c r="E10" i="63"/>
  <c r="E11" i="63"/>
  <c r="E12" i="63"/>
  <c r="B3" i="62"/>
  <c r="B2" i="62"/>
  <c r="E6" i="62"/>
  <c r="E7" i="62"/>
  <c r="D20" i="62"/>
  <c r="E8" i="62"/>
  <c r="D22" i="62"/>
  <c r="E9" i="62"/>
  <c r="E10" i="62"/>
  <c r="E11" i="62"/>
  <c r="E12" i="62"/>
  <c r="B3" i="61"/>
  <c r="B2" i="61"/>
  <c r="E6" i="61"/>
  <c r="E7" i="61"/>
  <c r="D20" i="61"/>
  <c r="E8" i="61"/>
  <c r="E9" i="61"/>
  <c r="E10" i="61"/>
  <c r="E11" i="61"/>
  <c r="E12" i="61"/>
  <c r="B3" i="60"/>
  <c r="B2" i="60"/>
  <c r="D20" i="60"/>
  <c r="E7" i="60"/>
  <c r="E8" i="60"/>
  <c r="D21" i="60"/>
  <c r="E9" i="60"/>
  <c r="D23" i="60"/>
  <c r="E10" i="60"/>
  <c r="E11" i="60"/>
  <c r="D22" i="60"/>
  <c r="E12" i="60"/>
  <c r="E13" i="60"/>
  <c r="B3" i="59"/>
  <c r="B2" i="59"/>
  <c r="B3" i="58"/>
  <c r="B2" i="58"/>
  <c r="B3" i="57"/>
  <c r="B2" i="57"/>
  <c r="D19" i="57"/>
  <c r="E6" i="57"/>
  <c r="E7" i="57"/>
  <c r="E8" i="57"/>
  <c r="E9" i="57"/>
  <c r="E10" i="57"/>
  <c r="E11" i="57"/>
  <c r="E12" i="57"/>
  <c r="B3" i="56"/>
  <c r="B2" i="56"/>
  <c r="E6" i="56"/>
  <c r="E7" i="56"/>
  <c r="D20" i="56"/>
  <c r="E8" i="56"/>
  <c r="E9" i="56"/>
  <c r="E10" i="56"/>
  <c r="E11" i="56"/>
  <c r="E12" i="56"/>
  <c r="B3" i="55"/>
  <c r="B2" i="55"/>
  <c r="E6" i="55"/>
  <c r="E7" i="55"/>
  <c r="E8" i="55"/>
  <c r="D22" i="55"/>
  <c r="E9" i="55"/>
  <c r="E10" i="55"/>
  <c r="E11" i="55"/>
  <c r="E12" i="55"/>
  <c r="B3" i="54"/>
  <c r="B2" i="54"/>
  <c r="D19" i="54"/>
  <c r="E6" i="54"/>
  <c r="E7" i="54"/>
  <c r="D20" i="54"/>
  <c r="E8" i="54"/>
  <c r="D22" i="54"/>
  <c r="E9" i="54"/>
  <c r="E10" i="54"/>
  <c r="D21" i="54"/>
  <c r="E11" i="54"/>
  <c r="E12" i="54"/>
  <c r="B3" i="53"/>
  <c r="B2" i="53"/>
  <c r="E6" i="53"/>
  <c r="E7" i="53"/>
  <c r="D20" i="53"/>
  <c r="E8" i="53"/>
  <c r="E9" i="53"/>
  <c r="E10" i="53"/>
  <c r="E11" i="53"/>
  <c r="E12" i="53"/>
  <c r="B3" i="52"/>
  <c r="B2" i="52"/>
  <c r="E6" i="52"/>
  <c r="E7" i="52"/>
  <c r="D20" i="52"/>
  <c r="E8" i="52"/>
  <c r="E9" i="52"/>
  <c r="E10" i="52"/>
  <c r="E11" i="52"/>
  <c r="E12" i="52"/>
  <c r="B3" i="51"/>
  <c r="B2" i="51"/>
  <c r="E6" i="51"/>
  <c r="E7" i="51"/>
  <c r="D20" i="51"/>
  <c r="E8" i="51"/>
  <c r="E9" i="51"/>
  <c r="E10" i="51"/>
  <c r="E11" i="51"/>
  <c r="E12" i="51"/>
  <c r="B3" i="50"/>
  <c r="B2" i="50"/>
  <c r="E6" i="50"/>
  <c r="E7" i="50"/>
  <c r="D20" i="50"/>
  <c r="E8" i="50"/>
  <c r="E9" i="50"/>
  <c r="E10" i="50"/>
  <c r="E11" i="50"/>
  <c r="E12" i="50"/>
  <c r="B3" i="49"/>
  <c r="B2" i="49"/>
  <c r="D19" i="49"/>
  <c r="E6" i="49"/>
  <c r="E7" i="49"/>
  <c r="D20" i="49"/>
  <c r="E8" i="49"/>
  <c r="E9" i="49"/>
  <c r="E10" i="49"/>
  <c r="E11" i="49"/>
  <c r="E12" i="49"/>
  <c r="B3" i="48"/>
  <c r="B2" i="48"/>
  <c r="E6" i="48"/>
  <c r="E7" i="48"/>
  <c r="E8" i="48"/>
  <c r="E9" i="48"/>
  <c r="E10" i="48"/>
  <c r="E11" i="48"/>
  <c r="E12" i="48"/>
  <c r="B3" i="47"/>
  <c r="B2" i="47"/>
  <c r="E6" i="47"/>
  <c r="E7" i="47"/>
  <c r="D20" i="47"/>
  <c r="E8" i="47"/>
  <c r="E9" i="47"/>
  <c r="E10" i="47"/>
  <c r="E11" i="47"/>
  <c r="E12" i="47"/>
  <c r="B3" i="46"/>
  <c r="B2" i="46"/>
  <c r="B3" i="45"/>
  <c r="B2" i="45"/>
  <c r="D19" i="45"/>
  <c r="E6" i="45"/>
  <c r="E7" i="45"/>
  <c r="E8" i="45"/>
  <c r="D22" i="45"/>
  <c r="E9" i="45"/>
  <c r="E10" i="45"/>
  <c r="E11" i="45"/>
  <c r="E12" i="45"/>
  <c r="B3" i="44"/>
  <c r="B2" i="44"/>
  <c r="D19" i="44"/>
  <c r="D20" i="44"/>
  <c r="D21" i="44"/>
  <c r="B3" i="43"/>
  <c r="B2" i="43"/>
  <c r="D21" i="43"/>
  <c r="B3" i="42"/>
  <c r="B2" i="42"/>
  <c r="B3" i="41"/>
  <c r="B2" i="41"/>
  <c r="D20" i="41"/>
  <c r="B3" i="40"/>
  <c r="B2" i="40"/>
  <c r="D20" i="40"/>
  <c r="D22" i="40"/>
  <c r="B3" i="39"/>
  <c r="B2" i="39"/>
  <c r="D19" i="39"/>
  <c r="D20" i="39"/>
  <c r="D22" i="39"/>
  <c r="B3" i="38"/>
  <c r="B2" i="38"/>
  <c r="D19" i="38"/>
  <c r="D20" i="38"/>
  <c r="D22" i="38"/>
  <c r="D21" i="38"/>
  <c r="B3" i="37"/>
  <c r="B2" i="37"/>
  <c r="D21" i="37"/>
  <c r="B3" i="36"/>
  <c r="B2" i="36"/>
  <c r="D19" i="36"/>
  <c r="D20" i="36"/>
  <c r="D21" i="36"/>
  <c r="B3" i="35"/>
  <c r="B2" i="35"/>
  <c r="D19" i="35"/>
  <c r="D20" i="35"/>
  <c r="D21" i="35"/>
  <c r="B3" i="34"/>
  <c r="B2" i="34"/>
  <c r="D20" i="34"/>
  <c r="D21" i="34"/>
  <c r="B3" i="33"/>
  <c r="B2" i="33"/>
  <c r="D19" i="33"/>
  <c r="D20" i="33"/>
  <c r="D22" i="33"/>
  <c r="D21" i="33"/>
  <c r="B3" i="32"/>
  <c r="B2" i="32"/>
  <c r="D20" i="32"/>
  <c r="D22" i="32"/>
  <c r="B3" i="31"/>
  <c r="B2" i="31"/>
  <c r="D20" i="31"/>
  <c r="B3" i="30"/>
  <c r="B2" i="30"/>
  <c r="D22" i="30"/>
  <c r="D21" i="30"/>
  <c r="B3" i="29"/>
  <c r="B2" i="29"/>
  <c r="D19" i="29"/>
  <c r="D20" i="29"/>
  <c r="D22" i="29"/>
  <c r="D21" i="29"/>
  <c r="B3" i="28"/>
  <c r="B2" i="28"/>
  <c r="D19" i="28"/>
  <c r="D20" i="28"/>
  <c r="D22" i="28"/>
  <c r="D21" i="28"/>
  <c r="B3" i="27"/>
  <c r="B2" i="27"/>
  <c r="D19" i="27"/>
  <c r="D20" i="27"/>
  <c r="D22" i="27"/>
  <c r="D21" i="27"/>
  <c r="B3" i="26"/>
  <c r="B2" i="26"/>
  <c r="D21" i="26"/>
  <c r="B3" i="25"/>
  <c r="B2" i="25"/>
  <c r="B3" i="24"/>
  <c r="B2" i="24"/>
  <c r="E6" i="24"/>
  <c r="E7" i="24"/>
  <c r="B3" i="22"/>
  <c r="B2" i="22"/>
  <c r="D19" i="22"/>
  <c r="E6" i="22"/>
  <c r="E7" i="22"/>
  <c r="D20" i="22"/>
  <c r="E8" i="22"/>
  <c r="E9" i="22"/>
  <c r="E10" i="22"/>
  <c r="E11" i="22"/>
  <c r="E12" i="22"/>
  <c r="B3" i="21"/>
  <c r="B2" i="21"/>
  <c r="D22" i="21"/>
  <c r="B3" i="20"/>
  <c r="B2" i="20"/>
  <c r="E6" i="20"/>
  <c r="E7" i="20"/>
  <c r="D20" i="20"/>
  <c r="E8" i="20"/>
  <c r="E9" i="20"/>
  <c r="E10" i="20"/>
  <c r="E11" i="20"/>
  <c r="E12" i="20"/>
  <c r="B3" i="19"/>
  <c r="B2" i="19"/>
  <c r="D19" i="19"/>
  <c r="E6" i="19"/>
  <c r="E7" i="19"/>
  <c r="D20" i="19"/>
  <c r="E8" i="19"/>
  <c r="D22" i="19"/>
  <c r="E9" i="19"/>
  <c r="E10" i="19"/>
  <c r="E11" i="19"/>
  <c r="E12" i="19"/>
  <c r="B3" i="18"/>
  <c r="B2" i="18"/>
  <c r="E6" i="18"/>
  <c r="E7" i="18"/>
  <c r="E8" i="18"/>
  <c r="D22" i="18"/>
  <c r="E9" i="18"/>
  <c r="E10" i="18"/>
  <c r="E11" i="18"/>
  <c r="E12" i="18"/>
  <c r="B3" i="17"/>
  <c r="B2" i="17"/>
  <c r="E6" i="17"/>
  <c r="E7" i="17"/>
  <c r="E8" i="17"/>
  <c r="D22" i="17"/>
  <c r="E9" i="17"/>
  <c r="E10" i="17"/>
  <c r="E11" i="17"/>
  <c r="E12" i="17"/>
  <c r="B3" i="16"/>
  <c r="B2" i="16"/>
  <c r="D19" i="16"/>
  <c r="E6" i="16"/>
  <c r="E7" i="16"/>
  <c r="D20" i="16"/>
  <c r="E8" i="16"/>
  <c r="D22" i="16"/>
  <c r="E9" i="16"/>
  <c r="E10" i="16"/>
  <c r="D21" i="16"/>
  <c r="E11" i="16"/>
  <c r="B3" i="15"/>
  <c r="B2" i="15"/>
  <c r="D19" i="15"/>
  <c r="E6" i="15"/>
  <c r="E7" i="15"/>
  <c r="D20" i="15"/>
  <c r="E8" i="15"/>
  <c r="E9" i="15"/>
  <c r="E10" i="15"/>
  <c r="E11" i="15"/>
  <c r="E12" i="15"/>
  <c r="B3" i="14"/>
  <c r="B2" i="14"/>
  <c r="D19" i="14"/>
  <c r="E6" i="14"/>
  <c r="E7" i="14"/>
  <c r="D20" i="14"/>
  <c r="E8" i="14"/>
  <c r="E9" i="14"/>
  <c r="E10" i="14"/>
  <c r="E11" i="14"/>
  <c r="E12" i="14"/>
  <c r="B3" i="13"/>
  <c r="B2" i="13"/>
  <c r="E6" i="13"/>
  <c r="E7" i="13"/>
  <c r="D20" i="13"/>
  <c r="E8" i="13"/>
  <c r="D22" i="13"/>
  <c r="E9" i="13"/>
  <c r="E10" i="13"/>
  <c r="D21" i="13"/>
  <c r="E11" i="13"/>
  <c r="B3" i="12"/>
  <c r="B2" i="12"/>
  <c r="E7" i="12"/>
  <c r="E8" i="12"/>
  <c r="E9" i="12"/>
  <c r="E10" i="12"/>
  <c r="E11" i="12"/>
  <c r="E12" i="12"/>
  <c r="B3" i="11"/>
  <c r="B2" i="11"/>
  <c r="E7" i="11"/>
  <c r="E8" i="11"/>
  <c r="E9" i="11"/>
  <c r="E10" i="11"/>
  <c r="E11" i="11"/>
  <c r="E12" i="11"/>
  <c r="B3" i="10"/>
  <c r="B2" i="10"/>
  <c r="E6" i="10"/>
  <c r="E7" i="10"/>
  <c r="D20" i="10"/>
  <c r="E8" i="10"/>
  <c r="E9" i="10"/>
  <c r="E10" i="10"/>
  <c r="E11" i="10"/>
  <c r="E12" i="10"/>
  <c r="B3" i="9"/>
  <c r="B2" i="9"/>
  <c r="E6" i="9"/>
  <c r="E7" i="9"/>
  <c r="D20" i="9"/>
  <c r="E8" i="9"/>
  <c r="E9" i="9"/>
  <c r="E10" i="9"/>
  <c r="E11" i="9"/>
  <c r="E12" i="9"/>
  <c r="B3" i="8"/>
  <c r="B2" i="8"/>
  <c r="E6" i="8"/>
  <c r="E7" i="8"/>
  <c r="B3" i="7"/>
  <c r="B2" i="7"/>
  <c r="E6" i="7"/>
  <c r="E7" i="7"/>
  <c r="B3" i="6"/>
  <c r="B2" i="6"/>
  <c r="B3" i="5"/>
  <c r="B2" i="5"/>
  <c r="E6" i="5"/>
  <c r="E7" i="5"/>
  <c r="E13" i="30" l="1"/>
  <c r="D12" i="37"/>
  <c r="D6" i="37"/>
  <c r="D10" i="37"/>
  <c r="E13" i="37"/>
  <c r="D8" i="37"/>
  <c r="D9" i="37"/>
  <c r="D11" i="37"/>
  <c r="D7" i="36"/>
  <c r="D9" i="36"/>
  <c r="D11" i="36"/>
  <c r="D12" i="36"/>
  <c r="D10" i="36"/>
  <c r="D8" i="36"/>
  <c r="E13" i="36"/>
  <c r="D6" i="36"/>
  <c r="E13" i="35"/>
  <c r="D7" i="35"/>
  <c r="D9" i="35"/>
  <c r="D11" i="35"/>
  <c r="D12" i="35"/>
  <c r="D8" i="35"/>
  <c r="D6" i="35"/>
  <c r="D10" i="35"/>
  <c r="D7" i="34"/>
  <c r="D9" i="34"/>
  <c r="D11" i="34"/>
  <c r="E13" i="34"/>
  <c r="D12" i="34"/>
  <c r="D10" i="34"/>
  <c r="D8" i="34"/>
  <c r="D8" i="33"/>
  <c r="D6" i="33"/>
  <c r="D9" i="33"/>
  <c r="D7" i="33"/>
  <c r="D11" i="33"/>
  <c r="D12" i="33"/>
  <c r="E13" i="33"/>
  <c r="D10" i="32"/>
  <c r="D9" i="32"/>
  <c r="D11" i="32"/>
  <c r="E13" i="32"/>
  <c r="D12" i="32"/>
  <c r="D6" i="32"/>
  <c r="D8" i="32"/>
  <c r="E13" i="31"/>
  <c r="D8" i="31"/>
  <c r="D9" i="31"/>
  <c r="D6" i="31"/>
  <c r="D11" i="31"/>
  <c r="D7" i="31"/>
  <c r="D10" i="31"/>
  <c r="D6" i="30"/>
  <c r="D11" i="30"/>
  <c r="D7" i="30"/>
  <c r="D12" i="30"/>
  <c r="D10" i="30"/>
  <c r="D8" i="30"/>
  <c r="E13" i="29"/>
  <c r="D6" i="29"/>
  <c r="D8" i="29"/>
  <c r="D9" i="29"/>
  <c r="D7" i="29"/>
  <c r="D11" i="29"/>
  <c r="D12" i="29"/>
  <c r="E13" i="28"/>
  <c r="D7" i="27"/>
  <c r="D9" i="27"/>
  <c r="D11" i="27"/>
  <c r="D8" i="27"/>
  <c r="E13" i="27"/>
  <c r="D6" i="27"/>
  <c r="D12" i="27"/>
  <c r="D10" i="27"/>
  <c r="D10" i="26"/>
  <c r="D12" i="26"/>
  <c r="D6" i="26"/>
  <c r="E13" i="26"/>
  <c r="D7" i="26"/>
  <c r="D9" i="26"/>
  <c r="D11" i="26"/>
  <c r="D9" i="25"/>
  <c r="D7" i="25"/>
  <c r="D11" i="25"/>
  <c r="D12" i="25"/>
  <c r="D10" i="25"/>
  <c r="D8" i="25"/>
  <c r="E13" i="25"/>
  <c r="D6" i="25"/>
  <c r="D7" i="8"/>
  <c r="D11" i="22"/>
  <c r="D7" i="22"/>
  <c r="D8" i="22"/>
  <c r="D6" i="22"/>
  <c r="D12" i="22"/>
  <c r="D10" i="22"/>
  <c r="D9" i="22"/>
  <c r="D6" i="21"/>
  <c r="E13" i="21"/>
  <c r="D8" i="21"/>
  <c r="D10" i="21"/>
  <c r="D9" i="21"/>
  <c r="D7" i="21"/>
  <c r="D11" i="21"/>
  <c r="D10" i="9"/>
  <c r="E8" i="6"/>
  <c r="D6" i="11"/>
  <c r="E13" i="11"/>
  <c r="D12" i="16"/>
  <c r="E8" i="24"/>
  <c r="E13" i="14"/>
  <c r="E8" i="5"/>
  <c r="E13" i="16"/>
  <c r="E8" i="7"/>
  <c r="D12" i="20"/>
  <c r="D6" i="18"/>
  <c r="D10" i="54"/>
  <c r="D12" i="54"/>
  <c r="D12" i="55"/>
  <c r="D8" i="55"/>
  <c r="D12" i="17"/>
  <c r="D12" i="15"/>
  <c r="D11" i="61"/>
  <c r="D7" i="7"/>
  <c r="D6" i="49"/>
  <c r="D6" i="9"/>
  <c r="D6" i="55"/>
  <c r="D11" i="45"/>
  <c r="D8" i="45"/>
  <c r="D9" i="45"/>
  <c r="D9" i="55"/>
  <c r="D10" i="61"/>
  <c r="D10" i="45"/>
  <c r="D6" i="24"/>
  <c r="D7" i="55"/>
  <c r="D7" i="45"/>
  <c r="D12" i="9"/>
  <c r="E21" i="62"/>
  <c r="D9" i="14"/>
  <c r="D8" i="14"/>
  <c r="D7" i="14"/>
  <c r="D9" i="15"/>
  <c r="D8" i="15"/>
  <c r="D7" i="15"/>
  <c r="D12" i="18"/>
  <c r="D9" i="11"/>
  <c r="D8" i="11"/>
  <c r="D7" i="11"/>
  <c r="D9" i="17"/>
  <c r="D8" i="17"/>
  <c r="D7" i="17"/>
  <c r="D11" i="18"/>
  <c r="D10" i="18"/>
  <c r="D9" i="61"/>
  <c r="D8" i="61"/>
  <c r="D7" i="61"/>
  <c r="D6" i="8"/>
  <c r="E21" i="53"/>
  <c r="D11" i="9"/>
  <c r="D9" i="20"/>
  <c r="D8" i="20"/>
  <c r="D7" i="20"/>
  <c r="D9" i="48"/>
  <c r="D8" i="48"/>
  <c r="D7" i="48"/>
  <c r="D12" i="61"/>
  <c r="D6" i="5"/>
  <c r="D6" i="14"/>
  <c r="D11" i="15"/>
  <c r="D10" i="15"/>
  <c r="D9" i="16"/>
  <c r="D8" i="16"/>
  <c r="D7" i="16"/>
  <c r="D11" i="17"/>
  <c r="D10" i="17"/>
  <c r="D9" i="18"/>
  <c r="D8" i="18"/>
  <c r="D7" i="18"/>
  <c r="D11" i="20"/>
  <c r="D10" i="20"/>
  <c r="E21" i="38"/>
  <c r="E21" i="41"/>
  <c r="E21" i="44"/>
  <c r="D12" i="45"/>
  <c r="D6" i="45"/>
  <c r="D12" i="49"/>
  <c r="D6" i="15"/>
  <c r="D6" i="17"/>
  <c r="D6" i="20"/>
  <c r="D9" i="51"/>
  <c r="D8" i="51"/>
  <c r="D7" i="51"/>
  <c r="D9" i="54"/>
  <c r="D8" i="54"/>
  <c r="D7" i="54"/>
  <c r="D9" i="56"/>
  <c r="D8" i="56"/>
  <c r="D7" i="56"/>
  <c r="D7" i="5"/>
  <c r="E21" i="10"/>
  <c r="D12" i="11"/>
  <c r="D10" i="14"/>
  <c r="D11" i="14"/>
  <c r="E21" i="16"/>
  <c r="E21" i="19"/>
  <c r="D6" i="7"/>
  <c r="D7" i="9"/>
  <c r="D8" i="9"/>
  <c r="D9" i="9"/>
  <c r="E21" i="13"/>
  <c r="D12" i="14"/>
  <c r="E21" i="22"/>
  <c r="D7" i="24"/>
  <c r="D10" i="63"/>
  <c r="D11" i="63"/>
  <c r="D7" i="63"/>
  <c r="D8" i="63"/>
  <c r="D9" i="63"/>
  <c r="D6" i="63"/>
  <c r="D12" i="63"/>
  <c r="D10" i="11"/>
  <c r="D11" i="11"/>
  <c r="E21" i="26"/>
  <c r="E21" i="29"/>
  <c r="E21" i="32"/>
  <c r="E21" i="35"/>
  <c r="D9" i="47"/>
  <c r="D8" i="47"/>
  <c r="D7" i="47"/>
  <c r="D11" i="48"/>
  <c r="D10" i="48"/>
  <c r="D9" i="49"/>
  <c r="D8" i="49"/>
  <c r="D7" i="49"/>
  <c r="D9" i="50"/>
  <c r="D8" i="50"/>
  <c r="D7" i="50"/>
  <c r="D11" i="51"/>
  <c r="D10" i="51"/>
  <c r="D6" i="54"/>
  <c r="D11" i="55"/>
  <c r="D10" i="55"/>
  <c r="E21" i="56"/>
  <c r="E21" i="59"/>
  <c r="E21" i="47"/>
  <c r="D12" i="48"/>
  <c r="D11" i="49"/>
  <c r="D10" i="49"/>
  <c r="E21" i="50"/>
  <c r="D12" i="51"/>
  <c r="D6" i="51"/>
  <c r="D9" i="53"/>
  <c r="D8" i="53"/>
  <c r="D7" i="53"/>
  <c r="D9" i="62"/>
  <c r="D8" i="62"/>
  <c r="D7" i="62"/>
  <c r="E21" i="11"/>
  <c r="E21" i="14"/>
  <c r="D11" i="16"/>
  <c r="D10" i="16"/>
  <c r="E21" i="17"/>
  <c r="E21" i="20"/>
  <c r="E21" i="27"/>
  <c r="E21" i="30"/>
  <c r="E21" i="33"/>
  <c r="E21" i="36"/>
  <c r="E21" i="39"/>
  <c r="E22" i="42"/>
  <c r="E21" i="45"/>
  <c r="D11" i="47"/>
  <c r="D10" i="47"/>
  <c r="E21" i="48"/>
  <c r="D11" i="50"/>
  <c r="D10" i="50"/>
  <c r="E21" i="51"/>
  <c r="D11" i="53"/>
  <c r="D10" i="53"/>
  <c r="E21" i="54"/>
  <c r="D11" i="56"/>
  <c r="D10" i="56"/>
  <c r="E21" i="57"/>
  <c r="E22" i="60"/>
  <c r="D6" i="61"/>
  <c r="D11" i="62"/>
  <c r="D10" i="62"/>
  <c r="E21" i="63"/>
  <c r="E21" i="9"/>
  <c r="E21" i="12"/>
  <c r="E21" i="15"/>
  <c r="D6" i="16"/>
  <c r="E21" i="18"/>
  <c r="E21" i="21"/>
  <c r="E21" i="25"/>
  <c r="E21" i="28"/>
  <c r="E21" i="31"/>
  <c r="E21" i="34"/>
  <c r="E21" i="37"/>
  <c r="E21" i="40"/>
  <c r="E21" i="43"/>
  <c r="E22" i="46"/>
  <c r="D12" i="47"/>
  <c r="D6" i="47"/>
  <c r="E21" i="49"/>
  <c r="D12" i="50"/>
  <c r="D6" i="50"/>
  <c r="E21" i="52"/>
  <c r="D12" i="53"/>
  <c r="D6" i="53"/>
  <c r="D11" i="54"/>
  <c r="E21" i="55"/>
  <c r="D12" i="56"/>
  <c r="D6" i="56"/>
  <c r="E21" i="61"/>
  <c r="D12" i="62"/>
  <c r="D6" i="62"/>
  <c r="E22" i="63"/>
  <c r="E20" i="63"/>
  <c r="E13" i="63"/>
  <c r="E19" i="63"/>
  <c r="E22" i="62"/>
  <c r="E20" i="62"/>
  <c r="E13" i="62"/>
  <c r="E19" i="62"/>
  <c r="E22" i="61"/>
  <c r="E20" i="61"/>
  <c r="E13" i="61"/>
  <c r="E19" i="61"/>
  <c r="E23" i="60"/>
  <c r="E21" i="60"/>
  <c r="E14" i="60"/>
  <c r="E20" i="60"/>
  <c r="E22" i="59"/>
  <c r="E20" i="59"/>
  <c r="E19" i="59"/>
  <c r="E22" i="57"/>
  <c r="E20" i="57"/>
  <c r="E13" i="57"/>
  <c r="E19" i="57"/>
  <c r="E22" i="56"/>
  <c r="E20" i="56"/>
  <c r="E13" i="56"/>
  <c r="E19" i="56"/>
  <c r="E22" i="55"/>
  <c r="E20" i="55"/>
  <c r="E13" i="55"/>
  <c r="E19" i="55"/>
  <c r="E22" i="54"/>
  <c r="E20" i="54"/>
  <c r="E13" i="54"/>
  <c r="E19" i="54"/>
  <c r="E22" i="53"/>
  <c r="E20" i="53"/>
  <c r="E13" i="53"/>
  <c r="E19" i="53"/>
  <c r="E22" i="52"/>
  <c r="E20" i="52"/>
  <c r="E13" i="52"/>
  <c r="E19" i="52"/>
  <c r="E22" i="51"/>
  <c r="E20" i="51"/>
  <c r="E13" i="51"/>
  <c r="E19" i="51"/>
  <c r="E22" i="50"/>
  <c r="E20" i="50"/>
  <c r="E13" i="50"/>
  <c r="E19" i="50"/>
  <c r="E22" i="49"/>
  <c r="E20" i="49"/>
  <c r="E13" i="49"/>
  <c r="E19" i="49"/>
  <c r="E22" i="48"/>
  <c r="E20" i="48"/>
  <c r="E13" i="48"/>
  <c r="E19" i="48"/>
  <c r="E22" i="47"/>
  <c r="E20" i="47"/>
  <c r="E13" i="47"/>
  <c r="E19" i="47"/>
  <c r="E23" i="46"/>
  <c r="E21" i="46"/>
  <c r="E20" i="46"/>
  <c r="E22" i="45"/>
  <c r="E20" i="45"/>
  <c r="E13" i="45"/>
  <c r="E19" i="45"/>
  <c r="E22" i="44"/>
  <c r="E20" i="44"/>
  <c r="E19" i="44"/>
  <c r="E22" i="43"/>
  <c r="E20" i="43"/>
  <c r="E19" i="43"/>
  <c r="E23" i="42"/>
  <c r="E21" i="42"/>
  <c r="E20" i="42"/>
  <c r="E22" i="41"/>
  <c r="E20" i="41"/>
  <c r="E13" i="41"/>
  <c r="E19" i="41"/>
  <c r="E22" i="40"/>
  <c r="E20" i="40"/>
  <c r="E19" i="40"/>
  <c r="E22" i="39"/>
  <c r="E20" i="39"/>
  <c r="E19" i="39"/>
  <c r="E22" i="38"/>
  <c r="E20" i="38"/>
  <c r="E19" i="38"/>
  <c r="E22" i="37"/>
  <c r="E20" i="37"/>
  <c r="E19" i="37"/>
  <c r="E22" i="36"/>
  <c r="E20" i="36"/>
  <c r="E19" i="36"/>
  <c r="E22" i="35"/>
  <c r="E20" i="35"/>
  <c r="E19" i="35"/>
  <c r="E22" i="34"/>
  <c r="E20" i="34"/>
  <c r="E19" i="34"/>
  <c r="E22" i="33"/>
  <c r="E20" i="33"/>
  <c r="E19" i="33"/>
  <c r="E22" i="32"/>
  <c r="E20" i="32"/>
  <c r="E19" i="32"/>
  <c r="E22" i="31"/>
  <c r="E20" i="31"/>
  <c r="E19" i="31"/>
  <c r="E22" i="30"/>
  <c r="E20" i="30"/>
  <c r="E19" i="30"/>
  <c r="E22" i="29"/>
  <c r="E20" i="29"/>
  <c r="E19" i="29"/>
  <c r="E22" i="28"/>
  <c r="E20" i="28"/>
  <c r="E19" i="28"/>
  <c r="E22" i="27"/>
  <c r="E20" i="27"/>
  <c r="E19" i="27"/>
  <c r="E22" i="26"/>
  <c r="E20" i="26"/>
  <c r="E19" i="26"/>
  <c r="E22" i="25"/>
  <c r="E20" i="25"/>
  <c r="E19" i="25"/>
  <c r="E22" i="22"/>
  <c r="E20" i="22"/>
  <c r="E13" i="22"/>
  <c r="E19" i="22"/>
  <c r="E22" i="21"/>
  <c r="E20" i="21"/>
  <c r="E19" i="21"/>
  <c r="E22" i="20"/>
  <c r="E20" i="20"/>
  <c r="E13" i="20"/>
  <c r="E19" i="20"/>
  <c r="E22" i="19"/>
  <c r="E20" i="19"/>
  <c r="E13" i="19"/>
  <c r="E19" i="19"/>
  <c r="E22" i="18"/>
  <c r="E20" i="18"/>
  <c r="E13" i="18"/>
  <c r="E19" i="18"/>
  <c r="E22" i="17"/>
  <c r="E20" i="17"/>
  <c r="E13" i="17"/>
  <c r="E19" i="17"/>
  <c r="E22" i="16"/>
  <c r="E20" i="16"/>
  <c r="E19" i="16"/>
  <c r="E22" i="15"/>
  <c r="E20" i="15"/>
  <c r="E13" i="15"/>
  <c r="E19" i="15"/>
  <c r="E22" i="14"/>
  <c r="E20" i="14"/>
  <c r="E19" i="14"/>
  <c r="E22" i="13"/>
  <c r="E20" i="13"/>
  <c r="E13" i="13"/>
  <c r="E19" i="13"/>
  <c r="E22" i="12"/>
  <c r="E20" i="12"/>
  <c r="E13" i="12"/>
  <c r="E19" i="12"/>
  <c r="E22" i="11"/>
  <c r="E20" i="11"/>
  <c r="E19" i="11"/>
  <c r="E22" i="10"/>
  <c r="E20" i="10"/>
  <c r="E13" i="10"/>
  <c r="E19" i="10"/>
  <c r="E22" i="9"/>
  <c r="E20" i="9"/>
  <c r="E13" i="9"/>
  <c r="E19" i="9"/>
  <c r="E8" i="8"/>
  <c r="D13" i="37" l="1"/>
  <c r="D13" i="36"/>
  <c r="D13" i="35"/>
  <c r="D13" i="34"/>
  <c r="D13" i="33"/>
  <c r="D13" i="32"/>
  <c r="D13" i="31"/>
  <c r="D13" i="30"/>
  <c r="D13" i="29"/>
  <c r="D13" i="27"/>
  <c r="D13" i="26"/>
  <c r="D13" i="25"/>
  <c r="D13" i="22"/>
  <c r="D13" i="21"/>
  <c r="D8" i="5"/>
  <c r="D13" i="49"/>
  <c r="D13" i="17"/>
  <c r="D13" i="20"/>
  <c r="D8" i="24"/>
  <c r="D13" i="18"/>
  <c r="D13" i="14"/>
  <c r="D13" i="63"/>
  <c r="D13" i="9"/>
  <c r="D8" i="7"/>
  <c r="D13" i="51"/>
  <c r="D13" i="45"/>
  <c r="D13" i="16"/>
  <c r="D13" i="48"/>
  <c r="D13" i="11"/>
  <c r="D13" i="15"/>
  <c r="D13" i="55"/>
  <c r="D8" i="8"/>
  <c r="D13" i="47"/>
  <c r="D13" i="50"/>
  <c r="D13" i="53"/>
  <c r="D13" i="54"/>
  <c r="D13" i="56"/>
  <c r="D13" i="61"/>
  <c r="D13" i="62"/>
  <c r="C13" i="52" l="1"/>
  <c r="D6" i="52" s="1"/>
  <c r="D8" i="52" l="1"/>
  <c r="D11" i="52"/>
  <c r="D10" i="52"/>
  <c r="D9" i="52"/>
  <c r="D7" i="52"/>
  <c r="D12" i="52"/>
  <c r="D6" i="10"/>
  <c r="D9" i="10"/>
  <c r="D8" i="10"/>
  <c r="D13" i="52" l="1"/>
  <c r="D11" i="10"/>
  <c r="D10" i="10"/>
  <c r="D7" i="10"/>
  <c r="D12" i="10"/>
  <c r="D6" i="12"/>
  <c r="D12" i="12"/>
  <c r="D9" i="12"/>
  <c r="D8" i="12"/>
  <c r="D7" i="12"/>
  <c r="D11" i="12"/>
  <c r="D10" i="12"/>
  <c r="D6" i="13"/>
  <c r="D10" i="13"/>
  <c r="D8" i="13"/>
  <c r="D11" i="13"/>
  <c r="D7" i="13"/>
  <c r="D12" i="13"/>
  <c r="D9" i="13"/>
  <c r="D13" i="12" l="1"/>
  <c r="D13" i="13"/>
  <c r="D13" i="10"/>
  <c r="D6" i="19"/>
  <c r="D12" i="19"/>
  <c r="D8" i="19"/>
  <c r="D10" i="19"/>
  <c r="D11" i="19"/>
  <c r="D7" i="19"/>
  <c r="D9" i="19"/>
  <c r="D13" i="19" l="1"/>
  <c r="E16" i="19"/>
  <c r="D10" i="41"/>
  <c r="D11" i="41"/>
  <c r="D9" i="41"/>
  <c r="D7" i="41"/>
  <c r="D12" i="41"/>
  <c r="D8" i="41"/>
  <c r="D6" i="41"/>
  <c r="D13" i="41" l="1"/>
  <c r="C14" i="60"/>
  <c r="D13" i="60" s="1"/>
  <c r="D8" i="60" l="1"/>
  <c r="D7" i="60"/>
  <c r="D12" i="60"/>
  <c r="D6" i="60"/>
  <c r="D11" i="60"/>
  <c r="D9" i="60"/>
  <c r="D10" i="60"/>
  <c r="D14" i="60" l="1"/>
  <c r="D7" i="6"/>
  <c r="C13" i="28"/>
  <c r="D7" i="28" s="1"/>
  <c r="D8" i="6" l="1"/>
  <c r="D6" i="28"/>
  <c r="D8" i="28"/>
  <c r="D10" i="28"/>
  <c r="D12" i="28"/>
  <c r="D11" i="28"/>
  <c r="D9" i="28"/>
  <c r="D13" i="28" l="1"/>
</calcChain>
</file>

<file path=xl/sharedStrings.xml><?xml version="1.0" encoding="utf-8"?>
<sst xmlns="http://schemas.openxmlformats.org/spreadsheetml/2006/main" count="2849" uniqueCount="239">
  <si>
    <t>ORIENTAÇÕES DE ANÁLISE DE RESULTADO E INFORMAÇÕES GERAIS</t>
  </si>
  <si>
    <t>Este questionário possui três tipos de questões:</t>
  </si>
  <si>
    <t>Questão tipo A</t>
  </si>
  <si>
    <t>Questão tipo B</t>
  </si>
  <si>
    <t>Questão aberta</t>
  </si>
  <si>
    <t>A aba "Pós-Graduação" é o arquivo base e corresponde às respostas coletadas na pesquisa para todas as questões do questionário, exceto as abertas.</t>
  </si>
  <si>
    <t>A aba "TítuloQuestões" é um índice com todas as perguntas existentes no questionário e o respectivo tipo de questão de acordo com a escala de resposta.</t>
  </si>
  <si>
    <t>Cada questão/subquestão (representadas por abas nas planilhas) apresenta os percentuais de participação.</t>
  </si>
  <si>
    <t>Ainda, para as Questões do Tipo A, há critérios para análise dos resultados, conforme exemplo abaixo, com vistas a apoiar a tomada de decisão e a formulação de ações quando necessário.</t>
  </si>
  <si>
    <t>TIPO DE QUESTÃO CONFORME A ESCALA DE RESPOSTA</t>
  </si>
  <si>
    <t xml:space="preserve">QUESTÃO TIPO A </t>
  </si>
  <si>
    <t>QUESTÃO TIPO B</t>
  </si>
  <si>
    <t>Excelente</t>
  </si>
  <si>
    <t>Sim</t>
  </si>
  <si>
    <t>Bom</t>
  </si>
  <si>
    <t>Não</t>
  </si>
  <si>
    <t>Regular</t>
  </si>
  <si>
    <t>Ruim</t>
  </si>
  <si>
    <t>Péssimo</t>
  </si>
  <si>
    <t>Não sei responder</t>
  </si>
  <si>
    <t>Não se aplica</t>
  </si>
  <si>
    <t>TIPOS DE AÇÕES CONFORME O AGRUPAMENTO DAS RESPOSTAS DO TIPO DE QUESTÃO A</t>
  </si>
  <si>
    <t>Atenção</t>
  </si>
  <si>
    <t>Não se aplica + Não sei responder</t>
  </si>
  <si>
    <t>Urgência</t>
  </si>
  <si>
    <t>Péssimo + Ruim</t>
  </si>
  <si>
    <t>Aprimoramento</t>
  </si>
  <si>
    <t>Manutenção</t>
  </si>
  <si>
    <t>Bom + Excelente</t>
  </si>
  <si>
    <t>Programa</t>
  </si>
  <si>
    <t>Setor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</si>
  <si>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</si>
  <si>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</si>
  <si>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</si>
  <si>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</si>
  <si>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</si>
  <si>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</si>
  <si>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</si>
  <si>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</si>
  <si>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</si>
  <si>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</si>
  <si>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</si>
  <si>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</si>
  <si>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</si>
  <si>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</si>
  <si>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</si>
  <si>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</si>
  <si>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</si>
  <si>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</si>
  <si>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</si>
  <si>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</si>
  <si>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</si>
  <si>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</si>
  <si>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</si>
  <si>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</si>
  <si>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</si>
  <si>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</si>
  <si>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</si>
  <si>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</si>
  <si>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</si>
  <si>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</si>
  <si>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</si>
  <si>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</si>
  <si>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</si>
  <si>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</si>
  <si>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</si>
  <si>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</si>
  <si>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</si>
  <si>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</si>
  <si>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</si>
  <si>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</si>
  <si>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</si>
  <si>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</si>
  <si>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</si>
  <si>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</si>
  <si>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</si>
  <si>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</si>
  <si>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</si>
  <si>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</si>
  <si>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</si>
  <si>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</si>
  <si>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</si>
  <si>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54</t>
  </si>
  <si>
    <t>55</t>
  </si>
  <si>
    <t>56</t>
  </si>
  <si>
    <t>57</t>
  </si>
  <si>
    <t>58</t>
  </si>
  <si>
    <t>59</t>
  </si>
  <si>
    <t>60</t>
  </si>
  <si>
    <t>SETOR DE TECNOLOGIA</t>
  </si>
  <si>
    <t>ENGENHARIA QUÍMICA</t>
  </si>
  <si>
    <t>Número_Questão</t>
  </si>
  <si>
    <t>Tipo_Questão</t>
  </si>
  <si>
    <t>Título_Questão</t>
  </si>
  <si>
    <t>Título Gráfico</t>
  </si>
  <si>
    <t>Observações</t>
  </si>
  <si>
    <t>B</t>
  </si>
  <si>
    <t>Quanto a sua formação anterior: [Mestrado na UFPR]</t>
  </si>
  <si>
    <t>Alunos Pós-Graduação Stricto Sensu: Questão 1</t>
  </si>
  <si>
    <t>Quanto a sua formação anterior: [Graduação na UFPR]</t>
  </si>
  <si>
    <t>Alunos Pós-Graduação Stricto Sensu: Questão 2</t>
  </si>
  <si>
    <t>Quanto a sua formação anterior: [Curso Técnico na UFPR]</t>
  </si>
  <si>
    <t>Alunos Pós-Graduação Stricto Sensu: Questão 3</t>
  </si>
  <si>
    <t>Quanto a sua formação anterior: [Não tenho formação na UFPR]</t>
  </si>
  <si>
    <t>Alunos Pós-Graduação Stricto Sensu: Questão 4</t>
  </si>
  <si>
    <t>05</t>
  </si>
  <si>
    <t>Aberta</t>
  </si>
  <si>
    <t>Caso queira inserir algum comentário sobre sua formação anterior, utilize este espaço:</t>
  </si>
  <si>
    <t>Ver arquivo específico</t>
  </si>
  <si>
    <t xml:space="preserve">A </t>
  </si>
  <si>
    <t>Como você avalia o conjunto de disciplinas do seu programa de pós-graduação ofertado em 2021? [Disponibilidade de oferta compatível com os créditos exigidos]</t>
  </si>
  <si>
    <t>Alunos Pós-Graduação Stricto Sensu: Questão 6</t>
  </si>
  <si>
    <t>Como você avalia o conjunto de disciplinas do seu programa de pós-graduação ofertado em 2021? [Pertinência com a área do curso]</t>
  </si>
  <si>
    <t>Alunos Pós-Graduação Stricto Sensu: Questão 7</t>
  </si>
  <si>
    <t>Como você avalia o conjunto de disciplinas do seu programa de pós-graduação ofertado em 2021? [Quantidade, qualidade e atualidade dos conteúdos]</t>
  </si>
  <si>
    <t>Alunos Pós-Graduação Stricto Sensu: Questão 8</t>
  </si>
  <si>
    <t>Como você avalia o conjunto de disciplinas do seu programa de pós-graduação ofertado em 2021? [Nível de profundidade dos conteúdos]</t>
  </si>
  <si>
    <t>Alunos Pós-Graduação Stricto Sensu: Questão 9</t>
  </si>
  <si>
    <t>Como você avalia o conjunto de disciplinas do seu programa de pós-graduação ofertado em 2021? [Aplicabilidade para a pesquisa]</t>
  </si>
  <si>
    <t>Alunos Pós-Graduação Stricto Sensu: Questão 10</t>
  </si>
  <si>
    <t>Como você avalia o conjunto de disciplinas do seu programa de pós-graduação ofertado em 2021? [Feedback do desempenho nas disciplinas]</t>
  </si>
  <si>
    <t>Alunos Pós-Graduação Stricto Sensu: Questão 11</t>
  </si>
  <si>
    <t>Como você avalia o conjunto de disciplinas do seu programa de pós-graduação ofertado em 2021? [Oferta de disciplinas em inglês]</t>
  </si>
  <si>
    <t>Alunos Pós-Graduação Stricto Sensu: Questão 12</t>
  </si>
  <si>
    <t>Como você avalia o conjunto de disciplinas do seu programa de pós-graduação ofertado em 2021? [Duração das aulas]</t>
  </si>
  <si>
    <t>Alunos Pós-Graduação Stricto Sensu: Questão 13</t>
  </si>
  <si>
    <t>Como você avalia o conjunto de disciplinas do seu programa de pós-graduação ofertado em 2021? [Quantidade de tarefas nas disciplinas]</t>
  </si>
  <si>
    <t>Alunos Pós-Graduação Stricto Sensu: Questão 14</t>
  </si>
  <si>
    <t>Como você avalia o conjunto de disciplinas do seu programa de pós-graduação ofertado em 2021? [Facilidade em acompanhar os conteúdos]</t>
  </si>
  <si>
    <t>Alunos Pós-Graduação Stricto Sensu: Questão 15</t>
  </si>
  <si>
    <t>Como você avalia o conjunto de disciplinas do seu programa de pós-graduação ofertado em 2021? [Didática do docente nas atividades remotas]</t>
  </si>
  <si>
    <t>Alunos Pós-Graduação Stricto Sensu: Questão 16</t>
  </si>
  <si>
    <t>Como você avalia o conjunto de disciplinas do seu programa de pós-graduação ofertado em 2021? [Pertinência da proposta de avaliação]</t>
  </si>
  <si>
    <t>Alunos Pós-Graduação Stricto Sensu: Questão 17</t>
  </si>
  <si>
    <t>Como você avalia o conjunto de disciplinas do seu programa de pós-graduação ofertado em 2021? [Avaliação global das aulas remotas]</t>
  </si>
  <si>
    <t>Alunos Pós-Graduação Stricto Sensu: Questão 18</t>
  </si>
  <si>
    <t>Como você avalia a atuação das bancas não presenciais?</t>
  </si>
  <si>
    <t>Alunos Pós-Graduação Stricto Sensu: Questão 19</t>
  </si>
  <si>
    <t>Você cursou disciplinas transversais no ano de 2021?</t>
  </si>
  <si>
    <t>Alunos Pós-Graduação Stricto Sensu: Questão 20</t>
  </si>
  <si>
    <t>Como você avalia o conjunto de disciplinas transversais da pós-graduação? [Disponibilidade de oferta compatível com os créditos exigidos]</t>
  </si>
  <si>
    <t>Alunos Pós-Graduação Stricto Sensu: Questão 21</t>
  </si>
  <si>
    <t>Como você avalia o conjunto de disciplinas transversais da pós-graduação? [Pertinência com a área do meu curso]</t>
  </si>
  <si>
    <t>Alunos Pós-Graduação Stricto Sensu: Questão 22</t>
  </si>
  <si>
    <t>Como você avalia o conjunto de disciplinas transversais da pós-graduação? [Quantidade, qualidade e atualidade dos conteúdos]</t>
  </si>
  <si>
    <t>Alunos Pós-Graduação Stricto Sensu: Questão 23</t>
  </si>
  <si>
    <t>Como você avalia o conjunto de disciplinas transversais da pós-graduação? [Nível de profundidade dos conteúdos]</t>
  </si>
  <si>
    <t>Alunos Pós-Graduação Stricto Sensu: Questão 24</t>
  </si>
  <si>
    <t>Como você avalia o conjunto de disciplinas transversais da pós-graduação? [Aplicabilidade para a pesquisa]</t>
  </si>
  <si>
    <t>Alunos Pós-Graduação Stricto Sensu: Questão 25</t>
  </si>
  <si>
    <t>Como você avalia o conjunto de disciplinas transversais da pós-graduação? [Feedback do desempenho nas disciplinas]</t>
  </si>
  <si>
    <t>Alunos Pós-Graduação Stricto Sensu: Questão 26</t>
  </si>
  <si>
    <t>Como você avalia o conjunto de disciplinas transversais da pós-graduação? [Oferta de disciplinas em inglês]</t>
  </si>
  <si>
    <t>Alunos Pós-Graduação Stricto Sensu: Questão 27</t>
  </si>
  <si>
    <t>Como você avalia o conjunto de disciplinas transversais da pós-graduação? [Disciplinas transversais (oferta, acompanhamento, etc.)]</t>
  </si>
  <si>
    <t>Alunos Pós-Graduação Stricto Sensu: Questão 28</t>
  </si>
  <si>
    <t>Como você avalia o conjunto de disciplinas transversais da pós-graduação? [Duração das aulas]</t>
  </si>
  <si>
    <t>Alunos Pós-Graduação Stricto Sensu: Questão 29</t>
  </si>
  <si>
    <t>Como você avalia o conjunto de disciplinas transversais da pós-graduação? [Quantidade de tarefas nas disciplinas]</t>
  </si>
  <si>
    <t>Alunos Pós-Graduação Stricto Sensu: Questão 30</t>
  </si>
  <si>
    <t>Como você avalia o conjunto de disciplinas transversais da pós-graduação? [Facilidade em acompanhar os conteúdos]</t>
  </si>
  <si>
    <t>Alunos Pós-Graduação Stricto Sensu: Questão 31</t>
  </si>
  <si>
    <t>Como você avalia o conjunto de disciplinas transversais da pós-graduação? [Didática do(s) docente(s) nas atividades remotas]</t>
  </si>
  <si>
    <t>Alunos Pós-Graduação Stricto Sensu: Questão 32</t>
  </si>
  <si>
    <t>Como você avalia o conjunto de disciplinas transversais da pós-graduação? [Pertinência da proposta de avaliação]</t>
  </si>
  <si>
    <t>Alunos Pós-Graduação Stricto Sensu: Questão 33</t>
  </si>
  <si>
    <t>Como você avalia o conjunto de disciplinas transversais da pós-graduação? [Avaliação global das disciplinas]</t>
  </si>
  <si>
    <t>Alunos Pós-Graduação Stricto Sensu: Questão 34</t>
  </si>
  <si>
    <t>Com relação ao quadro de docentes disponíveis para orientação, opine sobre: [O número de orientadores disponíveis]</t>
  </si>
  <si>
    <t>Alunos Pós-Graduação Stricto Sensu: Questão 35</t>
  </si>
  <si>
    <t>Com relação ao quadro de docentes disponíveis para orientação, opine sobre: [O conhecimento e a atualização do orientador]</t>
  </si>
  <si>
    <t>Alunos Pós-Graduação Stricto Sensu: Questão 36</t>
  </si>
  <si>
    <t>Com relação ao quadro de docentes disponíveis para orientação, opine sobre: [O número de tarefas solicitadas pelo orientador]</t>
  </si>
  <si>
    <t>Alunos Pós-Graduação Stricto Sensu: Questão 37</t>
  </si>
  <si>
    <t>Com relação ao quadro de docentes disponíveis para orientação, opine sobre: [A disponibilidade do docente para atividades de orientação]</t>
  </si>
  <si>
    <t>Alunos Pós-Graduação Stricto Sensu: Questão 38</t>
  </si>
  <si>
    <t>Com relação ao seu curso de Pós-Graduação, como você avalia: [O planejamento]</t>
  </si>
  <si>
    <t>Alunos Pós-Graduação Stricto Sensu: Questão 39</t>
  </si>
  <si>
    <t>Com relação ao seu curso de Pós-Graduação, como você avalia: [O processo seletivo do programa]</t>
  </si>
  <si>
    <t>Alunos Pós-Graduação Stricto Sensu: Questão 40</t>
  </si>
  <si>
    <t>Com relação ao seu curso de Pós-Graduação, como você avalia: [O regimento]</t>
  </si>
  <si>
    <t>Alunos Pós-Graduação Stricto Sensu: Questão 41</t>
  </si>
  <si>
    <t>Com relação à oferta de bolsas para a pós-graduação, como você avalia: [A divulgação]</t>
  </si>
  <si>
    <t>Alunos Pós-Graduação Stricto Sensu: Questão 42</t>
  </si>
  <si>
    <t>Com relação à oferta de bolsas para a pós-graduação, como você avalia: [Os critérios de seleção]</t>
  </si>
  <si>
    <t>Alunos Pós-Graduação Stricto Sensu: Questão 43</t>
  </si>
  <si>
    <t>Com relação à oferta de bolsas para a pós-graduação, como você avalia: [A disponibilidade]</t>
  </si>
  <si>
    <t>Alunos Pós-Graduação Stricto Sensu: Questão 44</t>
  </si>
  <si>
    <t>Com relação à oferta de bolsas para a pós-graduação, como você avalia: [O valor]</t>
  </si>
  <si>
    <t>Alunos Pós-Graduação Stricto Sensu: Questão 45</t>
  </si>
  <si>
    <t>Com relação à oferta de bolsas para a pós-graduação, como você avalia: [A aplicação dos critérios de seleção para a distribuição de bolsas]</t>
  </si>
  <si>
    <t>Alunos Pós-Graduação Stricto Sensu: Questão 46</t>
  </si>
  <si>
    <t>Avalie a sua interação com outros docentes (apoio a atividades práticas, discussão dos resultados, etc.): [Na UFPR]</t>
  </si>
  <si>
    <t>Alunos Pós-Graduação Stricto Sensu: Questão 47</t>
  </si>
  <si>
    <t>Avalie a sua interação com outros docentes (apoio a atividades práticas, discussão dos resultados, etc.): [No país]</t>
  </si>
  <si>
    <t>Alunos Pós-Graduação Stricto Sensu: Questão 48</t>
  </si>
  <si>
    <t>Avalie a sua interação com outros docentes (apoio a atividades práticas, discussão dos resultados, etc.): [No exterior]</t>
  </si>
  <si>
    <t>Alunos Pós-Graduação Stricto Sensu: Questão 49</t>
  </si>
  <si>
    <t>Avalie a sua interação com outros discentes que desenvolvem pesquisa (apoio a atividades práticas, discussão dos resultados, etc.): [Na UFPR]</t>
  </si>
  <si>
    <t>Alunos Pós-Graduação Stricto Sensu: Questão 50</t>
  </si>
  <si>
    <t>Avalie a sua interação com outros discentes que desenvolvem pesquisa (apoio a atividades práticas, discussão dos resultados, etc.): [No país]</t>
  </si>
  <si>
    <t>Alunos Pós-Graduação Stricto Sensu: Questão 51</t>
  </si>
  <si>
    <t>Avalie a sua interação com outros discentes que desenvolvem pesquisa (apoio a atividades práticas, discussão dos resultados, etc.): [No exterior]</t>
  </si>
  <si>
    <t>Alunos Pós-Graduação Stricto Sensu: Questão 52</t>
  </si>
  <si>
    <t>53</t>
  </si>
  <si>
    <t>Se desejar, deixe suas considerações sobre quaisquer dos temas abordados neste conjunto de perguntas de políticas e ações para a pós-graduação:</t>
  </si>
  <si>
    <t>A</t>
  </si>
  <si>
    <t>Como você avalia o funcionamento da secretaria de pós-graduação em 2021 com relação aos temas a seguir? [Horário de Atendimento]</t>
  </si>
  <si>
    <t>Alunos Pós-Graduação Stricto Sensu: Questão 54</t>
  </si>
  <si>
    <t>Como você avalia o funcionamento da secretaria de pós-graduação em 2021 com relação aos temas a seguir? [Qualidade do atendimento]</t>
  </si>
  <si>
    <t>Alunos Pós-Graduação Stricto Sensu: Questão 55</t>
  </si>
  <si>
    <t>Como você avalia o funcionamento da secretaria de pós-graduação em 2021 com relação aos temas a seguir? [Efetividade do atendimento (supre as demandas dos docentes e discentes)]</t>
  </si>
  <si>
    <t>Alunos Pós-Graduação Stricto Sensu: Questão 56</t>
  </si>
  <si>
    <t>Avalie a qualidade do atendimento durante o ano de 2021 da: [PRPPG]</t>
  </si>
  <si>
    <t>Alunos Pós-Graduação Stricto Sensu: Questão 57</t>
  </si>
  <si>
    <t>Avalie a qualidade do atendimento durante o ano de 2021 da: [Biblioteca]</t>
  </si>
  <si>
    <t>Alunos Pós-Graduação Stricto Sensu: Questão 58</t>
  </si>
  <si>
    <t>Avalie este instrumento de pesquisa: [Abrangência dos temas]</t>
  </si>
  <si>
    <t>Alunos Pós-Graduação Stricto Sensu: Questão 59</t>
  </si>
  <si>
    <t>Avalie este instrumento de pesquisa: [Objetividade e clareza]</t>
  </si>
  <si>
    <t>Alunos Pós-Graduação Stricto Sensu: Questão 60</t>
  </si>
  <si>
    <t>61</t>
  </si>
  <si>
    <t>Se desejar, utilize o espaço para comentários e sugestões sobre este instrumento de pesquisa:</t>
  </si>
  <si>
    <t>Titulo</t>
  </si>
  <si>
    <t>Resposta</t>
  </si>
  <si>
    <t>Programas</t>
  </si>
  <si>
    <t>% Total</t>
  </si>
  <si>
    <t>% Válidas</t>
  </si>
  <si>
    <t>Total</t>
  </si>
  <si>
    <t>Ações</t>
  </si>
  <si>
    <t>Legendas</t>
  </si>
  <si>
    <t>Pós</t>
  </si>
  <si>
    <t>Total %</t>
  </si>
  <si>
    <t>Excelente+Bom</t>
  </si>
  <si>
    <t xml:space="preserve">Atenção </t>
  </si>
  <si>
    <t>Não se aplica+Não sei responder</t>
  </si>
  <si>
    <t>Ruim+Péssimo</t>
  </si>
  <si>
    <t>NULL</t>
  </si>
  <si>
    <t>Sem resposta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</si>
</sst>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444444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color rgb="FF444444"/>
      <name val="Calibri"/>
      <family val="2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scheme val="minor"/>
    </font>
    <font>
      <sz val="9"/>
      <color rgb="FF444444"/>
      <name val="Calibri"/>
      <family val="2"/>
      <charset val="1"/>
    </font>
    <font>
      <sz val="11"/>
      <color rgb="FF0D0D0D"/>
      <name val="Calibri"/>
      <family val="2"/>
      <scheme val="minor"/>
    </font>
    <font>
      <sz val="11"/>
      <color rgb="FF0D0D0D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sz val="9"/>
      <color rgb="FFFFFF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49" fontId="0" fillId="0" borderId="0" xfId="0" applyNumberFormat="1"/>
    <xf numFmtId="0" fontId="3" fillId="0" borderId="0" xfId="0" applyFont="1"/>
    <xf numFmtId="0" fontId="4" fillId="0" borderId="0" xfId="0" quotePrefix="1" applyFont="1"/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/>
    <xf numFmtId="2" fontId="3" fillId="0" borderId="0" xfId="0" applyNumberFormat="1" applyFont="1"/>
    <xf numFmtId="0" fontId="3" fillId="0" borderId="5" xfId="0" applyFont="1" applyBorder="1"/>
    <xf numFmtId="0" fontId="4" fillId="0" borderId="5" xfId="0" quotePrefix="1" applyFont="1" applyBorder="1"/>
    <xf numFmtId="0" fontId="3" fillId="0" borderId="6" xfId="0" applyFont="1" applyBorder="1"/>
    <xf numFmtId="1" fontId="3" fillId="0" borderId="0" xfId="0" applyNumberFormat="1" applyFont="1"/>
    <xf numFmtId="0" fontId="3" fillId="0" borderId="0" xfId="0" applyFont="1" applyAlignment="1">
      <alignment horizontal="left"/>
    </xf>
    <xf numFmtId="2" fontId="4" fillId="0" borderId="0" xfId="0" quotePrefix="1" applyNumberFormat="1" applyFont="1"/>
    <xf numFmtId="2" fontId="3" fillId="0" borderId="6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5" fillId="0" borderId="0" xfId="0" quotePrefix="1" applyNumberFormat="1" applyFont="1"/>
    <xf numFmtId="2" fontId="7" fillId="0" borderId="0" xfId="0" quotePrefix="1" applyNumberFormat="1" applyFont="1"/>
    <xf numFmtId="0" fontId="6" fillId="0" borderId="0" xfId="0" applyFont="1"/>
    <xf numFmtId="2" fontId="4" fillId="0" borderId="5" xfId="0" quotePrefix="1" applyNumberFormat="1" applyFont="1" applyBorder="1"/>
    <xf numFmtId="0" fontId="6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2" fontId="10" fillId="0" borderId="0" xfId="0" quotePrefix="1" applyNumberFormat="1" applyFont="1"/>
    <xf numFmtId="0" fontId="3" fillId="0" borderId="2" xfId="0" applyFont="1" applyBorder="1"/>
    <xf numFmtId="0" fontId="11" fillId="0" borderId="2" xfId="0" applyFont="1" applyBorder="1"/>
    <xf numFmtId="0" fontId="11" fillId="6" borderId="0" xfId="0" applyFont="1" applyFill="1"/>
    <xf numFmtId="0" fontId="11" fillId="5" borderId="0" xfId="0" applyFont="1" applyFill="1"/>
    <xf numFmtId="0" fontId="11" fillId="4" borderId="0" xfId="0" applyFont="1" applyFill="1"/>
    <xf numFmtId="0" fontId="11" fillId="3" borderId="5" xfId="0" applyFont="1" applyFill="1" applyBorder="1"/>
    <xf numFmtId="2" fontId="12" fillId="0" borderId="0" xfId="0" quotePrefix="1" applyNumberFormat="1" applyFont="1"/>
    <xf numFmtId="2" fontId="12" fillId="0" borderId="5" xfId="0" quotePrefix="1" applyNumberFormat="1" applyFont="1" applyBorder="1"/>
    <xf numFmtId="10" fontId="8" fillId="0" borderId="0" xfId="0" quotePrefix="1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left" wrapText="1"/>
    </xf>
    <xf numFmtId="9" fontId="14" fillId="0" borderId="0" xfId="1" applyFont="1" applyFill="1" applyBorder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2" fontId="16" fillId="0" borderId="0" xfId="0" applyNumberFormat="1" applyFont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7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7" borderId="7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8" borderId="7" xfId="0" applyFont="1" applyFill="1" applyBorder="1" applyAlignment="1">
      <alignment vertical="center"/>
    </xf>
    <xf numFmtId="0" fontId="16" fillId="9" borderId="7" xfId="0" applyFont="1" applyFill="1" applyBorder="1" applyAlignment="1">
      <alignment vertical="center"/>
    </xf>
    <xf numFmtId="0" fontId="16" fillId="10" borderId="7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0" fillId="11" borderId="8" xfId="0" applyFill="1" applyBorder="1"/>
    <xf numFmtId="0" fontId="0" fillId="12" borderId="8" xfId="0" applyFill="1" applyBorder="1"/>
    <xf numFmtId="0" fontId="3" fillId="0" borderId="9" xfId="0" applyFont="1" applyBorder="1"/>
    <xf numFmtId="0" fontId="4" fillId="0" borderId="9" xfId="0" quotePrefix="1" applyFont="1" applyBorder="1"/>
    <xf numFmtId="0" fontId="19" fillId="0" borderId="0" xfId="0" applyFont="1" applyAlignment="1">
      <alignment horizontal="left"/>
    </xf>
    <xf numFmtId="0" fontId="20" fillId="0" borderId="0" xfId="0" applyFont="1"/>
    <xf numFmtId="0" fontId="21" fillId="13" borderId="0" xfId="0" applyFont="1" applyFill="1"/>
    <xf numFmtId="0" fontId="21" fillId="0" borderId="0" xfId="0" applyFont="1"/>
    <xf numFmtId="0" fontId="22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 applyAlignment="1">
      <alignment wrapText="1"/>
    </xf>
    <xf numFmtId="0" fontId="0" fillId="14" borderId="0" xfId="0" applyFill="1" applyAlignment="1">
      <alignment wrapText="1"/>
    </xf>
    <xf numFmtId="0" fontId="0" fillId="14" borderId="0" xfId="0" applyFill="1"/>
    <xf numFmtId="0" fontId="0" fillId="14" borderId="10" xfId="0" applyFill="1" applyBorder="1" applyAlignment="1">
      <alignment wrapText="1"/>
    </xf>
    <xf numFmtId="0" fontId="16" fillId="0" borderId="7" xfId="0" applyFont="1" applyBorder="1" applyAlignment="1">
      <alignment vertical="center"/>
    </xf>
  </cellXfs>
  <cellStyles count="2">
    <cellStyle name="Normal" xfId="0" builtinId="0"/>
    <cellStyle name="Porcentagem" xfId="1" builtinId="5"/>
  </cellStyles>
  <dxfs count="67">
    <dxf>
      <font>
        <color rgb="FF9C0006"/>
      </font>
      <fill>
        <patternFill>
          <bgColor rgb="FFFFC7CE"/>
        </patternFill>
      </fill>
    </dxf>
    <dxf>
      <font>
        <color rgb="FF0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colors>
    <mruColors>
      <color rgb="FFEBC7C7"/>
      <color rgb="FF66FFFF"/>
      <color rgb="FF996633"/>
      <color rgb="FFFF33CC"/>
      <color rgb="FFC6E6C7"/>
      <color rgb="FFB7B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1 -</a:t>
            </a:r>
            <a:r>
              <a:rPr lang="en-US" baseline="0"/>
              <a:t> Mestrado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0D-4211-9042-4520993016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0D-4211-9042-4520993016F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'Q01'!$B$6:$B$7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'Q01'!$D$6:$D$7</c:f>
              <c:numCache>
                <c:formatCode>0.00</c:formatCode>
                <c:ptCount val="2"/>
                <c:pt idx="0">
                  <c:v>34.78</c:v>
                </c:pt>
                <c:pt idx="1">
                  <c:v>65.22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0D-4211-9042-4520993016F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'Q08'!$C$6:$C$12</c:f>
              <c:numCache>
                <c:formatCode>General</c:formatCode>
                <c:ptCount val="7"/>
                <c:pt idx="0">
                  <c:v>11</c:v>
                </c:pt>
                <c:pt idx="1">
                  <c:v>8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D-4DD9-9F76-8325121E56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107392"/>
        <c:axId val="82110336"/>
      </c:barChart>
      <c:catAx>
        <c:axId val="8210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10336"/>
        <c:crosses val="autoZero"/>
        <c:auto val="1"/>
        <c:lblAlgn val="ctr"/>
        <c:lblOffset val="100"/>
        <c:noMultiLvlLbl val="0"/>
      </c:catAx>
      <c:valAx>
        <c:axId val="8211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6D-47FE-9773-6203EB39762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6D-47FE-9773-6203EB39762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6D-47FE-9773-6203EB39762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6D-47FE-9773-6203EB39762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'Q55'!$D$19:$D$22</c:f>
              <c:numCache>
                <c:formatCode>General</c:formatCode>
                <c:ptCount val="4"/>
                <c:pt idx="0">
                  <c:v>20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6D-47FE-9773-6203EB397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'Q55'!$C$6:$C$12</c:f>
              <c:numCache>
                <c:formatCode>General</c:formatCode>
                <c:ptCount val="7"/>
                <c:pt idx="0">
                  <c:v>13</c:v>
                </c:pt>
                <c:pt idx="1">
                  <c:v>7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4-4301-81A8-6B6A6CD95F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003456"/>
        <c:axId val="126010496"/>
      </c:barChart>
      <c:catAx>
        <c:axId val="12600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10496"/>
        <c:crosses val="autoZero"/>
        <c:auto val="1"/>
        <c:lblAlgn val="ctr"/>
        <c:lblOffset val="100"/>
        <c:noMultiLvlLbl val="0"/>
      </c:catAx>
      <c:valAx>
        <c:axId val="12601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0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B7-4072-8007-AEEB84F9ECF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B7-4072-8007-AEEB84F9ECF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B7-4072-8007-AEEB84F9ECF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B7-4072-8007-AEEB84F9ECF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'Q56'!$D$19:$D$22</c:f>
              <c:numCache>
                <c:formatCode>General</c:formatCode>
                <c:ptCount val="4"/>
                <c:pt idx="0">
                  <c:v>21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B7-4072-8007-AEEB84F9E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'Q56'!$C$6:$C$12</c:f>
              <c:numCache>
                <c:formatCode>General</c:formatCode>
                <c:ptCount val="7"/>
                <c:pt idx="0">
                  <c:v>11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A-4CA0-A6B6-8CF093FC9B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868928"/>
        <c:axId val="127871616"/>
      </c:barChart>
      <c:catAx>
        <c:axId val="12786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71616"/>
        <c:crosses val="autoZero"/>
        <c:auto val="1"/>
        <c:lblAlgn val="ctr"/>
        <c:lblOffset val="100"/>
        <c:noMultiLvlLbl val="0"/>
      </c:catAx>
      <c:valAx>
        <c:axId val="12787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6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A8-4380-9117-85E4FECF7C0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A8-4380-9117-85E4FECF7C0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A8-4380-9117-85E4FECF7C0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A8-4380-9117-85E4FECF7C0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'Q57'!$B$20:$B$23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'Q57'!$D$20:$D$23</c:f>
              <c:numCache>
                <c:formatCode>General</c:formatCode>
                <c:ptCount val="4"/>
                <c:pt idx="0">
                  <c:v>14</c:v>
                </c:pt>
                <c:pt idx="1">
                  <c:v>2</c:v>
                </c:pt>
                <c:pt idx="2">
                  <c:v>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A8-4380-9117-85E4FECF7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'Q57'!$C$6:$C$13</c:f>
              <c:numCache>
                <c:formatCode>General</c:formatCode>
                <c:ptCount val="8"/>
                <c:pt idx="0">
                  <c:v>0</c:v>
                </c:pt>
                <c:pt idx="1">
                  <c:v>9</c:v>
                </c:pt>
                <c:pt idx="2">
                  <c:v>5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3-49AD-A8EF-CF1DC91EA0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976576"/>
        <c:axId val="127979520"/>
      </c:barChart>
      <c:catAx>
        <c:axId val="12797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9520"/>
        <c:crosses val="autoZero"/>
        <c:auto val="1"/>
        <c:lblAlgn val="ctr"/>
        <c:lblOffset val="100"/>
        <c:noMultiLvlLbl val="0"/>
      </c:catAx>
      <c:valAx>
        <c:axId val="12797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83-4979-975F-B5F0202248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83-4979-975F-B5F02022482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83-4979-975F-B5F02022482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83-4979-975F-B5F02022482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'Q58'!$D$19:$D$22</c:f>
              <c:numCache>
                <c:formatCode>General</c:formatCode>
                <c:ptCount val="4"/>
                <c:pt idx="0">
                  <c:v>7</c:v>
                </c:pt>
                <c:pt idx="1">
                  <c:v>0</c:v>
                </c:pt>
                <c:pt idx="2">
                  <c:v>15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83-4979-975F-B5F020224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'Q58'!$C$6:$C$12</c:f>
              <c:numCache>
                <c:formatCode>General</c:formatCode>
                <c:ptCount val="7"/>
                <c:pt idx="0">
                  <c:v>5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6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7-40FD-A776-18FDAA6B86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563456"/>
        <c:axId val="128570496"/>
      </c:barChart>
      <c:catAx>
        <c:axId val="1285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70496"/>
        <c:crosses val="autoZero"/>
        <c:auto val="1"/>
        <c:lblAlgn val="ctr"/>
        <c:lblOffset val="100"/>
        <c:noMultiLvlLbl val="0"/>
      </c:catAx>
      <c:valAx>
        <c:axId val="12857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6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30-4736-988C-8459718E09F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30-4736-988C-8459718E09F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30-4736-988C-8459718E09F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30-4736-988C-8459718E09F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'Q59'!$D$19:$D$22</c:f>
              <c:numCache>
                <c:formatCode>General</c:formatCode>
                <c:ptCount val="4"/>
                <c:pt idx="0">
                  <c:v>18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30-4736-988C-8459718E0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'Q59'!$C$6:$C$12</c:f>
              <c:numCache>
                <c:formatCode>General</c:formatCode>
                <c:ptCount val="7"/>
                <c:pt idx="0">
                  <c:v>5</c:v>
                </c:pt>
                <c:pt idx="1">
                  <c:v>13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C-4D2F-8174-4434B65B96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638336"/>
        <c:axId val="128731392"/>
      </c:barChart>
      <c:catAx>
        <c:axId val="12863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731392"/>
        <c:crosses val="autoZero"/>
        <c:auto val="1"/>
        <c:lblAlgn val="ctr"/>
        <c:lblOffset val="100"/>
        <c:noMultiLvlLbl val="0"/>
      </c:catAx>
      <c:valAx>
        <c:axId val="12873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63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E4-4015-AF11-D84311940C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E4-4015-AF11-D84311940C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E4-4015-AF11-D84311940C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E4-4015-AF11-D84311940C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'Q09'!$D$19:$D$22</c:f>
              <c:numCache>
                <c:formatCode>General</c:formatCode>
                <c:ptCount val="4"/>
                <c:pt idx="0">
                  <c:v>21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3E4-4015-AF11-D84311940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41-42A6-AC1E-D672F8C4397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41-42A6-AC1E-D672F8C4397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41-42A6-AC1E-D672F8C4397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41-42A6-AC1E-D672F8C4397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'Q60'!$B$19:$B$22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'Q60'!$D$19:$D$22</c:f>
              <c:numCache>
                <c:formatCode>General</c:formatCode>
                <c:ptCount val="4"/>
                <c:pt idx="0">
                  <c:v>21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41-42A6-AC1E-D672F8C43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'Q60'!$C$6:$C$12</c:f>
              <c:numCache>
                <c:formatCode>General</c:formatCode>
                <c:ptCount val="7"/>
                <c:pt idx="0">
                  <c:v>7</c:v>
                </c:pt>
                <c:pt idx="1">
                  <c:v>14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7-457A-A1BE-0D7F9D0F28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9065728"/>
        <c:axId val="129068416"/>
      </c:barChart>
      <c:catAx>
        <c:axId val="12906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8416"/>
        <c:crosses val="autoZero"/>
        <c:auto val="1"/>
        <c:lblAlgn val="ctr"/>
        <c:lblOffset val="100"/>
        <c:noMultiLvlLbl val="0"/>
      </c:catAx>
      <c:valAx>
        <c:axId val="12906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'Q09'!$C$6:$C$12</c:f>
              <c:numCache>
                <c:formatCode>General</c:formatCode>
                <c:ptCount val="7"/>
                <c:pt idx="0">
                  <c:v>14</c:v>
                </c:pt>
                <c:pt idx="1">
                  <c:v>7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6-4941-9C7A-8E59147E71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20096"/>
        <c:axId val="82422784"/>
      </c:barChart>
      <c:catAx>
        <c:axId val="8242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2784"/>
        <c:crosses val="autoZero"/>
        <c:auto val="1"/>
        <c:lblAlgn val="ctr"/>
        <c:lblOffset val="100"/>
        <c:noMultiLvlLbl val="0"/>
      </c:catAx>
      <c:valAx>
        <c:axId val="824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72-4B45-BF38-845B12B6DD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72-4B45-BF38-845B12B6DD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72-4B45-BF38-845B12B6DD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72-4B45-BF38-845B12B6DD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'Q10'!$D$19:$D$22</c:f>
              <c:numCache>
                <c:formatCode>General</c:formatCode>
                <c:ptCount val="4"/>
                <c:pt idx="0">
                  <c:v>20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72-4B45-BF38-845B12B6D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'Q10'!$C$6:$C$12</c:f>
              <c:numCache>
                <c:formatCode>General</c:formatCode>
                <c:ptCount val="7"/>
                <c:pt idx="0">
                  <c:v>9</c:v>
                </c:pt>
                <c:pt idx="1">
                  <c:v>11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0-4153-BD7F-28234EDF8A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70400"/>
        <c:axId val="82506112"/>
      </c:barChart>
      <c:catAx>
        <c:axId val="824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506112"/>
        <c:crosses val="autoZero"/>
        <c:auto val="1"/>
        <c:lblAlgn val="ctr"/>
        <c:lblOffset val="100"/>
        <c:noMultiLvlLbl val="0"/>
      </c:catAx>
      <c:valAx>
        <c:axId val="8250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7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04-48D1-9952-B03DED98A7B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04-48D1-9952-B03DED98A7B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04-48D1-9952-B03DED98A7B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04-48D1-9952-B03DED98A7B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'Q11'!$D$19:$D$22</c:f>
              <c:numCache>
                <c:formatCode>General</c:formatCode>
                <c:ptCount val="4"/>
                <c:pt idx="0">
                  <c:v>15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04-48D1-9952-B03DED98A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'Q11'!$C$6:$C$12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6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9-48C3-A02D-D84BAAC5A4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688640"/>
        <c:axId val="82691584"/>
      </c:barChart>
      <c:catAx>
        <c:axId val="826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91584"/>
        <c:crosses val="autoZero"/>
        <c:auto val="1"/>
        <c:lblAlgn val="ctr"/>
        <c:lblOffset val="100"/>
        <c:noMultiLvlLbl val="0"/>
      </c:catAx>
      <c:valAx>
        <c:axId val="8269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8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17-47C3-8B12-4FE6FD8C8EF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17-47C3-8B12-4FE6FD8C8EF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17-47C3-8B12-4FE6FD8C8EF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17-47C3-8B12-4FE6FD8C8EF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'Q12'!$D$19:$D$22</c:f>
              <c:numCache>
                <c:formatCode>General</c:formatCode>
                <c:ptCount val="4"/>
                <c:pt idx="0">
                  <c:v>10</c:v>
                </c:pt>
                <c:pt idx="1">
                  <c:v>6</c:v>
                </c:pt>
                <c:pt idx="2">
                  <c:v>5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17-47C3-8B12-4FE6FD8C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'Q12'!$C$6:$C$12</c:f>
              <c:numCache>
                <c:formatCode>General</c:formatCode>
                <c:ptCount val="7"/>
                <c:pt idx="0">
                  <c:v>3</c:v>
                </c:pt>
                <c:pt idx="1">
                  <c:v>7</c:v>
                </c:pt>
                <c:pt idx="2">
                  <c:v>6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5-4E98-B611-C791A62563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587072"/>
        <c:axId val="83589760"/>
      </c:barChart>
      <c:catAx>
        <c:axId val="8358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9760"/>
        <c:crosses val="autoZero"/>
        <c:auto val="1"/>
        <c:lblAlgn val="ctr"/>
        <c:lblOffset val="100"/>
        <c:noMultiLvlLbl val="0"/>
      </c:catAx>
      <c:valAx>
        <c:axId val="8358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81-4749-90BD-5D1606D627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81-4749-90BD-5D1606D627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81-4749-90BD-5D1606D627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81-4749-90BD-5D1606D627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'Q13'!$D$19:$D$22</c:f>
              <c:numCache>
                <c:formatCode>General</c:formatCode>
                <c:ptCount val="4"/>
                <c:pt idx="0">
                  <c:v>20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81-4749-90BD-5D1606D62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 Graduação na UFPR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6B-4773-9DDF-6B16518D96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6B-4773-9DDF-6B16518D963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'Q02'!$B$6:$B$7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'Q02'!$D$6:$D$7</c:f>
              <c:numCache>
                <c:formatCode>General</c:formatCode>
                <c:ptCount val="2"/>
                <c:pt idx="0">
                  <c:v>30.43</c:v>
                </c:pt>
                <c:pt idx="1">
                  <c:v>69.569999999999993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6B-4773-9DDF-6B16518D963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'Q13'!$C$6:$C$12</c:f>
              <c:numCache>
                <c:formatCode>General</c:formatCode>
                <c:ptCount val="7"/>
                <c:pt idx="0">
                  <c:v>9</c:v>
                </c:pt>
                <c:pt idx="1">
                  <c:v>11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7-463B-AAB1-9B66888EFE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797120"/>
        <c:axId val="83812352"/>
      </c:barChart>
      <c:catAx>
        <c:axId val="8379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12352"/>
        <c:crosses val="autoZero"/>
        <c:auto val="1"/>
        <c:lblAlgn val="ctr"/>
        <c:lblOffset val="100"/>
        <c:noMultiLvlLbl val="0"/>
      </c:catAx>
      <c:valAx>
        <c:axId val="8381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79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96-400A-A990-EBCE21B5F47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96-400A-A990-EBCE21B5F47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96-400A-A990-EBCE21B5F47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96-400A-A990-EBCE21B5F47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'Q14'!$D$19:$D$22</c:f>
              <c:numCache>
                <c:formatCode>General</c:formatCode>
                <c:ptCount val="4"/>
                <c:pt idx="0">
                  <c:v>21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96-400A-A990-EBCE21B5F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'Q14'!$C$6:$C$12</c:f>
              <c:numCache>
                <c:formatCode>General</c:formatCode>
                <c:ptCount val="7"/>
                <c:pt idx="0">
                  <c:v>8</c:v>
                </c:pt>
                <c:pt idx="1">
                  <c:v>13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2-4350-9A41-8EE98BF51B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851520"/>
        <c:axId val="83854464"/>
      </c:barChart>
      <c:catAx>
        <c:axId val="8385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4464"/>
        <c:crosses val="autoZero"/>
        <c:auto val="1"/>
        <c:lblAlgn val="ctr"/>
        <c:lblOffset val="100"/>
        <c:noMultiLvlLbl val="0"/>
      </c:catAx>
      <c:valAx>
        <c:axId val="8385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2E-4963-ACEC-DD62B186FD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2E-4963-ACEC-DD62B186FD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2E-4963-ACEC-DD62B186FD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2E-4963-ACEC-DD62B186FD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'Q15'!$D$19:$D$22</c:f>
              <c:numCache>
                <c:formatCode>General</c:formatCode>
                <c:ptCount val="4"/>
                <c:pt idx="0">
                  <c:v>18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2E-4963-ACEC-DD62B186F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'Q15'!$C$6:$C$12</c:f>
              <c:numCache>
                <c:formatCode>General</c:formatCode>
                <c:ptCount val="7"/>
                <c:pt idx="0">
                  <c:v>7</c:v>
                </c:pt>
                <c:pt idx="1">
                  <c:v>11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B-4784-99BE-350AE2B599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992576"/>
        <c:axId val="83995264"/>
      </c:barChart>
      <c:catAx>
        <c:axId val="8399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5264"/>
        <c:crosses val="autoZero"/>
        <c:auto val="1"/>
        <c:lblAlgn val="ctr"/>
        <c:lblOffset val="100"/>
        <c:noMultiLvlLbl val="0"/>
      </c:catAx>
      <c:valAx>
        <c:axId val="8399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F6-4891-BA56-66E5320C80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F6-4891-BA56-66E5320C80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F6-4891-BA56-66E5320C80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9F6-4891-BA56-66E5320C80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'Q16'!$D$19:$D$22</c:f>
              <c:numCache>
                <c:formatCode>General</c:formatCode>
                <c:ptCount val="4"/>
                <c:pt idx="0">
                  <c:v>16</c:v>
                </c:pt>
                <c:pt idx="1">
                  <c:v>5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F6-4891-BA56-66E5320C8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'Q16'!$C$6:$C$12</c:f>
              <c:numCache>
                <c:formatCode>General</c:formatCode>
                <c:ptCount val="7"/>
                <c:pt idx="0">
                  <c:v>7</c:v>
                </c:pt>
                <c:pt idx="1">
                  <c:v>9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147-BB71-ED66B49F5D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886080"/>
        <c:axId val="85913600"/>
      </c:barChart>
      <c:catAx>
        <c:axId val="8588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913600"/>
        <c:crosses val="autoZero"/>
        <c:auto val="1"/>
        <c:lblAlgn val="ctr"/>
        <c:lblOffset val="100"/>
        <c:noMultiLvlLbl val="0"/>
      </c:catAx>
      <c:valAx>
        <c:axId val="8591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88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59-47EF-B840-80059CE650C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59-47EF-B840-80059CE650C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59-47EF-B840-80059CE650C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59-47EF-B840-80059CE650C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'Q17'!$D$19:$D$22</c:f>
              <c:numCache>
                <c:formatCode>General</c:formatCode>
                <c:ptCount val="4"/>
                <c:pt idx="0">
                  <c:v>18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59-47EF-B840-80059CE65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'Q17'!$C$6:$C$12</c:f>
              <c:numCache>
                <c:formatCode>General</c:formatCode>
                <c:ptCount val="7"/>
                <c:pt idx="0">
                  <c:v>9</c:v>
                </c:pt>
                <c:pt idx="1">
                  <c:v>9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7-4055-8DCC-FE33086C9B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333184"/>
        <c:axId val="94344320"/>
      </c:barChart>
      <c:catAx>
        <c:axId val="943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44320"/>
        <c:crosses val="autoZero"/>
        <c:auto val="1"/>
        <c:lblAlgn val="ctr"/>
        <c:lblOffset val="100"/>
        <c:noMultiLvlLbl val="0"/>
      </c:catAx>
      <c:valAx>
        <c:axId val="9434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7-4075-97F6-B5472D82615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7-4075-97F6-B5472D82615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D7-4075-97F6-B5472D82615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D7-4075-97F6-B5472D82615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'Q18'!$D$19:$D$22</c:f>
              <c:numCache>
                <c:formatCode>General</c:formatCode>
                <c:ptCount val="4"/>
                <c:pt idx="0">
                  <c:v>18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D7-4075-97F6-B5472D826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 Curso Técnico na</a:t>
            </a:r>
            <a:r>
              <a:rPr lang="en-US" baseline="0"/>
              <a:t>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8A-4886-A26C-5C91D558AE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8A-4886-A26C-5C91D558AE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'Q03'!$B$6:$B$7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'Q03'!$D$6:$D$7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8A-4886-A26C-5C91D558A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'Q18'!$C$6:$C$12</c:f>
              <c:numCache>
                <c:formatCode>General</c:formatCode>
                <c:ptCount val="7"/>
                <c:pt idx="0">
                  <c:v>8</c:v>
                </c:pt>
                <c:pt idx="1">
                  <c:v>10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D-424A-81AA-1F50841B67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06912"/>
        <c:axId val="96413952"/>
      </c:barChart>
      <c:catAx>
        <c:axId val="9640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13952"/>
        <c:crosses val="autoZero"/>
        <c:auto val="1"/>
        <c:lblAlgn val="ctr"/>
        <c:lblOffset val="100"/>
        <c:noMultiLvlLbl val="0"/>
      </c:catAx>
      <c:valAx>
        <c:axId val="9641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0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F-4DE7-B9BD-4F3928D50F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F-4DE7-B9BD-4F3928D50F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F-4DE7-B9BD-4F3928D50F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F-4DE7-B9BD-4F3928D50F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'Q19'!$D$19:$D$22</c:f>
              <c:numCache>
                <c:formatCode>General</c:formatCode>
                <c:ptCount val="4"/>
                <c:pt idx="0">
                  <c:v>19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BF-4DE7-B9BD-4F3928D50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'Q19'!$C$6:$C$12</c:f>
              <c:numCache>
                <c:formatCode>General</c:formatCode>
                <c:ptCount val="7"/>
                <c:pt idx="0">
                  <c:v>13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5-42D1-AF4E-136298F516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523008"/>
        <c:axId val="96525696"/>
      </c:barChart>
      <c:catAx>
        <c:axId val="9652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5696"/>
        <c:crosses val="autoZero"/>
        <c:auto val="1"/>
        <c:lblAlgn val="ctr"/>
        <c:lblOffset val="100"/>
        <c:noMultiLvlLbl val="0"/>
      </c:catAx>
      <c:valAx>
        <c:axId val="9652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C1-4B2E-BEDD-803F8F3A27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C1-4B2E-BEDD-803F8F3A27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'Q20'!$B$6:$B$7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'Q20'!$D$6:$D$7</c:f>
              <c:numCache>
                <c:formatCode>General</c:formatCode>
                <c:ptCount val="2"/>
                <c:pt idx="0">
                  <c:v>26.09</c:v>
                </c:pt>
                <c:pt idx="1">
                  <c:v>73.91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C1-4B2E-BEDD-803F8F3A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E7-4EC1-AB5A-FC032CC024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E7-4EC1-AB5A-FC032CC024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E7-4EC1-AB5A-FC032CC024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E7-4EC1-AB5A-FC032CC024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E7-4EC1-AB5A-FC032CC02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'Q21'!$C$6:$C$12</c:f>
              <c:numCache>
                <c:formatCode>General</c:formatCode>
                <c:ptCount val="7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B-4AD2-95F1-BE6516BF58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635520"/>
        <c:axId val="96646656"/>
      </c:barChart>
      <c:catAx>
        <c:axId val="966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46656"/>
        <c:crosses val="autoZero"/>
        <c:auto val="1"/>
        <c:lblAlgn val="ctr"/>
        <c:lblOffset val="100"/>
        <c:noMultiLvlLbl val="0"/>
      </c:catAx>
      <c:valAx>
        <c:axId val="9664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3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AA-439C-9E14-35BA3F437B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AA-439C-9E14-35BA3F437B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AA-439C-9E14-35BA3F437B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AA-439C-9E14-35BA3F437B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'Q22'!$D$19:$D$22</c:f>
              <c:numCache>
                <c:formatCode>General</c:formatCode>
                <c:ptCount val="4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AA-439C-9E14-35BA3F437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'Q22'!$C$6:$C$12</c:f>
              <c:numCache>
                <c:formatCode>General</c:formatCode>
                <c:ptCount val="7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A-4D6A-9003-5387BD4EBA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103872"/>
        <c:axId val="97106560"/>
      </c:barChart>
      <c:catAx>
        <c:axId val="9710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6560"/>
        <c:crosses val="autoZero"/>
        <c:auto val="1"/>
        <c:lblAlgn val="ctr"/>
        <c:lblOffset val="100"/>
        <c:noMultiLvlLbl val="0"/>
      </c:catAx>
      <c:valAx>
        <c:axId val="9710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0-480B-8584-EE91320168D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0-480B-8584-EE91320168D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0-480B-8584-EE91320168D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0-480B-8584-EE91320168D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'Q23'!$D$19:$D$22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30-480B-8584-EE913201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'Q23'!$C$6:$C$12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4-4217-BB14-09CD32EA49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722944"/>
        <c:axId val="98729984"/>
      </c:barChart>
      <c:catAx>
        <c:axId val="987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9984"/>
        <c:crosses val="autoZero"/>
        <c:auto val="1"/>
        <c:lblAlgn val="ctr"/>
        <c:lblOffset val="100"/>
        <c:noMultiLvlLbl val="0"/>
      </c:catAx>
      <c:valAx>
        <c:axId val="9872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4 - Não</a:t>
            </a:r>
            <a:r>
              <a:rPr lang="en-US" baseline="0"/>
              <a:t> tem formação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78-4FFE-8F97-BE263D7D11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78-4FFE-8F97-BE263D7D11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'Q04'!$B$6:$B$7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'Q04'!$D$6:$D$7</c:f>
              <c:numCache>
                <c:formatCode>General</c:formatCode>
                <c:ptCount val="2"/>
                <c:pt idx="0">
                  <c:v>39.130000000000003</c:v>
                </c:pt>
                <c:pt idx="1">
                  <c:v>60.87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8-4FFE-8F97-BE263D7D11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79-4B9C-867A-0EE88779B5A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79-4B9C-867A-0EE88779B5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79-4B9C-867A-0EE88779B5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79-4B9C-867A-0EE88779B5A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79-4B9C-867A-0EE88779B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'Q24'!$C$6:$C$12</c:f>
              <c:numCache>
                <c:formatCode>General</c:formatCode>
                <c:ptCount val="7"/>
                <c:pt idx="0">
                  <c:v>0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5-453D-B879-D34425A790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768000"/>
        <c:axId val="100783232"/>
      </c:barChart>
      <c:catAx>
        <c:axId val="10076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83232"/>
        <c:crosses val="autoZero"/>
        <c:auto val="1"/>
        <c:lblAlgn val="ctr"/>
        <c:lblOffset val="100"/>
        <c:noMultiLvlLbl val="0"/>
      </c:catAx>
      <c:valAx>
        <c:axId val="10078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6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27-4ED5-822C-F9E329CA196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27-4ED5-822C-F9E329CA196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27-4ED5-822C-F9E329CA196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27-4ED5-822C-F9E329CA196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'Q25'!$D$19:$D$22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27-4ED5-822C-F9E329CA1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'Q25'!$C$6:$C$12</c:f>
              <c:numCache>
                <c:formatCode>General</c:formatCode>
                <c:ptCount val="7"/>
                <c:pt idx="0">
                  <c:v>1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A-4B53-8147-6F22CD53FD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703680"/>
        <c:axId val="107723008"/>
      </c:barChart>
      <c:catAx>
        <c:axId val="10770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23008"/>
        <c:crosses val="autoZero"/>
        <c:auto val="1"/>
        <c:lblAlgn val="ctr"/>
        <c:lblOffset val="100"/>
        <c:noMultiLvlLbl val="0"/>
      </c:catAx>
      <c:valAx>
        <c:axId val="1077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0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A2-4FED-86B9-0E1781116DC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A2-4FED-86B9-0E1781116DC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A2-4FED-86B9-0E1781116DC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A2-4FED-86B9-0E1781116DC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'Q26'!$D$19:$D$22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A2-4FED-86B9-0E1781116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'Q26'!$C$6:$C$12</c:f>
              <c:numCache>
                <c:formatCode>General</c:formatCode>
                <c:ptCount val="7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C-4E1D-969E-CD6B5E816D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978944"/>
        <c:axId val="108981632"/>
      </c:barChart>
      <c:catAx>
        <c:axId val="10897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81632"/>
        <c:crosses val="autoZero"/>
        <c:auto val="1"/>
        <c:lblAlgn val="ctr"/>
        <c:lblOffset val="100"/>
        <c:noMultiLvlLbl val="0"/>
      </c:catAx>
      <c:valAx>
        <c:axId val="10898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7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7-4E30-A23D-7606EC4EF1B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7-4E30-A23D-7606EC4EF1B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D7-4E30-A23D-7606EC4EF1B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D7-4E30-A23D-7606EC4EF1B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'Q27'!$D$19:$D$22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D7-4E30-A23D-7606EC4EF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'Q27'!$C$6:$C$12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E-4364-B130-2807AA1C70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13568"/>
        <c:axId val="109236992"/>
      </c:barChart>
      <c:catAx>
        <c:axId val="10921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36992"/>
        <c:crosses val="autoZero"/>
        <c:auto val="1"/>
        <c:lblAlgn val="ctr"/>
        <c:lblOffset val="100"/>
        <c:noMultiLvlLbl val="0"/>
      </c:catAx>
      <c:valAx>
        <c:axId val="10923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1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72-44A5-BFE9-4EC6CA5902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72-44A5-BFE9-4EC6CA5902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72-44A5-BFE9-4EC6CA5902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72-44A5-BFE9-4EC6CA5902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'Q28'!$D$19:$D$22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72-44A5-BFE9-4EC6CA590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'Q28'!$C$6:$C$12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2-4556-94E7-206F33603B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92544"/>
        <c:axId val="109778816"/>
      </c:barChart>
      <c:catAx>
        <c:axId val="1092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778816"/>
        <c:crosses val="autoZero"/>
        <c:auto val="1"/>
        <c:lblAlgn val="ctr"/>
        <c:lblOffset val="100"/>
        <c:noMultiLvlLbl val="0"/>
      </c:catAx>
      <c:valAx>
        <c:axId val="10977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9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0B-4728-A465-8B3ED2D483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0B-4728-A465-8B3ED2D483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0B-4728-A465-8B3ED2D483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10B-4728-A465-8B3ED2D483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'Q06'!$D$19:$D$22</c:f>
              <c:numCache>
                <c:formatCode>General</c:formatCode>
                <c:ptCount val="4"/>
                <c:pt idx="0">
                  <c:v>21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0B-4728-A465-8B3ED2D48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88-4014-A7F7-6FB43A4421A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88-4014-A7F7-6FB43A4421A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88-4014-A7F7-6FB43A4421A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88-4014-A7F7-6FB43A4421A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'Q29'!$D$19:$D$22</c:f>
              <c:numCache>
                <c:formatCode>General</c:formatCode>
                <c:ptCount val="4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88-4014-A7F7-6FB43A442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'Q29'!$C$6:$C$12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8-4218-8536-781937D34E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887872"/>
        <c:axId val="109890560"/>
      </c:barChart>
      <c:catAx>
        <c:axId val="1098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90560"/>
        <c:crosses val="autoZero"/>
        <c:auto val="1"/>
        <c:lblAlgn val="ctr"/>
        <c:lblOffset val="100"/>
        <c:noMultiLvlLbl val="0"/>
      </c:catAx>
      <c:valAx>
        <c:axId val="10989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8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19-4A4C-A268-AF0BA6DE695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19-4A4C-A268-AF0BA6DE695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19-4A4C-A268-AF0BA6DE695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19-4A4C-A268-AF0BA6DE695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'Q30'!$D$19:$D$22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19-4A4C-A268-AF0BA6DE6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'Q30'!$C$6:$C$12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3-41BF-AB36-CA1A2BBF3D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962752"/>
        <c:axId val="110297472"/>
      </c:barChart>
      <c:catAx>
        <c:axId val="1099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297472"/>
        <c:crosses val="autoZero"/>
        <c:auto val="1"/>
        <c:lblAlgn val="ctr"/>
        <c:lblOffset val="100"/>
        <c:noMultiLvlLbl val="0"/>
      </c:catAx>
      <c:valAx>
        <c:axId val="1102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9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3C-4E76-AB91-B0FD9DDFAF6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3C-4E76-AB91-B0FD9DDFAF6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3C-4E76-AB91-B0FD9DDFAF6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3C-4E76-AB91-B0FD9DDFAF6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'Q31'!$D$19:$D$22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3C-4E76-AB91-B0FD9DDF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'Q31'!$C$6:$C$12</c:f>
              <c:numCache>
                <c:formatCode>General</c:formatCode>
                <c:ptCount val="7"/>
                <c:pt idx="0">
                  <c:v>0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1-4B80-A477-50567EF586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398080"/>
        <c:axId val="110425600"/>
      </c:barChart>
      <c:catAx>
        <c:axId val="11039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425600"/>
        <c:crosses val="autoZero"/>
        <c:auto val="1"/>
        <c:lblAlgn val="ctr"/>
        <c:lblOffset val="100"/>
        <c:noMultiLvlLbl val="0"/>
      </c:catAx>
      <c:valAx>
        <c:axId val="1104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39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DB-4B53-A540-2E45D0634D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DB-4B53-A540-2E45D0634D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DB-4B53-A540-2E45D0634D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DB-4B53-A540-2E45D0634D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'Q32'!$D$19:$D$22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DB-4B53-A540-2E45D0634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'Q32'!$C$6:$C$12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9-49A9-B132-2C27B572BA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082944"/>
        <c:axId val="112085632"/>
      </c:barChart>
      <c:catAx>
        <c:axId val="11208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5632"/>
        <c:crosses val="autoZero"/>
        <c:auto val="1"/>
        <c:lblAlgn val="ctr"/>
        <c:lblOffset val="100"/>
        <c:noMultiLvlLbl val="0"/>
      </c:catAx>
      <c:valAx>
        <c:axId val="11208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80-45F1-908B-FEAD4C74B43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80-45F1-908B-FEAD4C74B43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80-45F1-908B-FEAD4C74B43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80-45F1-908B-FEAD4C74B43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'Q33'!$D$19:$D$22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80-45F1-908B-FEAD4C74B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'Q33'!$C$6:$C$12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8-4256-9564-851B7F6582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251456"/>
        <c:axId val="113258496"/>
      </c:barChart>
      <c:catAx>
        <c:axId val="11325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8496"/>
        <c:crosses val="autoZero"/>
        <c:auto val="1"/>
        <c:lblAlgn val="ctr"/>
        <c:lblOffset val="100"/>
        <c:noMultiLvlLbl val="0"/>
      </c:catAx>
      <c:valAx>
        <c:axId val="11325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'Q06'!$C$6:$C$12</c:f>
              <c:numCache>
                <c:formatCode>General</c:formatCode>
                <c:ptCount val="7"/>
                <c:pt idx="0">
                  <c:v>10</c:v>
                </c:pt>
                <c:pt idx="1">
                  <c:v>11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F-42B2-BE65-2F9188B472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568512"/>
        <c:axId val="81571200"/>
      </c:barChart>
      <c:catAx>
        <c:axId val="8156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71200"/>
        <c:crosses val="autoZero"/>
        <c:auto val="1"/>
        <c:lblAlgn val="ctr"/>
        <c:lblOffset val="100"/>
        <c:noMultiLvlLbl val="0"/>
      </c:catAx>
      <c:valAx>
        <c:axId val="8157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6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4F-4C32-B399-FF104D46459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4F-4C32-B399-FF104D46459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4F-4C32-B399-FF104D46459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4F-4C32-B399-FF104D46459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'Q34'!$D$19:$D$22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4F-4C32-B399-FF104D464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'Q34'!$C$6:$C$12</c:f>
              <c:numCache>
                <c:formatCode>General</c:formatCode>
                <c:ptCount val="7"/>
                <c:pt idx="0">
                  <c:v>0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31E-9BAE-1E871E5B0B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510080"/>
        <c:axId val="114537600"/>
      </c:barChart>
      <c:catAx>
        <c:axId val="11451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37600"/>
        <c:crosses val="autoZero"/>
        <c:auto val="1"/>
        <c:lblAlgn val="ctr"/>
        <c:lblOffset val="100"/>
        <c:noMultiLvlLbl val="0"/>
      </c:catAx>
      <c:valAx>
        <c:axId val="11453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1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3C-4BB0-A90E-6762631855E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3C-4BB0-A90E-6762631855E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3C-4BB0-A90E-6762631855E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3C-4BB0-A90E-6762631855E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'Q35'!$D$19:$D$22</c:f>
              <c:numCache>
                <c:formatCode>General</c:formatCode>
                <c:ptCount val="4"/>
                <c:pt idx="0">
                  <c:v>21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3C-4BB0-A90E-676263185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'Q35'!$C$6:$C$12</c:f>
              <c:numCache>
                <c:formatCode>General</c:formatCode>
                <c:ptCount val="7"/>
                <c:pt idx="0">
                  <c:v>10</c:v>
                </c:pt>
                <c:pt idx="1">
                  <c:v>11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1-47A0-9F95-2AB41EB8D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781568"/>
        <c:axId val="114792704"/>
      </c:barChart>
      <c:catAx>
        <c:axId val="11478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92704"/>
        <c:crosses val="autoZero"/>
        <c:auto val="1"/>
        <c:lblAlgn val="ctr"/>
        <c:lblOffset val="100"/>
        <c:noMultiLvlLbl val="0"/>
      </c:catAx>
      <c:valAx>
        <c:axId val="11479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8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D0-4452-87FA-AC5DB6487FD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D0-4452-87FA-AC5DB6487FD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D0-4452-87FA-AC5DB6487FD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D0-4452-87FA-AC5DB6487FD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'Q36'!$D$19:$D$22</c:f>
              <c:numCache>
                <c:formatCode>General</c:formatCode>
                <c:ptCount val="4"/>
                <c:pt idx="0">
                  <c:v>23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D0-4452-87FA-AC5DB6487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'Q36'!$C$6:$C$12</c:f>
              <c:numCache>
                <c:formatCode>General</c:formatCode>
                <c:ptCount val="7"/>
                <c:pt idx="0">
                  <c:v>19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DE8-A6D9-42C96227DB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213440"/>
        <c:axId val="115224576"/>
      </c:barChart>
      <c:catAx>
        <c:axId val="11521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24576"/>
        <c:crosses val="autoZero"/>
        <c:auto val="1"/>
        <c:lblAlgn val="ctr"/>
        <c:lblOffset val="100"/>
        <c:noMultiLvlLbl val="0"/>
      </c:catAx>
      <c:valAx>
        <c:axId val="11522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1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D6-4A90-A745-DB89D1391F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D6-4A90-A745-DB89D1391F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D6-4A90-A745-DB89D1391F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D6-4A90-A745-DB89D1391F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'Q37'!$D$19:$D$22</c:f>
              <c:numCache>
                <c:formatCode>General</c:formatCode>
                <c:ptCount val="4"/>
                <c:pt idx="0">
                  <c:v>22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D6-4A90-A745-DB89D1391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'Q37'!$C$6:$C$12</c:f>
              <c:numCache>
                <c:formatCode>General</c:formatCode>
                <c:ptCount val="7"/>
                <c:pt idx="0">
                  <c:v>16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A-4C6D-BAE9-FF2231E896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456256"/>
        <c:axId val="115500160"/>
      </c:barChart>
      <c:catAx>
        <c:axId val="11545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00160"/>
        <c:crosses val="autoZero"/>
        <c:auto val="1"/>
        <c:lblAlgn val="ctr"/>
        <c:lblOffset val="100"/>
        <c:noMultiLvlLbl val="0"/>
      </c:catAx>
      <c:valAx>
        <c:axId val="11550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45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E8-42B5-B663-65D260D85E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E8-42B5-B663-65D260D85E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E8-42B5-B663-65D260D85E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E8-42B5-B663-65D260D85E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'Q38'!$B$20:$B$23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'Q38'!$D$20:$D$23</c:f>
              <c:numCache>
                <c:formatCode>General</c:formatCode>
                <c:ptCount val="4"/>
                <c:pt idx="0">
                  <c:v>21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E8-42B5-B663-65D260D85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'Q38'!$B$6:$B$13</c:f>
              <c:strCache>
                <c:ptCount val="8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  <c:pt idx="7">
                  <c:v>Total</c:v>
                </c:pt>
              </c:strCache>
            </c:strRef>
          </c:cat>
          <c:val>
            <c:numRef>
              <c:f>'Q38'!$C$6:$C$13</c:f>
              <c:numCache>
                <c:formatCode>General</c:formatCode>
                <c:ptCount val="8"/>
                <c:pt idx="0">
                  <c:v>12</c:v>
                </c:pt>
                <c:pt idx="1">
                  <c:v>9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8-47E9-874D-984B27D18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580288"/>
        <c:axId val="115603712"/>
      </c:barChart>
      <c:catAx>
        <c:axId val="11558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8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AD-42CF-A55F-4E15E5B693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AD-42CF-A55F-4E15E5B693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AD-42CF-A55F-4E15E5B693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AD-42CF-A55F-4E15E5B693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'Q07'!$D$19:$D$22</c:f>
              <c:numCache>
                <c:formatCode>General</c:formatCode>
                <c:ptCount val="4"/>
                <c:pt idx="0">
                  <c:v>21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AD-42CF-A55F-4E15E5B69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D9-44AE-B32F-CFAA3D737B5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D9-44AE-B32F-CFAA3D737B5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D9-44AE-B32F-CFAA3D737B5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D9-44AE-B32F-CFAA3D737B5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'Q39'!$D$19:$D$22</c:f>
              <c:numCache>
                <c:formatCode>General</c:formatCode>
                <c:ptCount val="4"/>
                <c:pt idx="0">
                  <c:v>23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D9-44AE-B32F-CFAA3D737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'Q39'!$C$6:$C$12</c:f>
              <c:numCache>
                <c:formatCode>General</c:formatCode>
                <c:ptCount val="7"/>
                <c:pt idx="0">
                  <c:v>12</c:v>
                </c:pt>
                <c:pt idx="1">
                  <c:v>11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1-4E43-AE6A-750921D6E9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696384"/>
        <c:axId val="115699072"/>
      </c:barChart>
      <c:catAx>
        <c:axId val="1156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9072"/>
        <c:crosses val="autoZero"/>
        <c:auto val="1"/>
        <c:lblAlgn val="ctr"/>
        <c:lblOffset val="100"/>
        <c:noMultiLvlLbl val="0"/>
      </c:catAx>
      <c:valAx>
        <c:axId val="11569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C8-4888-BEEB-716770FB35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C8-4888-BEEB-716770FB35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C8-4888-BEEB-716770FB35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C8-4888-BEEB-716770FB35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'Q40'!$D$19:$D$22</c:f>
              <c:numCache>
                <c:formatCode>General</c:formatCode>
                <c:ptCount val="4"/>
                <c:pt idx="0">
                  <c:v>20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C8-4888-BEEB-716770FB3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'Q40'!$C$6:$C$12</c:f>
              <c:numCache>
                <c:formatCode>General</c:formatCode>
                <c:ptCount val="7"/>
                <c:pt idx="0">
                  <c:v>14</c:v>
                </c:pt>
                <c:pt idx="1">
                  <c:v>6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5-4AE1-84D0-649944700E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865472"/>
        <c:axId val="115979008"/>
      </c:barChart>
      <c:catAx>
        <c:axId val="11586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979008"/>
        <c:crosses val="autoZero"/>
        <c:auto val="1"/>
        <c:lblAlgn val="ctr"/>
        <c:lblOffset val="100"/>
        <c:noMultiLvlLbl val="0"/>
      </c:catAx>
      <c:valAx>
        <c:axId val="11597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86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9-435E-B68F-838A20872C4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9-435E-B68F-838A20872C4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9-435E-B68F-838A20872C4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9-435E-B68F-838A20872C4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'Q41'!$D$19:$D$22</c:f>
              <c:numCache>
                <c:formatCode>General</c:formatCode>
                <c:ptCount val="4"/>
                <c:pt idx="0">
                  <c:v>20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99-435E-B68F-838A20872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'Q41'!$C$6:$C$12</c:f>
              <c:numCache>
                <c:formatCode>General</c:formatCode>
                <c:ptCount val="7"/>
                <c:pt idx="0">
                  <c:v>11</c:v>
                </c:pt>
                <c:pt idx="1">
                  <c:v>9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3-45F0-8E40-75F5FA2243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067328"/>
        <c:axId val="116082560"/>
      </c:barChart>
      <c:catAx>
        <c:axId val="11606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82560"/>
        <c:crosses val="autoZero"/>
        <c:auto val="1"/>
        <c:lblAlgn val="ctr"/>
        <c:lblOffset val="100"/>
        <c:noMultiLvlLbl val="0"/>
      </c:catAx>
      <c:valAx>
        <c:axId val="11608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6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E3-4A23-ACCE-A537152F4C7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E3-4A23-ACCE-A537152F4C7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E3-4A23-ACCE-A537152F4C7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E3-4A23-ACCE-A537152F4C7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'Q42'!$B$20:$B$23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'Q42'!$D$20:$D$23</c:f>
              <c:numCache>
                <c:formatCode>General</c:formatCode>
                <c:ptCount val="4"/>
                <c:pt idx="0">
                  <c:v>16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E3-4A23-ACCE-A537152F4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'Q42'!$C$6:$C$12</c:f>
              <c:numCache>
                <c:formatCode>General</c:formatCode>
                <c:ptCount val="7"/>
                <c:pt idx="0">
                  <c:v>7</c:v>
                </c:pt>
                <c:pt idx="1">
                  <c:v>9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F-4DFE-BB81-5910C453AD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429184"/>
        <c:axId val="116431872"/>
      </c:barChart>
      <c:catAx>
        <c:axId val="116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31872"/>
        <c:crosses val="autoZero"/>
        <c:auto val="1"/>
        <c:lblAlgn val="ctr"/>
        <c:lblOffset val="100"/>
        <c:noMultiLvlLbl val="0"/>
      </c:catAx>
      <c:valAx>
        <c:axId val="11643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EE-4AF4-ADEC-D987690CBE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EE-4AF4-ADEC-D987690CBE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EE-4AF4-ADEC-D987690CBE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EE-4AF4-ADEC-D987690CBE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'Q43'!$D$19:$D$22</c:f>
              <c:numCache>
                <c:formatCode>General</c:formatCode>
                <c:ptCount val="4"/>
                <c:pt idx="0">
                  <c:v>18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EE-4AF4-ADEC-D987690CB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'Q43'!$C$6:$C$12</c:f>
              <c:numCache>
                <c:formatCode>General</c:formatCode>
                <c:ptCount val="7"/>
                <c:pt idx="0">
                  <c:v>9</c:v>
                </c:pt>
                <c:pt idx="1">
                  <c:v>9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FDA-BDFD-60FFAF9E9F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491200"/>
        <c:axId val="118116736"/>
      </c:barChart>
      <c:catAx>
        <c:axId val="1174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116736"/>
        <c:crosses val="autoZero"/>
        <c:auto val="1"/>
        <c:lblAlgn val="ctr"/>
        <c:lblOffset val="100"/>
        <c:noMultiLvlLbl val="0"/>
      </c:catAx>
      <c:valAx>
        <c:axId val="11811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49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'Q07'!$C$6:$C$12</c:f>
              <c:numCache>
                <c:formatCode>General</c:formatCode>
                <c:ptCount val="7"/>
                <c:pt idx="0">
                  <c:v>15</c:v>
                </c:pt>
                <c:pt idx="1">
                  <c:v>6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D-475F-B3C3-398A424F79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848192"/>
        <c:axId val="81937152"/>
      </c:barChart>
      <c:catAx>
        <c:axId val="8184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937152"/>
        <c:crosses val="autoZero"/>
        <c:auto val="1"/>
        <c:lblAlgn val="ctr"/>
        <c:lblOffset val="100"/>
        <c:noMultiLvlLbl val="0"/>
      </c:catAx>
      <c:valAx>
        <c:axId val="8193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84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1-4FF3-AFAB-F1FA4F8B8DE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A1-4FF3-AFAB-F1FA4F8B8DE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A1-4FF3-AFAB-F1FA4F8B8DE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A1-4FF3-AFAB-F1FA4F8B8DE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'Q44'!$D$19:$D$22</c:f>
              <c:numCache>
                <c:formatCode>General</c:formatCode>
                <c:ptCount val="4"/>
                <c:pt idx="0">
                  <c:v>10</c:v>
                </c:pt>
                <c:pt idx="1">
                  <c:v>7</c:v>
                </c:pt>
                <c:pt idx="2">
                  <c:v>1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A1-4FF3-AFAB-F1FA4F8B8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'Q44'!$C$6:$C$12</c:f>
              <c:numCache>
                <c:formatCode>General</c:formatCode>
                <c:ptCount val="7"/>
                <c:pt idx="0">
                  <c:v>4</c:v>
                </c:pt>
                <c:pt idx="1">
                  <c:v>6</c:v>
                </c:pt>
                <c:pt idx="2">
                  <c:v>7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0-4E93-894E-87FF9207A2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692096"/>
        <c:axId val="118695040"/>
      </c:barChart>
      <c:catAx>
        <c:axId val="11869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5040"/>
        <c:crosses val="autoZero"/>
        <c:auto val="1"/>
        <c:lblAlgn val="ctr"/>
        <c:lblOffset val="100"/>
        <c:noMultiLvlLbl val="0"/>
      </c:catAx>
      <c:valAx>
        <c:axId val="11869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42-4558-A17B-F8802933CBD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42-4558-A17B-F8802933CBD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42-4558-A17B-F8802933CBD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42-4558-A17B-F8802933CBD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'Q45'!$D$19:$D$22</c:f>
              <c:numCache>
                <c:formatCode>General</c:formatCode>
                <c:ptCount val="4"/>
                <c:pt idx="0">
                  <c:v>4</c:v>
                </c:pt>
                <c:pt idx="1">
                  <c:v>8</c:v>
                </c:pt>
                <c:pt idx="2">
                  <c:v>2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42-4558-A17B-F8802933C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'Q45'!$C$6:$C$12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8</c:v>
                </c:pt>
                <c:pt idx="3">
                  <c:v>3</c:v>
                </c:pt>
                <c:pt idx="4">
                  <c:v>6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6-442B-BF5B-85EA47617A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787456"/>
        <c:axId val="118810880"/>
      </c:barChart>
      <c:catAx>
        <c:axId val="11878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810880"/>
        <c:crosses val="autoZero"/>
        <c:auto val="1"/>
        <c:lblAlgn val="ctr"/>
        <c:lblOffset val="100"/>
        <c:noMultiLvlLbl val="0"/>
      </c:catAx>
      <c:valAx>
        <c:axId val="11881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78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9B-4716-A0EE-0C7976EA0FF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9B-4716-A0EE-0C7976EA0FF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9B-4716-A0EE-0C7976EA0FF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9B-4716-A0EE-0C7976EA0FF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'Q46'!$D$19:$D$22</c:f>
              <c:numCache>
                <c:formatCode>General</c:formatCode>
                <c:ptCount val="4"/>
                <c:pt idx="0">
                  <c:v>19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9B-4716-A0EE-0C7976EA0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'Q46'!$C$6:$C$12</c:f>
              <c:numCache>
                <c:formatCode>General</c:formatCode>
                <c:ptCount val="7"/>
                <c:pt idx="0">
                  <c:v>5</c:v>
                </c:pt>
                <c:pt idx="1">
                  <c:v>14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3-4344-8352-770114D7D6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997760"/>
        <c:axId val="119000448"/>
      </c:barChart>
      <c:catAx>
        <c:axId val="11899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000448"/>
        <c:crosses val="autoZero"/>
        <c:auto val="1"/>
        <c:lblAlgn val="ctr"/>
        <c:lblOffset val="100"/>
        <c:noMultiLvlLbl val="0"/>
      </c:catAx>
      <c:valAx>
        <c:axId val="11900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99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95-4799-8AD2-57387CC7E9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95-4799-8AD2-57387CC7E9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95-4799-8AD2-57387CC7E9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95-4799-8AD2-57387CC7E9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'Q47'!$D$19:$D$22</c:f>
              <c:numCache>
                <c:formatCode>General</c:formatCode>
                <c:ptCount val="4"/>
                <c:pt idx="0">
                  <c:v>16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95-4799-8AD2-57387CC7E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'Q47'!$C$6:$C$12</c:f>
              <c:numCache>
                <c:formatCode>General</c:formatCode>
                <c:ptCount val="7"/>
                <c:pt idx="0">
                  <c:v>9</c:v>
                </c:pt>
                <c:pt idx="1">
                  <c:v>7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6-4FD8-8891-885102CCA5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101312"/>
        <c:axId val="119112448"/>
      </c:barChart>
      <c:catAx>
        <c:axId val="11910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12448"/>
        <c:crosses val="autoZero"/>
        <c:auto val="1"/>
        <c:lblAlgn val="ctr"/>
        <c:lblOffset val="100"/>
        <c:noMultiLvlLbl val="0"/>
      </c:catAx>
      <c:valAx>
        <c:axId val="1191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0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3A-43EC-B14B-E69A8FB79CC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3A-43EC-B14B-E69A8FB79CC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3A-43EC-B14B-E69A8FB79CC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3A-43EC-B14B-E69A8FB79CC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'Q48'!$D$19:$D$22</c:f>
              <c:numCache>
                <c:formatCode>General</c:formatCode>
                <c:ptCount val="4"/>
                <c:pt idx="0">
                  <c:v>7</c:v>
                </c:pt>
                <c:pt idx="1">
                  <c:v>4</c:v>
                </c:pt>
                <c:pt idx="2">
                  <c:v>12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3A-43EC-B14B-E69A8FB79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'Q48'!$C$6:$C$12</c:f>
              <c:numCache>
                <c:formatCode>General</c:formatCode>
                <c:ptCount val="7"/>
                <c:pt idx="0">
                  <c:v>2</c:v>
                </c:pt>
                <c:pt idx="1">
                  <c:v>5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A-42F5-8BBB-E1870ABAF9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348224"/>
        <c:axId val="119371648"/>
      </c:barChart>
      <c:catAx>
        <c:axId val="11934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71648"/>
        <c:crosses val="autoZero"/>
        <c:auto val="1"/>
        <c:lblAlgn val="ctr"/>
        <c:lblOffset val="100"/>
        <c:noMultiLvlLbl val="0"/>
      </c:catAx>
      <c:valAx>
        <c:axId val="11937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4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56-4461-9BD4-33C201D69A9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56-4461-9BD4-33C201D69A9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56-4461-9BD4-33C201D69A9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56-4461-9BD4-33C201D69A9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'Q08'!$D$19:$D$22</c:f>
              <c:numCache>
                <c:formatCode>General</c:formatCode>
                <c:ptCount val="4"/>
                <c:pt idx="0">
                  <c:v>19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56-4461-9BD4-33C201D69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06-45E0-AB4E-CEAF87B51C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06-45E0-AB4E-CEAF87B51C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06-45E0-AB4E-CEAF87B51C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06-45E0-AB4E-CEAF87B51C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'Q49'!$D$19:$D$22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17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06-45E0-AB4E-CEAF87B51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'Q49'!$C$6:$C$12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4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8-436D-A350-6FF1202EA7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873920"/>
        <c:axId val="119876608"/>
      </c:barChart>
      <c:catAx>
        <c:axId val="11987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6608"/>
        <c:crosses val="autoZero"/>
        <c:auto val="1"/>
        <c:lblAlgn val="ctr"/>
        <c:lblOffset val="100"/>
        <c:noMultiLvlLbl val="0"/>
      </c:catAx>
      <c:valAx>
        <c:axId val="11987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E8-4A17-A6FC-C6296D9A930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E8-4A17-A6FC-C6296D9A930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E8-4A17-A6FC-C6296D9A930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8E8-4A17-A6FC-C6296D9A930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'Q50'!$D$19:$D$22</c:f>
              <c:numCache>
                <c:formatCode>General</c:formatCode>
                <c:ptCount val="4"/>
                <c:pt idx="0">
                  <c:v>17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E8-4A17-A6FC-C6296D9A9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'Q50'!$C$6:$C$12</c:f>
              <c:numCache>
                <c:formatCode>General</c:formatCode>
                <c:ptCount val="7"/>
                <c:pt idx="0">
                  <c:v>10</c:v>
                </c:pt>
                <c:pt idx="1">
                  <c:v>7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3-41DC-B00F-1539C8F295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272384"/>
        <c:axId val="120287616"/>
      </c:barChart>
      <c:catAx>
        <c:axId val="12027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87616"/>
        <c:crosses val="autoZero"/>
        <c:auto val="1"/>
        <c:lblAlgn val="ctr"/>
        <c:lblOffset val="100"/>
        <c:noMultiLvlLbl val="0"/>
      </c:catAx>
      <c:valAx>
        <c:axId val="12028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7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92-48FB-AABB-AC1E2693A2C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92-48FB-AABB-AC1E2693A2C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92-48FB-AABB-AC1E2693A2C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92-48FB-AABB-AC1E2693A2C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'Q51'!$D$19:$D$22</c:f>
              <c:numCache>
                <c:formatCode>General</c:formatCode>
                <c:ptCount val="4"/>
                <c:pt idx="0">
                  <c:v>7</c:v>
                </c:pt>
                <c:pt idx="1">
                  <c:v>2</c:v>
                </c:pt>
                <c:pt idx="2">
                  <c:v>13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92-48FB-AABB-AC1E2693A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'Q51'!$C$6:$C$12</c:f>
              <c:numCache>
                <c:formatCode>General</c:formatCode>
                <c:ptCount val="7"/>
                <c:pt idx="0">
                  <c:v>1</c:v>
                </c:pt>
                <c:pt idx="1">
                  <c:v>6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470-87C4-73CA3E0184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429184"/>
        <c:axId val="120440320"/>
      </c:barChart>
      <c:catAx>
        <c:axId val="120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40320"/>
        <c:crosses val="autoZero"/>
        <c:auto val="1"/>
        <c:lblAlgn val="ctr"/>
        <c:lblOffset val="100"/>
        <c:noMultiLvlLbl val="0"/>
      </c:catAx>
      <c:valAx>
        <c:axId val="12044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36-471F-B2B6-C5FE1BF33DF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36-471F-B2B6-C5FE1BF33DF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36-471F-B2B6-C5FE1BF33DF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B36-471F-B2B6-C5FE1BF33DF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'Q52'!$D$19:$D$22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16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36-471F-B2B6-C5FE1BF33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'Q52'!$C$6:$C$12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0-49FF-8776-860708210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290176"/>
        <c:axId val="122292864"/>
      </c:barChart>
      <c:catAx>
        <c:axId val="12229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2864"/>
        <c:crosses val="autoZero"/>
        <c:auto val="1"/>
        <c:lblAlgn val="ctr"/>
        <c:lblOffset val="100"/>
        <c:noMultiLvlLbl val="0"/>
      </c:catAx>
      <c:valAx>
        <c:axId val="12229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43-4F3E-A945-1E289EB782BA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43-4F3E-A945-1E289EB782B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43-4F3E-A945-1E289EB782B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43-4F3E-A945-1E289EB782BA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'Q54'!$D$19:$D$22</c:f>
              <c:numCache>
                <c:formatCode>General</c:formatCode>
                <c:ptCount val="4"/>
                <c:pt idx="0">
                  <c:v>19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43-4F3E-A945-1E289EB78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'Q54'!$C$6:$C$12</c:f>
              <c:numCache>
                <c:formatCode>General</c:formatCode>
                <c:ptCount val="7"/>
                <c:pt idx="0">
                  <c:v>11</c:v>
                </c:pt>
                <c:pt idx="1">
                  <c:v>8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0-439F-AB73-DEDD24A32F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721408"/>
        <c:axId val="122736640"/>
      </c:barChart>
      <c:catAx>
        <c:axId val="12272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36640"/>
        <c:crosses val="autoZero"/>
        <c:auto val="1"/>
        <c:lblAlgn val="ctr"/>
        <c:lblOffset val="100"/>
        <c:noMultiLvlLbl val="0"/>
      </c:catAx>
      <c:valAx>
        <c:axId val="12273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2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3.xml"/><Relationship Id="rId1" Type="http://schemas.openxmlformats.org/officeDocument/2006/relationships/chart" Target="../charts/chart9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7.xml"/><Relationship Id="rId1" Type="http://schemas.openxmlformats.org/officeDocument/2006/relationships/chart" Target="../charts/chart96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9.xml"/><Relationship Id="rId1" Type="http://schemas.openxmlformats.org/officeDocument/2006/relationships/chart" Target="../charts/chart98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1.xml"/><Relationship Id="rId1" Type="http://schemas.openxmlformats.org/officeDocument/2006/relationships/chart" Target="../charts/chart100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3.xml"/><Relationship Id="rId1" Type="http://schemas.openxmlformats.org/officeDocument/2006/relationships/chart" Target="../charts/chart102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5.xml"/><Relationship Id="rId1" Type="http://schemas.openxmlformats.org/officeDocument/2006/relationships/chart" Target="../charts/chart104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7.xml"/><Relationship Id="rId1" Type="http://schemas.openxmlformats.org/officeDocument/2006/relationships/chart" Target="../charts/chart106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9.xml"/><Relationship Id="rId1" Type="http://schemas.openxmlformats.org/officeDocument/2006/relationships/chart" Target="../charts/chart108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1.xml"/><Relationship Id="rId1" Type="http://schemas.openxmlformats.org/officeDocument/2006/relationships/chart" Target="../charts/chart1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5E2E3FDE-DF2D-45D8-A55E-566F50DB5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48A1F43-9F10-4FA0-84D4-3CDDB7146AE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DFCB4C2-D5CA-4B8A-A52F-4F9EE4A699EE}"/>
            </a:ext>
            <a:ext uri="{147F2762-F138-4A5C-976F-8EAC2B608ADB}">
              <a16:predDERef xmlns:a16="http://schemas.microsoft.com/office/drawing/2014/main" pred="{648A1F43-9F10-4FA0-84D4-3CDDB7146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B8690C2-4F0C-4FEB-9573-48DE64813C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AEB860E-49C4-464A-82A8-59CD31402FCB}"/>
            </a:ext>
            <a:ext uri="{147F2762-F138-4A5C-976F-8EAC2B608ADB}">
              <a16:predDERef xmlns:a16="http://schemas.microsoft.com/office/drawing/2014/main" pred="{5B8690C2-4F0C-4FEB-9573-48DE64813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76434EC-F556-42E8-8F80-900BC59BA3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E83894E-E437-4932-9867-B517FD3C54A2}"/>
            </a:ext>
            <a:ext uri="{147F2762-F138-4A5C-976F-8EAC2B608ADB}">
              <a16:predDERef xmlns:a16="http://schemas.microsoft.com/office/drawing/2014/main" pred="{076434EC-F556-42E8-8F80-900BC59BA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ECD120E-05E8-4C46-9A35-6B1EE118112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43E948C-D306-474C-91F7-6F83E0D03AE7}"/>
            </a:ext>
            <a:ext uri="{147F2762-F138-4A5C-976F-8EAC2B608ADB}">
              <a16:predDERef xmlns:a16="http://schemas.microsoft.com/office/drawing/2014/main" pred="{DECD120E-05E8-4C46-9A35-6B1EE1181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F7FD06C-4710-4C4C-A7D9-F9D224F5790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E7C6D42-C8B5-4A15-B81F-2960F06BEB5F}"/>
            </a:ext>
            <a:ext uri="{147F2762-F138-4A5C-976F-8EAC2B608ADB}">
              <a16:predDERef xmlns:a16="http://schemas.microsoft.com/office/drawing/2014/main" pred="{CF7FD06C-4710-4C4C-A7D9-F9D224F57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E221555-73C3-4234-8139-4DD02039835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D08685C-E01B-4A23-BF68-8E2019563FE9}"/>
            </a:ext>
            <a:ext uri="{147F2762-F138-4A5C-976F-8EAC2B608ADB}">
              <a16:predDERef xmlns:a16="http://schemas.microsoft.com/office/drawing/2014/main" pred="{FE221555-73C3-4234-8139-4DD020398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516681A-1B4E-41C8-99C6-C07E17CCD7E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7E61ECE-63B6-40DD-813B-F0E49846A447}"/>
            </a:ext>
            <a:ext uri="{147F2762-F138-4A5C-976F-8EAC2B608ADB}">
              <a16:predDERef xmlns:a16="http://schemas.microsoft.com/office/drawing/2014/main" pred="{3516681A-1B4E-41C8-99C6-C07E17CCD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FB76AA2-2BFD-4E6E-83C8-9950C4E0DD0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834F4F9-98D7-4A06-90D4-2CF5155EA416}"/>
            </a:ext>
            <a:ext uri="{147F2762-F138-4A5C-976F-8EAC2B608ADB}">
              <a16:predDERef xmlns:a16="http://schemas.microsoft.com/office/drawing/2014/main" pred="{6FB76AA2-2BFD-4E6E-83C8-9950C4E0D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EC1C0733-DA80-4221-B1B5-D66A2BFF3E8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598A1F0-6AAD-48E4-AA66-5A5932004C72}"/>
            </a:ext>
            <a:ext uri="{147F2762-F138-4A5C-976F-8EAC2B608ADB}">
              <a16:predDERef xmlns:a16="http://schemas.microsoft.com/office/drawing/2014/main" pred="{EC1C0733-DA80-4221-B1B5-D66A2BFF3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8C62D159-03D7-447E-B5A9-9323EA61C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1</xdr:row>
      <xdr:rowOff>171450</xdr:rowOff>
    </xdr:from>
    <xdr:to>
      <xdr:col>14</xdr:col>
      <xdr:colOff>390525</xdr:colOff>
      <xdr:row>14</xdr:row>
      <xdr:rowOff>171450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F17DF7C-E052-463F-9624-7017BC891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D9EB9C2-07F6-4725-90E5-A3B60753CEB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5BBED85-2C7F-4209-807A-4CD0F6C9F29A}"/>
            </a:ext>
            <a:ext uri="{147F2762-F138-4A5C-976F-8EAC2B608ADB}">
              <a16:predDERef xmlns:a16="http://schemas.microsoft.com/office/drawing/2014/main" pred="{0D9EB9C2-07F6-4725-90E5-A3B60753C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7CDA87-E1E6-4EBE-81F7-53EE63F1B68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3007213-56B0-4999-9F4C-30B8DA3F1EB6}"/>
            </a:ext>
            <a:ext uri="{147F2762-F138-4A5C-976F-8EAC2B608ADB}">
              <a16:predDERef xmlns:a16="http://schemas.microsoft.com/office/drawing/2014/main" pred="{7E7CDA87-E1E6-4EBE-81F7-53EE63F1B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A89D0AF5-F92D-4809-8F06-8583D8265527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542925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836131A-460F-40BA-A546-B4EF931CE5B6}"/>
            </a:ext>
            <a:ext uri="{147F2762-F138-4A5C-976F-8EAC2B608ADB}">
              <a16:predDERef xmlns:a16="http://schemas.microsoft.com/office/drawing/2014/main" pred="{A89D0AF5-F92D-4809-8F06-8583D8265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376907D-41DE-4DC9-AAA1-038BA2A174F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7F316E7-10AA-4769-B96B-DFE3A852AEB9}"/>
            </a:ext>
            <a:ext uri="{147F2762-F138-4A5C-976F-8EAC2B608ADB}">
              <a16:predDERef xmlns:a16="http://schemas.microsoft.com/office/drawing/2014/main" pred="{3376907D-41DE-4DC9-AAA1-038BA2A17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345CE2F-27CF-422E-BD64-FBF40AB489A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E5FBF3D-7040-4BAE-A115-816A3DDE203B}"/>
            </a:ext>
            <a:ext uri="{147F2762-F138-4A5C-976F-8EAC2B608ADB}">
              <a16:predDERef xmlns:a16="http://schemas.microsoft.com/office/drawing/2014/main" pred="{B345CE2F-27CF-422E-BD64-FBF40AB48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1A6E65F-AD57-4441-B502-A36BE041BE3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C62F9C6-6EE2-4F56-9BC7-B3E570B9FB36}"/>
            </a:ext>
            <a:ext uri="{147F2762-F138-4A5C-976F-8EAC2B608ADB}">
              <a16:predDERef xmlns:a16="http://schemas.microsoft.com/office/drawing/2014/main" pred="{01A6E65F-AD57-4441-B502-A36BE041B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5698A5E-0F44-4193-96A2-FE871073CAD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63A1871-2209-48A3-9A33-C4272E2C8655}"/>
            </a:ext>
            <a:ext uri="{147F2762-F138-4A5C-976F-8EAC2B608ADB}">
              <a16:predDERef xmlns:a16="http://schemas.microsoft.com/office/drawing/2014/main" pred="{55698A5E-0F44-4193-96A2-FE871073C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91062C-5B4B-4952-AECE-1C131396948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887BB2F-77FD-43A9-A86F-8246572198BF}"/>
            </a:ext>
            <a:ext uri="{147F2762-F138-4A5C-976F-8EAC2B608ADB}">
              <a16:predDERef xmlns:a16="http://schemas.microsoft.com/office/drawing/2014/main" pred="{4F91062C-5B4B-4952-AECE-1C1313969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8EE7ACD-867A-4A1C-99DD-E34A92B9F15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89E12A0-82D6-457B-A8F4-02985E425D43}"/>
            </a:ext>
            <a:ext uri="{147F2762-F138-4A5C-976F-8EAC2B608ADB}">
              <a16:predDERef xmlns:a16="http://schemas.microsoft.com/office/drawing/2014/main" pred="{08EE7ACD-867A-4A1C-99DD-E34A92B9F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69C17E9-F8BD-4588-A96C-84B76A79D0F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90341E6-9E58-4E47-A7E6-68F3D46B6A28}"/>
            </a:ext>
            <a:ext uri="{147F2762-F138-4A5C-976F-8EAC2B608ADB}">
              <a16:predDERef xmlns:a16="http://schemas.microsoft.com/office/drawing/2014/main" pred="{269C17E9-F8BD-4588-A96C-84B76A79D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47625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E3538DCF-2B40-402D-8231-98ECE0B1C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C680D24-AA4E-4133-9B56-80805B294DE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3DFE94-D180-454B-ACC4-02DEF15067FD}"/>
            </a:ext>
            <a:ext uri="{147F2762-F138-4A5C-976F-8EAC2B608ADB}">
              <a16:predDERef xmlns:a16="http://schemas.microsoft.com/office/drawing/2014/main" pred="{0C680D24-AA4E-4133-9B56-80805B294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E8FE035-27BA-4C6E-8AD3-0755365505A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D8519CE-729C-409E-A9CD-23349F14AC68}"/>
            </a:ext>
            <a:ext uri="{147F2762-F138-4A5C-976F-8EAC2B608ADB}">
              <a16:predDERef xmlns:a16="http://schemas.microsoft.com/office/drawing/2014/main" pred="{4E8FE035-27BA-4C6E-8AD3-075536550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2D04A3-585C-4471-8DAA-003C3A89B58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ED48AAF-1B58-473E-88F2-44D676988E9D}"/>
            </a:ext>
            <a:ext uri="{147F2762-F138-4A5C-976F-8EAC2B608ADB}">
              <a16:predDERef xmlns:a16="http://schemas.microsoft.com/office/drawing/2014/main" pred="{862D04A3-585C-4471-8DAA-003C3A89B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211931</xdr:colOff>
      <xdr:row>14</xdr:row>
      <xdr:rowOff>157162</xdr:rowOff>
    </xdr:from>
    <xdr:to>
      <xdr:col>14</xdr:col>
      <xdr:colOff>526256</xdr:colOff>
      <xdr:row>24</xdr:row>
      <xdr:rowOff>157162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E2B254E-0F13-41CD-BDC2-B8848DD7B6B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3699AF-882A-4EEC-BFF2-32416E240E9F}"/>
            </a:ext>
            <a:ext uri="{147F2762-F138-4A5C-976F-8EAC2B608ADB}">
              <a16:predDERef xmlns:a16="http://schemas.microsoft.com/office/drawing/2014/main" pred="{8E2B254E-0F13-41CD-BDC2-B8848DD7B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CE87501-2911-40E5-9615-63D0023FA10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821B62-E30A-410A-87EF-FD4508B85563}"/>
            </a:ext>
            <a:ext uri="{147F2762-F138-4A5C-976F-8EAC2B608ADB}">
              <a16:predDERef xmlns:a16="http://schemas.microsoft.com/office/drawing/2014/main" pred="{DCE87501-2911-40E5-9615-63D0023FA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03A396-8009-466C-A6D6-9147A240AE6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BD48F82-3667-487B-8AB6-E5FD5ED17E2F}"/>
            </a:ext>
            <a:ext uri="{147F2762-F138-4A5C-976F-8EAC2B608ADB}">
              <a16:predDERef xmlns:a16="http://schemas.microsoft.com/office/drawing/2014/main" pred="{9303A396-8009-466C-A6D6-9147A240A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15</xdr:row>
      <xdr:rowOff>123825</xdr:rowOff>
    </xdr:from>
    <xdr:to>
      <xdr:col>15</xdr:col>
      <xdr:colOff>66675</xdr:colOff>
      <xdr:row>25</xdr:row>
      <xdr:rowOff>123825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AA38393-883A-4C06-B04E-7ACE4E78427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33209C6-8615-428D-BDE5-903502C596F9}"/>
            </a:ext>
            <a:ext uri="{147F2762-F138-4A5C-976F-8EAC2B608ADB}">
              <a16:predDERef xmlns:a16="http://schemas.microsoft.com/office/drawing/2014/main" pred="{9AA38393-883A-4C06-B04E-7ACE4E784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CA3FA18-5D34-4DAD-A33E-C67E8C7E5AF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BD9AAD0-B0B9-4903-AF12-FEC7FA6B8F8E}"/>
            </a:ext>
            <a:ext uri="{147F2762-F138-4A5C-976F-8EAC2B608ADB}">
              <a16:predDERef xmlns:a16="http://schemas.microsoft.com/office/drawing/2014/main" pred="{CCA3FA18-5D34-4DAD-A33E-C67E8C7E5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90A5BC9-9051-4AD9-897B-9B63AD9CF58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EDE8689-1D4A-4B39-9EBE-878415EF61F9}"/>
            </a:ext>
            <a:ext uri="{147F2762-F138-4A5C-976F-8EAC2B608ADB}">
              <a16:predDERef xmlns:a16="http://schemas.microsoft.com/office/drawing/2014/main" pred="{290A5BC9-9051-4AD9-897B-9B63AD9CF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4A31106-4564-4FB3-AECF-D4DC018DFCB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ABEA277-8D0E-4F18-8E39-298A03EFD472}"/>
            </a:ext>
            <a:ext uri="{147F2762-F138-4A5C-976F-8EAC2B608ADB}">
              <a16:predDERef xmlns:a16="http://schemas.microsoft.com/office/drawing/2014/main" pred="{14A31106-4564-4FB3-AECF-D4DC018DF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352425</xdr:colOff>
      <xdr:row>16</xdr:row>
      <xdr:rowOff>76200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3AE1455-54D8-44A9-8C06-C13E46786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4F4F5EC-2B5E-4658-A171-9FAFACC715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2C673D9-7D6E-46F7-9449-51326EDEB71A}"/>
            </a:ext>
            <a:ext uri="{147F2762-F138-4A5C-976F-8EAC2B608ADB}">
              <a16:predDERef xmlns:a16="http://schemas.microsoft.com/office/drawing/2014/main" pred="{D4F4F5EC-2B5E-4658-A171-9FAFACC71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15</xdr:col>
      <xdr:colOff>0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4BCC17-5D44-44AA-8022-2D4FCB57F99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7003AB0-6AD7-4CB6-A8DD-383F9D1E2A50}"/>
            </a:ext>
            <a:ext uri="{147F2762-F138-4A5C-976F-8EAC2B608ADB}">
              <a16:predDERef xmlns:a16="http://schemas.microsoft.com/office/drawing/2014/main" pred="{864BCC17-5D44-44AA-8022-2D4FCB57F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D34EB77-A22B-4F56-8BD2-9213F47A88B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22B007E-16B9-4F1B-B530-5E86AB72F0C8}"/>
            </a:ext>
            <a:ext uri="{147F2762-F138-4A5C-976F-8EAC2B608ADB}">
              <a16:predDERef xmlns:a16="http://schemas.microsoft.com/office/drawing/2014/main" pred="{1D34EB77-A22B-4F56-8BD2-9213F47A8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5CDA8F7-8AD2-4476-B7F8-644A8FC4F0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4E7C38D-0AE4-4DFC-9E0E-76325A4CECBB}"/>
            </a:ext>
            <a:ext uri="{147F2762-F138-4A5C-976F-8EAC2B608ADB}">
              <a16:predDERef xmlns:a16="http://schemas.microsoft.com/office/drawing/2014/main" pred="{15CDA8F7-8AD2-4476-B7F8-644A8FC4F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9DBC7BC-A017-48A6-9FB9-A62F45CBD5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E23F396-4B12-4221-9388-A718D29D6D65}"/>
            </a:ext>
            <a:ext uri="{147F2762-F138-4A5C-976F-8EAC2B608ADB}">
              <a16:predDERef xmlns:a16="http://schemas.microsoft.com/office/drawing/2014/main" pred="{69DBC7BC-A017-48A6-9FB9-A62F45CBD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577C2BE-F8FB-4DAC-B86C-9D2B2267B33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D371D2A-3B41-4BA8-89DE-790D8B1C13CE}"/>
            </a:ext>
            <a:ext uri="{147F2762-F138-4A5C-976F-8EAC2B608ADB}">
              <a16:predDERef xmlns:a16="http://schemas.microsoft.com/office/drawing/2014/main" pred="{B577C2BE-F8FB-4DAC-B86C-9D2B2267B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23FEC42-CEC5-407D-83F3-8E7791D1343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EDEEF2D-04BD-42CF-B024-9D9096E03BA2}"/>
            </a:ext>
            <a:ext uri="{147F2762-F138-4A5C-976F-8EAC2B608ADB}">
              <a16:predDERef xmlns:a16="http://schemas.microsoft.com/office/drawing/2014/main" pred="{323FEC42-CEC5-407D-83F3-8E7791D13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FB0F11B-27D0-4FBA-9277-B8AA3B95A0B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76AE23-548D-45E2-91ED-0EE1F50B0E9D}"/>
            </a:ext>
            <a:ext uri="{147F2762-F138-4A5C-976F-8EAC2B608ADB}">
              <a16:predDERef xmlns:a16="http://schemas.microsoft.com/office/drawing/2014/main" pred="{2FB0F11B-27D0-4FBA-9277-B8AA3B95A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656E37-2B1D-429C-9C51-93060783349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D751B02-BB73-405F-8CB3-2C2EC6DB5EC3}"/>
            </a:ext>
            <a:ext uri="{147F2762-F138-4A5C-976F-8EAC2B608ADB}">
              <a16:predDERef xmlns:a16="http://schemas.microsoft.com/office/drawing/2014/main" pred="{0B656E37-2B1D-429C-9C51-930607833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01CB34E-8DCF-4300-A161-70175CAC6D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CA0850F-4218-471A-B74C-A825BBD43F09}"/>
            </a:ext>
            <a:ext uri="{147F2762-F138-4A5C-976F-8EAC2B608ADB}">
              <a16:predDERef xmlns:a16="http://schemas.microsoft.com/office/drawing/2014/main" pred="{101CB34E-8DCF-4300-A161-70175CAC6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14B7F80-79A9-4AC4-8F67-3A3E4E55EAF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E9E6B8-FF33-4814-BD4E-3ED2EDC8B353}"/>
            </a:ext>
            <a:ext uri="{147F2762-F138-4A5C-976F-8EAC2B608ADB}">
              <a16:predDERef xmlns:a16="http://schemas.microsoft.com/office/drawing/2014/main" pred="{F14B7F80-79A9-4AC4-8F67-3A3E4E55E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EB89E4-969A-42B2-BDFF-01D228F2BDA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</xdr:row>
      <xdr:rowOff>180975</xdr:rowOff>
    </xdr:from>
    <xdr:to>
      <xdr:col>14</xdr:col>
      <xdr:colOff>533400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525AB7A-7494-4355-82D1-FD19425B8EA1}"/>
            </a:ext>
            <a:ext uri="{147F2762-F138-4A5C-976F-8EAC2B608ADB}">
              <a16:predDERef xmlns:a16="http://schemas.microsoft.com/office/drawing/2014/main" pred="{0BEB89E4-969A-42B2-BDFF-01D228F2B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14</xdr:row>
      <xdr:rowOff>180975</xdr:rowOff>
    </xdr:from>
    <xdr:to>
      <xdr:col>15</xdr:col>
      <xdr:colOff>9525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8B83831-BEF3-4703-98DF-0E6566ADC33B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35A555C-28A1-447F-9E73-2D67A9E2931F}"/>
            </a:ext>
            <a:ext uri="{147F2762-F138-4A5C-976F-8EAC2B608ADB}">
              <a16:predDERef xmlns:a16="http://schemas.microsoft.com/office/drawing/2014/main" pred="{48B83831-BEF3-4703-98DF-0E6566ADC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A50CA18-915C-45D3-81F8-FA30EDA1C3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AC4EC3-902F-4CD8-93D7-F988B244708E}"/>
            </a:ext>
            <a:ext uri="{147F2762-F138-4A5C-976F-8EAC2B608ADB}">
              <a16:predDERef xmlns:a16="http://schemas.microsoft.com/office/drawing/2014/main" pred="{1A50CA18-915C-45D3-81F8-FA30EDA1C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C348C8C-CACE-4225-875F-C9428738F2C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9C4D7C8-AE7F-4D5F-A53A-765D5E242D06}"/>
            </a:ext>
            <a:ext uri="{147F2762-F138-4A5C-976F-8EAC2B608ADB}">
              <a16:predDERef xmlns:a16="http://schemas.microsoft.com/office/drawing/2014/main" pred="{7C348C8C-CACE-4225-875F-C9428738F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19B278-5BA6-4E95-A42A-73162F03176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083F36-5047-4526-A39D-DBD3A46AC15F}"/>
            </a:ext>
            <a:ext uri="{147F2762-F138-4A5C-976F-8EAC2B608ADB}">
              <a16:predDERef xmlns:a16="http://schemas.microsoft.com/office/drawing/2014/main" pred="{7E19B278-5BA6-4E95-A42A-73162F031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8E9DA4-4167-44E4-A3BC-9A23BC54518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A336054-35C9-4C6E-88A4-638A512BFA22}"/>
            </a:ext>
            <a:ext uri="{147F2762-F138-4A5C-976F-8EAC2B608ADB}">
              <a16:predDERef xmlns:a16="http://schemas.microsoft.com/office/drawing/2014/main" pred="{4F8E9DA4-4167-44E4-A3BC-9A23BC545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DCEE5A5-48D6-4E03-BDCD-8783F73B409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982D711-23F8-4D8D-BB03-BF4395AD0027}"/>
            </a:ext>
            <a:ext uri="{147F2762-F138-4A5C-976F-8EAC2B608ADB}">
              <a16:predDERef xmlns:a16="http://schemas.microsoft.com/office/drawing/2014/main" pred="{DDCEE5A5-48D6-4E03-BDCD-8783F73B4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15</xdr:row>
      <xdr:rowOff>0</xdr:rowOff>
    </xdr:from>
    <xdr:to>
      <xdr:col>14</xdr:col>
      <xdr:colOff>533400</xdr:colOff>
      <xdr:row>25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8FEA63-4657-4209-ACC3-AEF50ADEF44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1AAB01-8870-45CA-8999-B85C50E69717}"/>
            </a:ext>
            <a:ext uri="{147F2762-F138-4A5C-976F-8EAC2B608ADB}">
              <a16:predDERef xmlns:a16="http://schemas.microsoft.com/office/drawing/2014/main" pred="{938FEA63-4657-4209-ACC3-AEF50ADEF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DD3AED2-2319-4DDD-B0EC-FF65D3A21D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42BC631-8ECE-4F7E-81D3-1DC9ECAE9D9D}"/>
            </a:ext>
            <a:ext uri="{147F2762-F138-4A5C-976F-8EAC2B608ADB}">
              <a16:predDERef xmlns:a16="http://schemas.microsoft.com/office/drawing/2014/main" pred="{2DD3AED2-2319-4DDD-B0EC-FF65D3A21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FA36765-1A1C-4050-A9E0-D413F17D49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AEF6EDB-D3B1-493F-A6C2-207FB815004C}"/>
            </a:ext>
            <a:ext uri="{147F2762-F138-4A5C-976F-8EAC2B608ADB}">
              <a16:predDERef xmlns:a16="http://schemas.microsoft.com/office/drawing/2014/main" pred="{7FA36765-1A1C-4050-A9E0-D413F17D4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116211E-CAC8-4EFC-9CF9-630059812A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7F8955-AF93-4BC2-819A-EFB0C53BD504}"/>
            </a:ext>
            <a:ext uri="{147F2762-F138-4A5C-976F-8EAC2B608ADB}">
              <a16:predDERef xmlns:a16="http://schemas.microsoft.com/office/drawing/2014/main" pred="{9116211E-CAC8-4EFC-9CF9-630059812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93579A8-59A0-4F51-B818-F160EDBAB68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0404A6-1138-4401-9946-4ACE6E292E48}"/>
            </a:ext>
            <a:ext uri="{147F2762-F138-4A5C-976F-8EAC2B608ADB}">
              <a16:predDERef xmlns:a16="http://schemas.microsoft.com/office/drawing/2014/main" pred="{D93579A8-59A0-4F51-B818-F160EDBA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BCDCB2E-B278-4D99-B196-A305738EBBA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A8590A2-590A-4E46-B670-D54C31641935}"/>
            </a:ext>
            <a:ext uri="{147F2762-F138-4A5C-976F-8EAC2B608ADB}">
              <a16:predDERef xmlns:a16="http://schemas.microsoft.com/office/drawing/2014/main" pred="{FBCDCB2E-B278-4D99-B196-A305738EB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sp" displayName="Resp" ref="A1:BH26" totalsRowShown="0" headerRowDxfId="66" dataDxfId="65">
  <autoFilter ref="A1:BH26" xr:uid="{00000000-000C-0000-FFFF-FFFF00000000}"/>
  <tableColumns count="60">
    <tableColumn id="2" xr3:uid="{00000000-0010-0000-0000-000002000000}" name="Programa" dataDxfId="64"/>
    <tableColumn id="4" xr3:uid="{00000000-0010-0000-0000-000004000000}" name="Setor" dataDxfId="63"/>
    <tableColumn id="5" xr3:uid="{00000000-0010-0000-0000-000005000000}" name="01" dataDxfId="62"/>
    <tableColumn id="6" xr3:uid="{00000000-0010-0000-0000-000006000000}" name="02" dataDxfId="61"/>
    <tableColumn id="7" xr3:uid="{00000000-0010-0000-0000-000007000000}" name="03" dataDxfId="60"/>
    <tableColumn id="8" xr3:uid="{00000000-0010-0000-0000-000008000000}" name="04" dataDxfId="59"/>
    <tableColumn id="10" xr3:uid="{00000000-0010-0000-0000-00000A000000}" name="06" dataDxfId="58"/>
    <tableColumn id="11" xr3:uid="{00000000-0010-0000-0000-00000B000000}" name="07" dataDxfId="57"/>
    <tableColumn id="12" xr3:uid="{00000000-0010-0000-0000-00000C000000}" name="08" dataDxfId="56"/>
    <tableColumn id="13" xr3:uid="{00000000-0010-0000-0000-00000D000000}" name="09" dataDxfId="55"/>
    <tableColumn id="14" xr3:uid="{00000000-0010-0000-0000-00000E000000}" name="10" dataDxfId="54"/>
    <tableColumn id="15" xr3:uid="{00000000-0010-0000-0000-00000F000000}" name="11" dataDxfId="53"/>
    <tableColumn id="16" xr3:uid="{00000000-0010-0000-0000-000010000000}" name="12" dataDxfId="52"/>
    <tableColumn id="17" xr3:uid="{00000000-0010-0000-0000-000011000000}" name="13" dataDxfId="51"/>
    <tableColumn id="18" xr3:uid="{00000000-0010-0000-0000-000012000000}" name="14" dataDxfId="50"/>
    <tableColumn id="19" xr3:uid="{00000000-0010-0000-0000-000013000000}" name="15" dataDxfId="49"/>
    <tableColumn id="20" xr3:uid="{00000000-0010-0000-0000-000014000000}" name="16" dataDxfId="48"/>
    <tableColumn id="21" xr3:uid="{00000000-0010-0000-0000-000015000000}" name="17" dataDxfId="47"/>
    <tableColumn id="22" xr3:uid="{00000000-0010-0000-0000-000016000000}" name="18" dataDxfId="46"/>
    <tableColumn id="23" xr3:uid="{00000000-0010-0000-0000-000017000000}" name="19" dataDxfId="45"/>
    <tableColumn id="24" xr3:uid="{00000000-0010-0000-0000-000018000000}" name="20" dataDxfId="44"/>
    <tableColumn id="25" xr3:uid="{00000000-0010-0000-0000-000019000000}" name="21" dataDxfId="43"/>
    <tableColumn id="26" xr3:uid="{00000000-0010-0000-0000-00001A000000}" name="22" dataDxfId="42"/>
    <tableColumn id="27" xr3:uid="{00000000-0010-0000-0000-00001B000000}" name="23" dataDxfId="41"/>
    <tableColumn id="28" xr3:uid="{00000000-0010-0000-0000-00001C000000}" name="24" dataDxfId="40"/>
    <tableColumn id="29" xr3:uid="{00000000-0010-0000-0000-00001D000000}" name="25" dataDxfId="39"/>
    <tableColumn id="30" xr3:uid="{00000000-0010-0000-0000-00001E000000}" name="26" dataDxfId="38"/>
    <tableColumn id="31" xr3:uid="{00000000-0010-0000-0000-00001F000000}" name="27" dataDxfId="37"/>
    <tableColumn id="32" xr3:uid="{00000000-0010-0000-0000-000020000000}" name="28" dataDxfId="36"/>
    <tableColumn id="33" xr3:uid="{00000000-0010-0000-0000-000021000000}" name="29" dataDxfId="35"/>
    <tableColumn id="34" xr3:uid="{00000000-0010-0000-0000-000022000000}" name="30" dataDxfId="34"/>
    <tableColumn id="35" xr3:uid="{00000000-0010-0000-0000-000023000000}" name="31" dataDxfId="33"/>
    <tableColumn id="36" xr3:uid="{00000000-0010-0000-0000-000024000000}" name="32" dataDxfId="32"/>
    <tableColumn id="37" xr3:uid="{00000000-0010-0000-0000-000025000000}" name="33" dataDxfId="31"/>
    <tableColumn id="38" xr3:uid="{00000000-0010-0000-0000-000026000000}" name="34" dataDxfId="30"/>
    <tableColumn id="39" xr3:uid="{00000000-0010-0000-0000-000027000000}" name="35" dataDxfId="29"/>
    <tableColumn id="40" xr3:uid="{00000000-0010-0000-0000-000028000000}" name="36" dataDxfId="28"/>
    <tableColumn id="41" xr3:uid="{00000000-0010-0000-0000-000029000000}" name="37" dataDxfId="27"/>
    <tableColumn id="42" xr3:uid="{00000000-0010-0000-0000-00002A000000}" name="38" dataDxfId="26"/>
    <tableColumn id="43" xr3:uid="{00000000-0010-0000-0000-00002B000000}" name="39" dataDxfId="25"/>
    <tableColumn id="44" xr3:uid="{00000000-0010-0000-0000-00002C000000}" name="40" dataDxfId="24"/>
    <tableColumn id="45" xr3:uid="{00000000-0010-0000-0000-00002D000000}" name="41" dataDxfId="23"/>
    <tableColumn id="46" xr3:uid="{00000000-0010-0000-0000-00002E000000}" name="42" dataDxfId="22"/>
    <tableColumn id="47" xr3:uid="{00000000-0010-0000-0000-00002F000000}" name="43" dataDxfId="21"/>
    <tableColumn id="48" xr3:uid="{00000000-0010-0000-0000-000030000000}" name="44" dataDxfId="20"/>
    <tableColumn id="49" xr3:uid="{00000000-0010-0000-0000-000031000000}" name="45" dataDxfId="19"/>
    <tableColumn id="50" xr3:uid="{00000000-0010-0000-0000-000032000000}" name="46" dataDxfId="18"/>
    <tableColumn id="51" xr3:uid="{00000000-0010-0000-0000-000033000000}" name="47" dataDxfId="17"/>
    <tableColumn id="52" xr3:uid="{00000000-0010-0000-0000-000034000000}" name="48" dataDxfId="16"/>
    <tableColumn id="53" xr3:uid="{00000000-0010-0000-0000-000035000000}" name="49" dataDxfId="15"/>
    <tableColumn id="54" xr3:uid="{00000000-0010-0000-0000-000036000000}" name="50" dataDxfId="14"/>
    <tableColumn id="55" xr3:uid="{00000000-0010-0000-0000-000037000000}" name="51" dataDxfId="13"/>
    <tableColumn id="56" xr3:uid="{00000000-0010-0000-0000-000038000000}" name="52" dataDxfId="12"/>
    <tableColumn id="58" xr3:uid="{00000000-0010-0000-0000-00003A000000}" name="54" dataDxfId="11"/>
    <tableColumn id="59" xr3:uid="{00000000-0010-0000-0000-00003B000000}" name="55" dataDxfId="10"/>
    <tableColumn id="60" xr3:uid="{00000000-0010-0000-0000-00003C000000}" name="56" dataDxfId="9"/>
    <tableColumn id="61" xr3:uid="{00000000-0010-0000-0000-00003D000000}" name="57" dataDxfId="8"/>
    <tableColumn id="62" xr3:uid="{00000000-0010-0000-0000-00003E000000}" name="58" dataDxfId="7"/>
    <tableColumn id="63" xr3:uid="{00000000-0010-0000-0000-00003F000000}" name="59" dataDxfId="6"/>
    <tableColumn id="64" xr3:uid="{00000000-0010-0000-0000-000040000000}" name="60" dataDxfId="5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ós" displayName="Pós" ref="A1:E62" totalsRowShown="0" headerRowDxfId="4">
  <autoFilter ref="A1:E62" xr:uid="{00000000-0009-0000-0100-000002000000}"/>
  <tableColumns count="5">
    <tableColumn id="1" xr3:uid="{00000000-0010-0000-0100-000001000000}" name="Número_Questão" dataDxfId="3"/>
    <tableColumn id="2" xr3:uid="{00000000-0010-0000-0100-000002000000}" name="Tipo_Questão"/>
    <tableColumn id="3" xr3:uid="{00000000-0010-0000-0100-000003000000}" name="Título_Questão" dataDxfId="2"/>
    <tableColumn id="4" xr3:uid="{00000000-0010-0000-0100-000004000000}" name="Título Gráfico" dataDxfId="1"/>
    <tableColumn id="5" xr3:uid="{00000000-0010-0000-0100-000005000000}" name="Observaçõ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2"/>
  <sheetViews>
    <sheetView showGridLines="0" workbookViewId="0">
      <selection activeCell="C5" sqref="C5"/>
    </sheetView>
  </sheetViews>
  <sheetFormatPr defaultRowHeight="14.25" x14ac:dyDescent="0.2"/>
  <cols>
    <col min="1" max="1" width="2.5703125" style="41" customWidth="1"/>
    <col min="2" max="4" width="19.42578125" style="41" customWidth="1"/>
    <col min="5" max="5" width="15.5703125" style="41" customWidth="1"/>
    <col min="6" max="6" width="29.85546875" style="41" customWidth="1"/>
    <col min="7" max="7" width="9.140625" style="41"/>
    <col min="8" max="8" width="15.85546875" style="41" customWidth="1"/>
    <col min="9" max="9" width="31.85546875" style="41" customWidth="1"/>
    <col min="10" max="16384" width="9.140625" style="41"/>
  </cols>
  <sheetData>
    <row r="1" spans="2:35" ht="15" x14ac:dyDescent="0.25">
      <c r="B1" s="39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2:35" ht="15" x14ac:dyDescent="0.25">
      <c r="B2" s="40"/>
      <c r="C2" s="40"/>
      <c r="D2" s="40"/>
      <c r="E2" s="40"/>
      <c r="F2" s="40"/>
      <c r="G2" s="40"/>
      <c r="H2" s="40"/>
      <c r="I2" s="42"/>
      <c r="J2" s="42"/>
      <c r="K2" s="42"/>
      <c r="L2" s="42"/>
      <c r="M2" s="43"/>
      <c r="N2" s="43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2:35" x14ac:dyDescent="0.2">
      <c r="B3" s="40" t="s">
        <v>1</v>
      </c>
      <c r="C3" s="40"/>
      <c r="D3" s="40"/>
      <c r="E3" s="40"/>
      <c r="F3" s="40"/>
      <c r="G3" s="40"/>
      <c r="H3" s="40"/>
      <c r="I3" s="44"/>
      <c r="J3" s="40"/>
      <c r="K3" s="40"/>
      <c r="L3" s="40"/>
      <c r="M3" s="45"/>
      <c r="N3" s="45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4" spans="2:35" x14ac:dyDescent="0.2">
      <c r="B4" s="46" t="s">
        <v>2</v>
      </c>
      <c r="C4" s="40"/>
      <c r="D4" s="40"/>
      <c r="E4" s="40"/>
      <c r="F4" s="40"/>
      <c r="G4" s="44"/>
      <c r="H4" s="40"/>
      <c r="I4" s="40"/>
      <c r="J4" s="40"/>
      <c r="K4" s="45"/>
      <c r="L4" s="45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</row>
    <row r="5" spans="2:35" x14ac:dyDescent="0.2">
      <c r="B5" s="46" t="s">
        <v>3</v>
      </c>
      <c r="C5" s="40"/>
      <c r="D5" s="40"/>
      <c r="E5" s="40"/>
      <c r="F5" s="40"/>
      <c r="G5" s="44"/>
      <c r="H5" s="40"/>
      <c r="I5" s="40"/>
      <c r="J5" s="40"/>
      <c r="K5" s="45"/>
      <c r="L5" s="45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</row>
    <row r="6" spans="2:35" x14ac:dyDescent="0.2">
      <c r="B6" s="46" t="s">
        <v>4</v>
      </c>
      <c r="C6" s="40"/>
      <c r="D6" s="40"/>
      <c r="E6" s="40"/>
      <c r="F6" s="40"/>
      <c r="G6" s="44"/>
      <c r="H6" s="40"/>
      <c r="I6" s="40"/>
      <c r="J6" s="40"/>
      <c r="K6" s="45"/>
      <c r="L6" s="45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2:35" x14ac:dyDescent="0.2">
      <c r="B7" s="47"/>
      <c r="C7" s="47"/>
      <c r="D7" s="47"/>
      <c r="E7" s="40"/>
      <c r="F7" s="40"/>
      <c r="G7" s="40"/>
      <c r="H7" s="40"/>
      <c r="I7" s="44"/>
      <c r="J7" s="40"/>
      <c r="K7" s="40"/>
      <c r="L7" s="40"/>
      <c r="M7" s="45"/>
      <c r="N7" s="45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</row>
    <row r="8" spans="2:35" x14ac:dyDescent="0.2">
      <c r="B8" s="40" t="s">
        <v>5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</row>
    <row r="9" spans="2:35" x14ac:dyDescent="0.2">
      <c r="B9" s="40" t="s">
        <v>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</row>
    <row r="10" spans="2:35" x14ac:dyDescent="0.2"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pans="2:35" x14ac:dyDescent="0.2">
      <c r="B11" s="40" t="s">
        <v>7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</row>
    <row r="12" spans="2:35" x14ac:dyDescent="0.2">
      <c r="B12" s="40" t="s">
        <v>8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</row>
    <row r="13" spans="2:35" x14ac:dyDescent="0.2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2:35" ht="15" x14ac:dyDescent="0.2">
      <c r="B14" s="48" t="s">
        <v>9</v>
      </c>
      <c r="C14" s="48"/>
      <c r="D14" s="48"/>
      <c r="E14" s="48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2:35" ht="15" x14ac:dyDescent="0.2">
      <c r="B15" s="49" t="s">
        <v>10</v>
      </c>
      <c r="C15" s="49" t="s">
        <v>11</v>
      </c>
      <c r="D15" s="56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2:35" x14ac:dyDescent="0.2">
      <c r="B16" s="50" t="s">
        <v>12</v>
      </c>
      <c r="C16" s="50" t="s">
        <v>13</v>
      </c>
      <c r="D16" s="52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</row>
    <row r="17" spans="2:35" x14ac:dyDescent="0.2">
      <c r="B17" s="50" t="s">
        <v>14</v>
      </c>
      <c r="C17" s="50" t="s">
        <v>15</v>
      </c>
      <c r="D17" s="52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</row>
    <row r="18" spans="2:35" x14ac:dyDescent="0.2">
      <c r="B18" s="50" t="s">
        <v>16</v>
      </c>
      <c r="C18" s="50"/>
      <c r="D18" s="52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</row>
    <row r="19" spans="2:35" x14ac:dyDescent="0.2">
      <c r="B19" s="50" t="s">
        <v>17</v>
      </c>
      <c r="C19" s="50"/>
      <c r="D19" s="52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</row>
    <row r="20" spans="2:35" x14ac:dyDescent="0.2">
      <c r="B20" s="50" t="s">
        <v>18</v>
      </c>
      <c r="C20" s="50"/>
      <c r="D20" s="52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</row>
    <row r="21" spans="2:35" x14ac:dyDescent="0.2">
      <c r="B21" s="50" t="s">
        <v>19</v>
      </c>
      <c r="C21" s="50"/>
      <c r="D21" s="52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</row>
    <row r="22" spans="2:35" x14ac:dyDescent="0.2">
      <c r="B22" s="50" t="s">
        <v>20</v>
      </c>
      <c r="C22" s="50"/>
      <c r="D22" s="52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</row>
    <row r="23" spans="2:35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</row>
    <row r="24" spans="2:35" ht="15" x14ac:dyDescent="0.2">
      <c r="B24" s="48" t="s">
        <v>21</v>
      </c>
      <c r="C24" s="48"/>
      <c r="D24" s="48"/>
      <c r="E24" s="48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</row>
    <row r="25" spans="2:35" x14ac:dyDescent="0.2">
      <c r="B25" s="51" t="s">
        <v>22</v>
      </c>
      <c r="C25" s="72" t="s">
        <v>23</v>
      </c>
      <c r="D25" s="72"/>
      <c r="E25" s="52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pans="2:35" x14ac:dyDescent="0.2">
      <c r="B26" s="53" t="s">
        <v>24</v>
      </c>
      <c r="C26" s="72" t="s">
        <v>25</v>
      </c>
      <c r="D26" s="72"/>
      <c r="E26" s="52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2:35" x14ac:dyDescent="0.2">
      <c r="B27" s="54" t="s">
        <v>26</v>
      </c>
      <c r="C27" s="72" t="s">
        <v>16</v>
      </c>
      <c r="D27" s="72"/>
      <c r="E27" s="52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2:35" x14ac:dyDescent="0.2">
      <c r="B28" s="55" t="s">
        <v>27</v>
      </c>
      <c r="C28" s="72" t="s">
        <v>28</v>
      </c>
      <c r="D28" s="72"/>
      <c r="E28" s="52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2:35" x14ac:dyDescent="0.2">
      <c r="B29" s="40"/>
      <c r="C29" s="40"/>
      <c r="D29" s="40"/>
      <c r="E29" s="40"/>
      <c r="F29" s="40"/>
      <c r="G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2:35" x14ac:dyDescent="0.2">
      <c r="B30" s="40"/>
      <c r="C30" s="40"/>
      <c r="D30" s="40"/>
      <c r="E30" s="40"/>
      <c r="F30" s="40"/>
      <c r="G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2:35" x14ac:dyDescent="0.2">
      <c r="B31" s="40"/>
      <c r="C31" s="40"/>
      <c r="D31" s="40"/>
      <c r="E31" s="40"/>
      <c r="F31" s="40"/>
      <c r="G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pans="2:35" x14ac:dyDescent="0.2">
      <c r="B32" s="40"/>
      <c r="C32" s="40"/>
      <c r="D32" s="40"/>
      <c r="E32" s="40"/>
      <c r="F32" s="40"/>
      <c r="G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2:35" x14ac:dyDescent="0.2">
      <c r="B33" s="40"/>
      <c r="C33" s="40"/>
      <c r="D33" s="40"/>
      <c r="E33" s="40"/>
      <c r="F33" s="40"/>
      <c r="G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2:35" x14ac:dyDescent="0.2">
      <c r="B34" s="40"/>
      <c r="C34" s="40"/>
      <c r="D34" s="40"/>
      <c r="E34" s="40"/>
      <c r="F34" s="40"/>
      <c r="G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2:35" x14ac:dyDescent="0.2">
      <c r="B35" s="40"/>
      <c r="C35" s="40"/>
      <c r="D35" s="40"/>
      <c r="F35" s="40"/>
      <c r="G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2:35" x14ac:dyDescent="0.2">
      <c r="B36" s="40"/>
      <c r="C36" s="40"/>
      <c r="F36" s="40"/>
      <c r="G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2:35" x14ac:dyDescent="0.2">
      <c r="B37" s="40"/>
      <c r="C37" s="40"/>
      <c r="F37" s="40"/>
      <c r="G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pans="2:35" x14ac:dyDescent="0.2">
      <c r="B38" s="40"/>
      <c r="C38" s="40"/>
      <c r="F38" s="40"/>
      <c r="G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2:35" x14ac:dyDescent="0.2">
      <c r="B39" s="40"/>
      <c r="C39" s="40"/>
      <c r="F39" s="40"/>
      <c r="G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2:35" x14ac:dyDescent="0.2">
      <c r="B40" s="40"/>
      <c r="C40" s="40"/>
      <c r="F40" s="40"/>
      <c r="G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pans="2:35" x14ac:dyDescent="0.2">
      <c r="B41" s="40"/>
      <c r="C41" s="40"/>
      <c r="F41" s="40"/>
      <c r="G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2:35" x14ac:dyDescent="0.2">
      <c r="B42" s="40"/>
      <c r="C42" s="40"/>
      <c r="G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</sheetData>
  <mergeCells count="4">
    <mergeCell ref="C25:D25"/>
    <mergeCell ref="C26:D26"/>
    <mergeCell ref="C27:D27"/>
    <mergeCell ref="C28:D28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7.42578125" style="7" customWidth="1"/>
    <col min="3" max="3" width="32.28515625" style="7" customWidth="1"/>
    <col min="4" max="4" width="8.5703125" style="7" customWidth="1"/>
    <col min="5" max="5" width="11.285156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18" width="6.5703125" style="7" customWidth="1"/>
    <col min="19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8</v>
      </c>
    </row>
    <row r="2" spans="1:12" x14ac:dyDescent="0.25">
      <c r="A2" s="8" t="str">
        <f>TEXT(A1,"00")</f>
        <v>08</v>
      </c>
      <c r="B2" s="8" t="str">
        <f>VLOOKUP(A$2, Pós[], 3, FALSE)</f>
        <v>Como você avalia o conjunto de disciplinas do seu programa de pós-graduação ofertado em 2021?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58" t="s">
        <v>12</v>
      </c>
      <c r="C6" s="8">
        <f>COUNTIF(Resp[08],B6)</f>
        <v>11</v>
      </c>
      <c r="D6" s="8">
        <f>ROUND($C6/C$13*100,2)</f>
        <v>47.83</v>
      </c>
      <c r="E6" s="18">
        <f>ROUND($C6/SUM($C$6:$C$12)*100,3)</f>
        <v>47.826000000000001</v>
      </c>
      <c r="G6" s="8"/>
      <c r="H6" s="8"/>
    </row>
    <row r="7" spans="1:12" x14ac:dyDescent="0.25">
      <c r="B7" s="7" t="s">
        <v>14</v>
      </c>
      <c r="C7" s="8">
        <f>COUNTIF(Resp[08],B7)</f>
        <v>8</v>
      </c>
      <c r="D7" s="8">
        <f t="shared" ref="D7:D12" si="0">ROUND($C7/C$13*100,2)</f>
        <v>34.78</v>
      </c>
      <c r="E7" s="18">
        <f t="shared" ref="E7:E12" si="1">ROUND($C7/SUM($C$6:$C$12)*100,3)</f>
        <v>34.783000000000001</v>
      </c>
      <c r="G7" s="8"/>
      <c r="H7" s="8"/>
    </row>
    <row r="8" spans="1:12" x14ac:dyDescent="0.25">
      <c r="B8" s="7" t="s">
        <v>16</v>
      </c>
      <c r="C8" s="8">
        <f>COUNTIF(Resp[08],B8)</f>
        <v>3</v>
      </c>
      <c r="D8" s="8">
        <f t="shared" si="0"/>
        <v>13.04</v>
      </c>
      <c r="E8" s="18">
        <f t="shared" si="1"/>
        <v>13.042999999999999</v>
      </c>
      <c r="G8" s="8"/>
      <c r="H8" s="8"/>
    </row>
    <row r="9" spans="1:12" x14ac:dyDescent="0.25">
      <c r="B9" s="7" t="s">
        <v>17</v>
      </c>
      <c r="C9" s="8">
        <f>COUNTIF(Resp[08],B9)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57" t="s">
        <v>18</v>
      </c>
      <c r="C10" s="8">
        <f>COUNTIF(Resp[08],B10)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COUNTIF(Resp[08],B11)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COUNTIF(Resp[08],B12)</f>
        <v>1</v>
      </c>
      <c r="D12" s="14">
        <f t="shared" si="0"/>
        <v>4.3499999999999996</v>
      </c>
      <c r="E12" s="25">
        <f t="shared" si="1"/>
        <v>4.3479999999999999</v>
      </c>
      <c r="G12" s="8"/>
      <c r="H12" s="8"/>
    </row>
    <row r="13" spans="1:12" x14ac:dyDescent="0.25">
      <c r="B13" s="7" t="s">
        <v>228</v>
      </c>
      <c r="C13" s="7">
        <f>SUM(C6:C12)</f>
        <v>23</v>
      </c>
      <c r="D13" s="16">
        <f>SUM(D6:D12)</f>
        <v>100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19</v>
      </c>
      <c r="E19" s="36">
        <f>ROUND(D19/SUM(D19:D22)*100,3)</f>
        <v>82.608999999999995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13.042999999999999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4.3479999999999999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7"/>
  <sheetViews>
    <sheetView workbookViewId="0">
      <selection activeCell="O30" sqref="O30"/>
    </sheetView>
  </sheetViews>
  <sheetFormatPr defaultRowHeight="15" x14ac:dyDescent="0.25"/>
  <cols>
    <col min="1" max="1" width="10.42578125" style="7" customWidth="1"/>
    <col min="2" max="2" width="29.5703125" style="7" customWidth="1"/>
    <col min="3" max="3" width="35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9</v>
      </c>
    </row>
    <row r="2" spans="1:12" x14ac:dyDescent="0.25">
      <c r="A2" s="8" t="str">
        <f>TEXT(A1,"00")</f>
        <v>09</v>
      </c>
      <c r="B2" s="8" t="str">
        <f>VLOOKUP(A$2, Pós[], 3, FALSE)</f>
        <v>Como você avalia o conjunto de disciplinas do seu programa de pós-graduação ofertado em 2021?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COUNTIF(Resp[09],B6)</f>
        <v>14</v>
      </c>
      <c r="D6" s="8">
        <f>ROUND($C6/C$13*100,2)</f>
        <v>60.87</v>
      </c>
      <c r="E6" s="18">
        <f>ROUND($C6/SUM($C$6:$C$12)*100,3)</f>
        <v>60.87</v>
      </c>
      <c r="G6" s="8"/>
      <c r="H6" s="8"/>
    </row>
    <row r="7" spans="1:12" x14ac:dyDescent="0.25">
      <c r="B7" s="7" t="s">
        <v>14</v>
      </c>
      <c r="C7" s="8">
        <f>COUNTIF(Resp[09],B7)</f>
        <v>7</v>
      </c>
      <c r="D7" s="8">
        <f t="shared" ref="D7:D12" si="0">ROUND($C7/C$13*100,2)</f>
        <v>30.43</v>
      </c>
      <c r="E7" s="18">
        <f t="shared" ref="E7:E12" si="1">ROUND($C7/SUM($C$6:$C$12)*100,3)</f>
        <v>30.434999999999999</v>
      </c>
      <c r="G7" s="8"/>
      <c r="H7" s="8"/>
    </row>
    <row r="8" spans="1:12" x14ac:dyDescent="0.25">
      <c r="B8" s="7" t="s">
        <v>16</v>
      </c>
      <c r="C8" s="8">
        <f>COUNTIF(Resp[09],B8)</f>
        <v>1</v>
      </c>
      <c r="D8" s="8">
        <f t="shared" si="0"/>
        <v>4.3499999999999996</v>
      </c>
      <c r="E8" s="18">
        <f t="shared" si="1"/>
        <v>4.3479999999999999</v>
      </c>
      <c r="G8" s="8"/>
      <c r="H8" s="8"/>
    </row>
    <row r="9" spans="1:12" x14ac:dyDescent="0.25">
      <c r="B9" s="7" t="s">
        <v>17</v>
      </c>
      <c r="C9" s="8">
        <f>COUNTIF(Resp[09],B9)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7" t="s">
        <v>18</v>
      </c>
      <c r="C10" s="8">
        <f>COUNTIF(Resp[09],B10)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COUNTIF(Resp[09],B11)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COUNTIF(Resp[09],B12)</f>
        <v>1</v>
      </c>
      <c r="D12" s="14">
        <f t="shared" si="0"/>
        <v>4.3499999999999996</v>
      </c>
      <c r="E12" s="25">
        <f t="shared" si="1"/>
        <v>4.3479999999999999</v>
      </c>
      <c r="G12" s="8"/>
      <c r="H12" s="8"/>
    </row>
    <row r="13" spans="1:12" x14ac:dyDescent="0.25">
      <c r="B13" s="7" t="s">
        <v>228</v>
      </c>
      <c r="C13" s="7">
        <f>SUM(C6:C12)</f>
        <v>23</v>
      </c>
      <c r="D13" s="16">
        <f>SUM(D6:D12)</f>
        <v>99.999999999999986</v>
      </c>
      <c r="E13" s="16">
        <f>SUM(E6:E12)</f>
        <v>100.00099999999999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21</v>
      </c>
      <c r="E19" s="36">
        <f>ROUND(D19/SUM(D19:D22)*100,3)</f>
        <v>91.304000000000002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4.3479999999999999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4.3479999999999999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57"/>
  <sheetViews>
    <sheetView workbookViewId="0">
      <selection activeCell="O31" sqref="O31"/>
    </sheetView>
  </sheetViews>
  <sheetFormatPr defaultRowHeight="15" x14ac:dyDescent="0.25"/>
  <cols>
    <col min="1" max="1" width="10.28515625" style="7" customWidth="1"/>
    <col min="2" max="2" width="21.285156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10</v>
      </c>
    </row>
    <row r="2" spans="1:12" x14ac:dyDescent="0.25">
      <c r="A2" s="8" t="str">
        <f>TEXT(A1,"00")</f>
        <v>10</v>
      </c>
      <c r="B2" s="8" t="str">
        <f>VLOOKUP(A$2, Pós[], 3, FALSE)</f>
        <v>Como você avalia o conjunto de disciplinas do seu programa de pós-graduação ofertado em 2021?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10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COUNTIF(Resp[10],B6)</f>
        <v>9</v>
      </c>
      <c r="D6" s="8">
        <f>ROUND($C6/C$13*100,2)</f>
        <v>39.130000000000003</v>
      </c>
      <c r="E6" s="18">
        <f t="shared" ref="E6:E11" si="0">ROUND($C6/SUM($C$6:$C$12)*100,3)</f>
        <v>39.130000000000003</v>
      </c>
      <c r="G6" s="8"/>
      <c r="H6" s="8"/>
    </row>
    <row r="7" spans="1:12" x14ac:dyDescent="0.25">
      <c r="B7" s="7" t="s">
        <v>14</v>
      </c>
      <c r="C7" s="8">
        <f>COUNTIF(Resp[10],B7)</f>
        <v>11</v>
      </c>
      <c r="D7" s="8">
        <f t="shared" ref="D7:D12" si="1">ROUND($C7/C$13*100,2)</f>
        <v>47.83</v>
      </c>
      <c r="E7" s="18">
        <f t="shared" si="0"/>
        <v>47.826000000000001</v>
      </c>
      <c r="G7" s="8"/>
      <c r="H7" s="8"/>
    </row>
    <row r="8" spans="1:12" x14ac:dyDescent="0.25">
      <c r="B8" s="7" t="s">
        <v>16</v>
      </c>
      <c r="C8" s="8">
        <f>COUNTIF(Resp[10],B8)</f>
        <v>3</v>
      </c>
      <c r="D8" s="8">
        <f t="shared" si="1"/>
        <v>13.04</v>
      </c>
      <c r="E8" s="18">
        <f t="shared" si="0"/>
        <v>13.042999999999999</v>
      </c>
      <c r="G8" s="8"/>
      <c r="H8" s="8"/>
    </row>
    <row r="9" spans="1:12" x14ac:dyDescent="0.25">
      <c r="B9" s="7" t="s">
        <v>17</v>
      </c>
      <c r="C9" s="8">
        <f>COUNTIF(Resp[10],B9)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59" t="s">
        <v>20</v>
      </c>
      <c r="C12" s="60">
        <f>COUNTIF(Resp[10],B12)</f>
        <v>0</v>
      </c>
      <c r="D12" s="14">
        <f t="shared" si="1"/>
        <v>0</v>
      </c>
      <c r="E12" s="25">
        <f>ROUND($C12/SUM($C$6:$C$12)*100,3)</f>
        <v>0</v>
      </c>
      <c r="G12" s="8"/>
      <c r="H12" s="8"/>
    </row>
    <row r="13" spans="1:12" x14ac:dyDescent="0.25">
      <c r="B13" s="7" t="s">
        <v>228</v>
      </c>
      <c r="C13" s="7">
        <f>SUM(C6:C12)</f>
        <v>23</v>
      </c>
      <c r="D13" s="16">
        <f>SUM(D6:D12)</f>
        <v>100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20</v>
      </c>
      <c r="E19" s="36">
        <f>ROUND(D19/SUM(D19:D22)*100,3)</f>
        <v>86.956999999999994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13.042999999999999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57"/>
  <sheetViews>
    <sheetView workbookViewId="0">
      <selection activeCell="Q20" sqref="Q20"/>
    </sheetView>
  </sheetViews>
  <sheetFormatPr defaultRowHeight="15" x14ac:dyDescent="0.25"/>
  <cols>
    <col min="1" max="1" width="10.140625" style="7" customWidth="1"/>
    <col min="2" max="2" width="19.85546875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11</v>
      </c>
    </row>
    <row r="2" spans="1:12" x14ac:dyDescent="0.25">
      <c r="A2" s="8" t="str">
        <f>TEXT(A1,"00")</f>
        <v>11</v>
      </c>
      <c r="B2" s="8" t="str">
        <f>VLOOKUP(A$2, Pós[], 3, FALSE)</f>
        <v>Como você avalia o conjunto de disciplinas do seu programa de pós-graduação ofertado em 2021?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COUNTIF(Resp[11],B6)</f>
        <v>6</v>
      </c>
      <c r="D6" s="8">
        <f>ROUND($C6/C$13*100,2)</f>
        <v>26.09</v>
      </c>
      <c r="E6" s="18">
        <f t="shared" ref="E6:E12" si="0">ROUND($C6/SUM($C$6:$C$12)*100,3)</f>
        <v>26.087</v>
      </c>
      <c r="G6" s="8"/>
      <c r="H6" s="8"/>
    </row>
    <row r="7" spans="1:12" x14ac:dyDescent="0.25">
      <c r="B7" s="7" t="s">
        <v>14</v>
      </c>
      <c r="C7" s="8">
        <f>COUNTIF(Resp[11],B7)</f>
        <v>9</v>
      </c>
      <c r="D7" s="8">
        <f t="shared" ref="D7:D12" si="1">ROUND($C7/C$13*100,2)</f>
        <v>39.130000000000003</v>
      </c>
      <c r="E7" s="18">
        <f t="shared" si="0"/>
        <v>39.130000000000003</v>
      </c>
      <c r="G7" s="8"/>
      <c r="H7" s="8"/>
    </row>
    <row r="8" spans="1:12" x14ac:dyDescent="0.25">
      <c r="B8" s="7" t="s">
        <v>16</v>
      </c>
      <c r="C8" s="8">
        <f>COUNTIF(Resp[11],B8)</f>
        <v>6</v>
      </c>
      <c r="D8" s="8">
        <f t="shared" si="1"/>
        <v>26.09</v>
      </c>
      <c r="E8" s="18">
        <f t="shared" si="0"/>
        <v>26.087</v>
      </c>
      <c r="G8" s="8"/>
      <c r="H8" s="8"/>
    </row>
    <row r="9" spans="1:12" x14ac:dyDescent="0.25">
      <c r="B9" s="7" t="s">
        <v>17</v>
      </c>
      <c r="C9" s="8">
        <f>COUNTIF(Resp[11],B9)</f>
        <v>1</v>
      </c>
      <c r="D9" s="8">
        <f t="shared" si="1"/>
        <v>4.3499999999999996</v>
      </c>
      <c r="E9" s="18">
        <f t="shared" si="0"/>
        <v>4.3479999999999999</v>
      </c>
      <c r="G9" s="8"/>
      <c r="H9" s="8"/>
    </row>
    <row r="10" spans="1:12" x14ac:dyDescent="0.25">
      <c r="B10" s="7" t="s">
        <v>18</v>
      </c>
      <c r="C10" s="8">
        <f>COUNTIF(Resp[11],B10)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COUNTIF(Resp[11],B12)</f>
        <v>1</v>
      </c>
      <c r="D12" s="14">
        <f t="shared" si="1"/>
        <v>4.3499999999999996</v>
      </c>
      <c r="E12" s="25">
        <f t="shared" si="0"/>
        <v>4.3479999999999999</v>
      </c>
      <c r="G12" s="8"/>
      <c r="H12" s="8"/>
    </row>
    <row r="13" spans="1:12" x14ac:dyDescent="0.25">
      <c r="B13" s="7" t="s">
        <v>228</v>
      </c>
      <c r="C13" s="7">
        <f>SUM(C6:C12)</f>
        <v>23</v>
      </c>
      <c r="D13" s="16">
        <f>SUM(D6:D12)</f>
        <v>100.00999999999999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15</v>
      </c>
      <c r="E19" s="36">
        <f>ROUND(D19/SUM(D19:D22)*100,3)</f>
        <v>65.216999999999999</v>
      </c>
    </row>
    <row r="20" spans="2:5" x14ac:dyDescent="0.25">
      <c r="B20" s="33" t="s">
        <v>26</v>
      </c>
      <c r="C20" s="7" t="s">
        <v>16</v>
      </c>
      <c r="D20" s="7">
        <f>C8</f>
        <v>6</v>
      </c>
      <c r="E20" s="36">
        <f>ROUND(D20/SUM(D19:D22)*100,3)</f>
        <v>26.087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4.3479999999999999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4.3479999999999999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5.5703125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12</v>
      </c>
    </row>
    <row r="2" spans="1:12" x14ac:dyDescent="0.25">
      <c r="A2" s="8" t="str">
        <f>TEXT(A1,"00")</f>
        <v>12</v>
      </c>
      <c r="B2" s="8" t="str">
        <f>VLOOKUP(A$2, Pós[], 3, FALSE)</f>
        <v>Como você avalia o conjunto de disciplinas do seu programa de pós-graduação ofertado em 2021?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12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COUNTIF(Resp[12],B6)</f>
        <v>3</v>
      </c>
      <c r="D6" s="8">
        <f>ROUND($C6/C$13*100,2)</f>
        <v>13.04</v>
      </c>
      <c r="E6" s="18">
        <f t="shared" ref="E6:E12" si="0">ROUND($C6/SUM($C$6:$C$12)*100,3)</f>
        <v>13.042999999999999</v>
      </c>
      <c r="G6" s="8"/>
      <c r="H6" s="8"/>
    </row>
    <row r="7" spans="1:12" x14ac:dyDescent="0.25">
      <c r="B7" s="7" t="s">
        <v>14</v>
      </c>
      <c r="C7" s="8">
        <f>COUNTIF(Resp[12],B7)</f>
        <v>7</v>
      </c>
      <c r="D7" s="8">
        <f t="shared" ref="D7:D12" si="1">ROUND($C7/C$13*100,2)</f>
        <v>30.43</v>
      </c>
      <c r="E7" s="18">
        <f t="shared" si="0"/>
        <v>30.434999999999999</v>
      </c>
      <c r="G7" s="8"/>
      <c r="H7" s="8"/>
    </row>
    <row r="8" spans="1:12" x14ac:dyDescent="0.25">
      <c r="B8" s="7" t="s">
        <v>16</v>
      </c>
      <c r="C8" s="8">
        <f>COUNTIF(Resp[12],B8)</f>
        <v>6</v>
      </c>
      <c r="D8" s="8">
        <f t="shared" si="1"/>
        <v>26.09</v>
      </c>
      <c r="E8" s="18">
        <f t="shared" si="0"/>
        <v>26.087</v>
      </c>
      <c r="G8" s="8"/>
      <c r="H8" s="8"/>
    </row>
    <row r="9" spans="1:12" x14ac:dyDescent="0.25">
      <c r="B9" s="7" t="s">
        <v>17</v>
      </c>
      <c r="C9" s="8">
        <f>COUNTIF(Resp[12],B9)</f>
        <v>2</v>
      </c>
      <c r="D9" s="8">
        <f t="shared" si="1"/>
        <v>8.6999999999999993</v>
      </c>
      <c r="E9" s="18">
        <f t="shared" si="0"/>
        <v>8.6959999999999997</v>
      </c>
      <c r="G9" s="8"/>
      <c r="H9" s="8"/>
    </row>
    <row r="10" spans="1:12" x14ac:dyDescent="0.25">
      <c r="B10" s="7" t="s">
        <v>18</v>
      </c>
      <c r="C10" s="8">
        <f>COUNTIF(Resp[12],B10)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COUNTIF(Resp[12],B11)</f>
        <v>3</v>
      </c>
      <c r="D11" s="8">
        <f t="shared" si="1"/>
        <v>13.04</v>
      </c>
      <c r="E11" s="18">
        <f t="shared" si="0"/>
        <v>13.042999999999999</v>
      </c>
      <c r="G11" s="8"/>
      <c r="H11" s="8"/>
    </row>
    <row r="12" spans="1:12" x14ac:dyDescent="0.25">
      <c r="B12" s="13" t="s">
        <v>20</v>
      </c>
      <c r="C12" s="14">
        <f>COUNTIF(Resp[12],B12)</f>
        <v>2</v>
      </c>
      <c r="D12" s="14">
        <f t="shared" si="1"/>
        <v>8.6999999999999993</v>
      </c>
      <c r="E12" s="25">
        <f t="shared" si="0"/>
        <v>8.6959999999999997</v>
      </c>
      <c r="G12" s="8"/>
      <c r="H12" s="8"/>
    </row>
    <row r="13" spans="1:12" x14ac:dyDescent="0.25">
      <c r="B13" s="7" t="s">
        <v>228</v>
      </c>
      <c r="C13" s="7">
        <f>SUM(C6:C12)</f>
        <v>23</v>
      </c>
      <c r="D13" s="16">
        <f>SUM(D6:D12)</f>
        <v>100.00000000000001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10</v>
      </c>
      <c r="E19" s="36">
        <f>ROUND(D19/SUM(D19:D22)*100,3)</f>
        <v>43.478000000000002</v>
      </c>
    </row>
    <row r="20" spans="2:5" x14ac:dyDescent="0.25">
      <c r="B20" s="33" t="s">
        <v>26</v>
      </c>
      <c r="C20" s="7" t="s">
        <v>16</v>
      </c>
      <c r="D20" s="7">
        <f>C8</f>
        <v>6</v>
      </c>
      <c r="E20" s="36">
        <f>ROUND(D20/SUM(D19:D22)*100,3)</f>
        <v>26.087</v>
      </c>
    </row>
    <row r="21" spans="2:5" x14ac:dyDescent="0.25">
      <c r="B21" s="34" t="s">
        <v>234</v>
      </c>
      <c r="C21" s="7" t="s">
        <v>235</v>
      </c>
      <c r="D21" s="7">
        <f>SUM(C11,C12)</f>
        <v>5</v>
      </c>
      <c r="E21" s="36">
        <f>ROUND(D21/SUM(D19:D22)*100,3)</f>
        <v>21.739000000000001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8.6959999999999997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140625" style="7" customWidth="1"/>
    <col min="2" max="2" width="21.140625" style="7" customWidth="1"/>
    <col min="3" max="3" width="30.85546875" style="7" customWidth="1"/>
    <col min="4" max="4" width="8.5703125" style="7" customWidth="1"/>
    <col min="5" max="5" width="10.710937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13</v>
      </c>
    </row>
    <row r="2" spans="1:12" x14ac:dyDescent="0.25">
      <c r="A2" s="8" t="str">
        <f>TEXT(A1,"00")</f>
        <v>13</v>
      </c>
      <c r="B2" s="8" t="str">
        <f>VLOOKUP(A$2, Pós[], 3, FALSE)</f>
        <v>Como você avalia o conjunto de disciplinas do seu programa de pós-graduação ofertado em 2021?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13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COUNTIF(Resp[13],B6)</f>
        <v>9</v>
      </c>
      <c r="D6" s="8">
        <f>ROUND($C6/C$13*100,2)</f>
        <v>39.130000000000003</v>
      </c>
      <c r="E6" s="18">
        <f t="shared" ref="E6:E11" si="0">ROUND($C6/SUM($C$6:$C$12)*100,3)</f>
        <v>39.130000000000003</v>
      </c>
      <c r="G6" s="8"/>
      <c r="H6" s="8"/>
    </row>
    <row r="7" spans="1:12" x14ac:dyDescent="0.25">
      <c r="B7" s="7" t="s">
        <v>14</v>
      </c>
      <c r="C7" s="8">
        <f>COUNTIF(Resp[13],B7)</f>
        <v>11</v>
      </c>
      <c r="D7" s="8">
        <f t="shared" ref="D7:D11" si="1">ROUND($C7/C$13*100,2)</f>
        <v>47.83</v>
      </c>
      <c r="E7" s="18">
        <f t="shared" si="0"/>
        <v>47.826000000000001</v>
      </c>
      <c r="G7" s="8"/>
      <c r="H7" s="8"/>
    </row>
    <row r="8" spans="1:12" x14ac:dyDescent="0.25">
      <c r="B8" s="7" t="s">
        <v>16</v>
      </c>
      <c r="C8" s="8">
        <f>COUNTIF(Resp[13],B8)</f>
        <v>1</v>
      </c>
      <c r="D8" s="8">
        <f t="shared" si="1"/>
        <v>4.3499999999999996</v>
      </c>
      <c r="E8" s="18">
        <f t="shared" si="0"/>
        <v>4.3479999999999999</v>
      </c>
      <c r="G8" s="8"/>
      <c r="H8" s="8"/>
    </row>
    <row r="9" spans="1:12" x14ac:dyDescent="0.25">
      <c r="B9" s="7" t="s">
        <v>17</v>
      </c>
      <c r="C9" s="8">
        <f>COUNTIF(Resp[13],B9)</f>
        <v>1</v>
      </c>
      <c r="D9" s="8">
        <f t="shared" si="1"/>
        <v>4.3499999999999996</v>
      </c>
      <c r="E9" s="18">
        <f t="shared" si="0"/>
        <v>4.3479999999999999</v>
      </c>
      <c r="G9" s="8"/>
      <c r="H9" s="8"/>
    </row>
    <row r="10" spans="1:12" x14ac:dyDescent="0.25">
      <c r="B10" s="7" t="s">
        <v>18</v>
      </c>
      <c r="C10" s="8">
        <f>COUNTIF(Resp[13],B10)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COUNTIF(Resp[13],B12)</f>
        <v>1</v>
      </c>
      <c r="D12" s="14">
        <f>ROUND($C12/C$13*100,2)</f>
        <v>4.3499999999999996</v>
      </c>
      <c r="E12" s="25">
        <f>ROUND($C12/SUM($C$6:$C$12)*100,3)</f>
        <v>4.3479999999999999</v>
      </c>
      <c r="G12" s="8"/>
      <c r="H12" s="8"/>
    </row>
    <row r="13" spans="1:12" x14ac:dyDescent="0.25">
      <c r="B13" s="7" t="s">
        <v>228</v>
      </c>
      <c r="C13" s="7">
        <f>SUM(C6:C12)</f>
        <v>23</v>
      </c>
      <c r="D13" s="16">
        <f>SUM(D6:D12)</f>
        <v>100.00999999999999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20</v>
      </c>
      <c r="E19" s="36">
        <f>ROUND(D19/SUM(D19:D22)*100,3)</f>
        <v>86.956999999999994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4.3479999999999999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4.3479999999999999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4.3479999999999999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28515625" style="7" customWidth="1"/>
    <col min="2" max="2" width="23.285156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14</v>
      </c>
    </row>
    <row r="2" spans="1:12" x14ac:dyDescent="0.25">
      <c r="A2" s="8" t="str">
        <f>TEXT(A1,"00")</f>
        <v>14</v>
      </c>
      <c r="B2" s="8" t="str">
        <f>VLOOKUP(A$2, Pós[], 3, FALSE)</f>
        <v>Como você avalia o conjunto de disciplinas do seu programa de pós-graduação ofertado em 2021?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COUNTIF(Resp[14],B6)</f>
        <v>8</v>
      </c>
      <c r="D6" s="8">
        <f>ROUND($C6/C$13*100,2)</f>
        <v>34.78</v>
      </c>
      <c r="E6" s="18">
        <f t="shared" ref="E6:E12" si="0">ROUND($C6/SUM($C$6:$C$12)*100,3)</f>
        <v>34.783000000000001</v>
      </c>
      <c r="G6" s="8"/>
      <c r="H6" s="8"/>
    </row>
    <row r="7" spans="1:12" x14ac:dyDescent="0.25">
      <c r="B7" s="7" t="s">
        <v>14</v>
      </c>
      <c r="C7" s="8">
        <f>COUNTIF(Resp[14],B7)</f>
        <v>13</v>
      </c>
      <c r="D7" s="8">
        <f t="shared" ref="D7:D12" si="1">ROUND($C7/C$13*100,2)</f>
        <v>56.52</v>
      </c>
      <c r="E7" s="18">
        <f t="shared" si="0"/>
        <v>56.521999999999998</v>
      </c>
      <c r="G7" s="8"/>
      <c r="H7" s="8"/>
    </row>
    <row r="8" spans="1:12" x14ac:dyDescent="0.25">
      <c r="B8" s="7" t="s">
        <v>16</v>
      </c>
      <c r="C8" s="8">
        <f>COUNTIF(Resp[14],B8)</f>
        <v>1</v>
      </c>
      <c r="D8" s="8">
        <f t="shared" si="1"/>
        <v>4.3499999999999996</v>
      </c>
      <c r="E8" s="18">
        <f t="shared" si="0"/>
        <v>4.3479999999999999</v>
      </c>
      <c r="G8" s="8"/>
      <c r="H8" s="8"/>
    </row>
    <row r="9" spans="1:12" x14ac:dyDescent="0.25">
      <c r="B9" s="7" t="s">
        <v>17</v>
      </c>
      <c r="C9" s="8">
        <f>COUNTIF(Resp[14],B9)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COUNTIF(Resp[14],B12)</f>
        <v>1</v>
      </c>
      <c r="D12" s="14">
        <f t="shared" si="1"/>
        <v>4.3499999999999996</v>
      </c>
      <c r="E12" s="25">
        <f t="shared" si="0"/>
        <v>4.3479999999999999</v>
      </c>
      <c r="G12" s="8"/>
      <c r="H12" s="8"/>
    </row>
    <row r="13" spans="1:12" x14ac:dyDescent="0.25">
      <c r="B13" s="7" t="s">
        <v>228</v>
      </c>
      <c r="C13" s="7">
        <f>SUM(C6:C12)</f>
        <v>23</v>
      </c>
      <c r="D13" s="16">
        <f>SUM(D6:D12)</f>
        <v>100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21</v>
      </c>
      <c r="E19" s="36">
        <f>ROUND(D19/SUM(D19:D22)*100,3)</f>
        <v>91.304000000000002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4.3479999999999999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4.3479999999999999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2.5703125" style="7" customWidth="1"/>
    <col min="3" max="3" width="34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15</v>
      </c>
    </row>
    <row r="2" spans="1:12" x14ac:dyDescent="0.25">
      <c r="A2" s="8" t="str">
        <f>TEXT(A1,"00")</f>
        <v>15</v>
      </c>
      <c r="B2" s="8" t="str">
        <f>VLOOKUP(A$2, Pós[], 3, FALSE)</f>
        <v>Como você avalia o conjunto de disciplinas do seu programa de pós-graduação ofertado em 2021?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15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COUNTIF(Resp[15],B6)</f>
        <v>7</v>
      </c>
      <c r="D6" s="8">
        <f>ROUND($C6/C$13*100,2)</f>
        <v>30.43</v>
      </c>
      <c r="E6" s="18">
        <f t="shared" ref="E6:E12" si="0">ROUND($C6/SUM($C$6:$C$12)*100,3)</f>
        <v>30.434999999999999</v>
      </c>
      <c r="G6" s="8"/>
      <c r="H6" s="8"/>
    </row>
    <row r="7" spans="1:12" x14ac:dyDescent="0.25">
      <c r="B7" s="7" t="s">
        <v>14</v>
      </c>
      <c r="C7" s="8">
        <f>COUNTIF(Resp[15],B7)</f>
        <v>11</v>
      </c>
      <c r="D7" s="8">
        <f t="shared" ref="D7:D12" si="1">ROUND($C7/C$13*100,2)</f>
        <v>47.83</v>
      </c>
      <c r="E7" s="18">
        <f t="shared" si="0"/>
        <v>47.826000000000001</v>
      </c>
      <c r="G7" s="8"/>
      <c r="H7" s="8"/>
    </row>
    <row r="8" spans="1:12" x14ac:dyDescent="0.25">
      <c r="B8" s="7" t="s">
        <v>16</v>
      </c>
      <c r="C8" s="8">
        <f>COUNTIF(Resp[15],B8)</f>
        <v>3</v>
      </c>
      <c r="D8" s="8">
        <f t="shared" si="1"/>
        <v>13.04</v>
      </c>
      <c r="E8" s="18">
        <f t="shared" si="0"/>
        <v>13.042999999999999</v>
      </c>
      <c r="G8" s="8"/>
      <c r="H8" s="8"/>
    </row>
    <row r="9" spans="1:12" x14ac:dyDescent="0.25">
      <c r="B9" s="7" t="s">
        <v>17</v>
      </c>
      <c r="C9" s="8">
        <f>COUNTIF(Resp[15],B9)</f>
        <v>1</v>
      </c>
      <c r="D9" s="8">
        <f t="shared" si="1"/>
        <v>4.3499999999999996</v>
      </c>
      <c r="E9" s="18">
        <f t="shared" si="0"/>
        <v>4.3479999999999999</v>
      </c>
      <c r="G9" s="8"/>
      <c r="H9" s="8"/>
    </row>
    <row r="10" spans="1:12" x14ac:dyDescent="0.25">
      <c r="B10" s="7" t="s">
        <v>18</v>
      </c>
      <c r="C10" s="8">
        <f>COUNTIF(Resp[15],B10)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COUNTIF(Resp[15],B12)</f>
        <v>1</v>
      </c>
      <c r="D12" s="14">
        <f t="shared" si="1"/>
        <v>4.3499999999999996</v>
      </c>
      <c r="E12" s="25">
        <f t="shared" si="0"/>
        <v>4.3479999999999999</v>
      </c>
      <c r="G12" s="8"/>
      <c r="H12" s="8"/>
    </row>
    <row r="13" spans="1:12" x14ac:dyDescent="0.25">
      <c r="B13" s="7" t="s">
        <v>228</v>
      </c>
      <c r="C13" s="7">
        <f>SUM(C6:C12)</f>
        <v>23</v>
      </c>
      <c r="D13" s="16">
        <f>SUM(D6:D12)</f>
        <v>99.999999999999972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18</v>
      </c>
      <c r="E19" s="36">
        <f>ROUND(D19/SUM(D19:D22)*100,3)</f>
        <v>78.260999999999996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13.042999999999999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4.3479999999999999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4.3479999999999999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9.2851562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16</v>
      </c>
    </row>
    <row r="2" spans="1:12" x14ac:dyDescent="0.25">
      <c r="A2" s="8" t="str">
        <f>TEXT(A1,"00")</f>
        <v>16</v>
      </c>
      <c r="B2" s="8" t="str">
        <f>VLOOKUP(A$2, Pós[], 3, FALSE)</f>
        <v>Como você avalia o conjunto de disciplinas do seu programa de pós-graduação ofertado em 2021? [Didática do docente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COUNTIF(Resp[16],B6)</f>
        <v>7</v>
      </c>
      <c r="D6" s="8">
        <f>ROUND($C6/C$13*100,2)</f>
        <v>30.43</v>
      </c>
      <c r="E6" s="18">
        <f t="shared" ref="E6:E12" si="0">ROUND($C6/SUM($C$6:$C$12)*100,3)</f>
        <v>30.434999999999999</v>
      </c>
      <c r="G6" s="8"/>
      <c r="H6" s="8"/>
    </row>
    <row r="7" spans="1:12" x14ac:dyDescent="0.25">
      <c r="B7" s="7" t="s">
        <v>14</v>
      </c>
      <c r="C7" s="8">
        <f>COUNTIF(Resp[16],B7)</f>
        <v>9</v>
      </c>
      <c r="D7" s="8">
        <f t="shared" ref="D7:D12" si="1">ROUND($C7/C$13*100,2)</f>
        <v>39.130000000000003</v>
      </c>
      <c r="E7" s="18">
        <f t="shared" si="0"/>
        <v>39.130000000000003</v>
      </c>
      <c r="G7" s="8"/>
      <c r="H7" s="8"/>
    </row>
    <row r="8" spans="1:12" x14ac:dyDescent="0.25">
      <c r="B8" s="7" t="s">
        <v>16</v>
      </c>
      <c r="C8" s="8">
        <f>COUNTIF(Resp[16],B8)</f>
        <v>5</v>
      </c>
      <c r="D8" s="8">
        <f t="shared" si="1"/>
        <v>21.74</v>
      </c>
      <c r="E8" s="18">
        <f t="shared" si="0"/>
        <v>21.739000000000001</v>
      </c>
      <c r="G8" s="8"/>
      <c r="H8" s="8"/>
    </row>
    <row r="9" spans="1:12" x14ac:dyDescent="0.25">
      <c r="B9" s="7" t="s">
        <v>17</v>
      </c>
      <c r="C9" s="8">
        <f>COUNTIF(Resp[16],B9)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COUNTIF(Resp[16],B12)</f>
        <v>2</v>
      </c>
      <c r="D12" s="14">
        <f t="shared" si="1"/>
        <v>8.6999999999999993</v>
      </c>
      <c r="E12" s="25">
        <f t="shared" si="0"/>
        <v>8.6959999999999997</v>
      </c>
      <c r="G12" s="8"/>
      <c r="H12" s="8"/>
    </row>
    <row r="13" spans="1:12" x14ac:dyDescent="0.25">
      <c r="B13" s="7" t="s">
        <v>228</v>
      </c>
      <c r="C13" s="7">
        <f>SUM(C6:C12)</f>
        <v>23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>
        <f>SUM(D6:D12)%</f>
        <v>1</v>
      </c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16</v>
      </c>
      <c r="E19" s="36">
        <f>ROUND(D19/SUM(D19:D22)*100,3)</f>
        <v>69.564999999999998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21.739000000000001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8.6959999999999997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85546875" style="7" customWidth="1"/>
    <col min="2" max="2" width="19.7109375" style="7" customWidth="1"/>
    <col min="3" max="3" width="31.42578125" style="7" customWidth="1"/>
    <col min="4" max="4" width="10.28515625" style="7" customWidth="1"/>
    <col min="5" max="5" width="12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17</v>
      </c>
    </row>
    <row r="2" spans="1:12" x14ac:dyDescent="0.25">
      <c r="A2" s="8" t="str">
        <f>TEXT(A1,"00")</f>
        <v>17</v>
      </c>
      <c r="B2" s="8" t="str">
        <f>VLOOKUP(A$2, Pós[], 3, FALSE)</f>
        <v>Como você avalia o conjunto de disciplinas do seu programa de pós-graduação ofertado em 2021?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17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COUNTIF(Resp[17],B6)</f>
        <v>9</v>
      </c>
      <c r="D6" s="8">
        <f>ROUND($C6/C$13*100,2)</f>
        <v>39.130000000000003</v>
      </c>
      <c r="E6" s="18">
        <f t="shared" ref="E6:E12" si="0">ROUND($C6/SUM($C$6:$C$12)*100,3)</f>
        <v>39.130000000000003</v>
      </c>
      <c r="G6" s="8"/>
      <c r="H6" s="8"/>
    </row>
    <row r="7" spans="1:12" x14ac:dyDescent="0.25">
      <c r="B7" s="7" t="s">
        <v>14</v>
      </c>
      <c r="C7" s="8">
        <f>COUNTIF(Resp[17],B7)</f>
        <v>9</v>
      </c>
      <c r="D7" s="8">
        <f t="shared" ref="D7:D12" si="1">ROUND($C7/C$13*100,2)</f>
        <v>39.130000000000003</v>
      </c>
      <c r="E7" s="18">
        <f t="shared" si="0"/>
        <v>39.130000000000003</v>
      </c>
      <c r="G7" s="8"/>
      <c r="H7" s="8"/>
    </row>
    <row r="8" spans="1:12" x14ac:dyDescent="0.25">
      <c r="B8" s="7" t="s">
        <v>16</v>
      </c>
      <c r="C8" s="8">
        <f>COUNTIF(Resp[17],B8)</f>
        <v>3</v>
      </c>
      <c r="D8" s="8">
        <f t="shared" si="1"/>
        <v>13.04</v>
      </c>
      <c r="E8" s="18">
        <f t="shared" si="0"/>
        <v>13.042999999999999</v>
      </c>
      <c r="G8" s="8"/>
      <c r="H8" s="8"/>
    </row>
    <row r="9" spans="1:12" x14ac:dyDescent="0.25">
      <c r="B9" s="7" t="s">
        <v>17</v>
      </c>
      <c r="C9" s="8">
        <f>COUNTIF(Resp[17],B9)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COUNTIF(Resp[17],B12)</f>
        <v>2</v>
      </c>
      <c r="D12" s="14">
        <f t="shared" si="1"/>
        <v>8.6999999999999993</v>
      </c>
      <c r="E12" s="25">
        <f t="shared" si="0"/>
        <v>8.6959999999999997</v>
      </c>
      <c r="G12" s="8"/>
      <c r="H12" s="8"/>
    </row>
    <row r="13" spans="1:12" x14ac:dyDescent="0.25">
      <c r="B13" s="7" t="s">
        <v>228</v>
      </c>
      <c r="C13" s="7">
        <f>SUM(C6:C12)</f>
        <v>23</v>
      </c>
      <c r="D13" s="16">
        <f>SUM(D6:D12)</f>
        <v>100.00000000000001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18</v>
      </c>
      <c r="E19" s="36">
        <f>ROUND(D19/SUM(D19:D22)*100,3)</f>
        <v>78.260999999999996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13.042999999999999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8.6959999999999997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30"/>
  <sheetViews>
    <sheetView tabSelected="1" zoomScale="90" zoomScaleNormal="90" workbookViewId="0">
      <selection activeCell="B3" sqref="B3"/>
    </sheetView>
  </sheetViews>
  <sheetFormatPr defaultColWidth="27.28515625" defaultRowHeight="32.25" customHeight="1" x14ac:dyDescent="0.25"/>
  <cols>
    <col min="1" max="1" width="46.42578125" style="66" customWidth="1"/>
    <col min="2" max="16384" width="27.28515625" style="66"/>
  </cols>
  <sheetData>
    <row r="1" spans="1:65" ht="32.25" customHeight="1" x14ac:dyDescent="0.25">
      <c r="A1" s="67" t="s">
        <v>29</v>
      </c>
      <c r="B1" s="67" t="s">
        <v>30</v>
      </c>
      <c r="C1" s="68" t="s">
        <v>31</v>
      </c>
      <c r="D1" s="68" t="s">
        <v>32</v>
      </c>
      <c r="E1" s="68" t="s">
        <v>33</v>
      </c>
      <c r="F1" s="68" t="s">
        <v>34</v>
      </c>
      <c r="G1" s="68" t="s">
        <v>35</v>
      </c>
      <c r="H1" s="68" t="s">
        <v>36</v>
      </c>
      <c r="I1" s="68" t="s">
        <v>37</v>
      </c>
      <c r="J1" s="68" t="s">
        <v>38</v>
      </c>
      <c r="K1" s="68" t="s">
        <v>39</v>
      </c>
      <c r="L1" s="68" t="s">
        <v>40</v>
      </c>
      <c r="M1" s="68" t="s">
        <v>41</v>
      </c>
      <c r="N1" s="68" t="s">
        <v>42</v>
      </c>
      <c r="O1" s="68" t="s">
        <v>43</v>
      </c>
      <c r="P1" s="68" t="s">
        <v>44</v>
      </c>
      <c r="Q1" s="68" t="s">
        <v>45</v>
      </c>
      <c r="R1" s="68" t="s">
        <v>46</v>
      </c>
      <c r="S1" s="68" t="s">
        <v>47</v>
      </c>
      <c r="T1" s="68" t="s">
        <v>48</v>
      </c>
      <c r="U1" s="68" t="s">
        <v>49</v>
      </c>
      <c r="V1" s="68" t="s">
        <v>50</v>
      </c>
      <c r="W1" s="68" t="s">
        <v>51</v>
      </c>
      <c r="X1" s="68" t="s">
        <v>52</v>
      </c>
      <c r="Y1" s="68" t="s">
        <v>53</v>
      </c>
      <c r="Z1" s="68" t="s">
        <v>54</v>
      </c>
      <c r="AA1" s="68" t="s">
        <v>55</v>
      </c>
      <c r="AB1" s="68" t="s">
        <v>56</v>
      </c>
      <c r="AC1" s="68" t="s">
        <v>57</v>
      </c>
      <c r="AD1" s="68" t="s">
        <v>58</v>
      </c>
      <c r="AE1" s="68" t="s">
        <v>59</v>
      </c>
      <c r="AF1" s="68" t="s">
        <v>60</v>
      </c>
      <c r="AG1" s="68" t="s">
        <v>61</v>
      </c>
      <c r="AH1" s="68" t="s">
        <v>62</v>
      </c>
      <c r="AI1" s="68" t="s">
        <v>63</v>
      </c>
      <c r="AJ1" s="68" t="s">
        <v>64</v>
      </c>
      <c r="AK1" s="68" t="s">
        <v>65</v>
      </c>
      <c r="AL1" s="68" t="s">
        <v>66</v>
      </c>
      <c r="AM1" s="68" t="s">
        <v>67</v>
      </c>
      <c r="AN1" s="68" t="s">
        <v>68</v>
      </c>
      <c r="AO1" s="68" t="s">
        <v>69</v>
      </c>
      <c r="AP1" s="68" t="s">
        <v>70</v>
      </c>
      <c r="AQ1" s="68" t="s">
        <v>71</v>
      </c>
      <c r="AR1" s="68" t="s">
        <v>72</v>
      </c>
      <c r="AS1" s="68" t="s">
        <v>73</v>
      </c>
      <c r="AT1" s="68" t="s">
        <v>74</v>
      </c>
      <c r="AU1" s="68" t="s">
        <v>75</v>
      </c>
      <c r="AV1" s="68" t="s">
        <v>76</v>
      </c>
      <c r="AW1" s="68" t="s">
        <v>77</v>
      </c>
      <c r="AX1" s="68" t="s">
        <v>78</v>
      </c>
      <c r="AY1" s="68" t="s">
        <v>79</v>
      </c>
      <c r="AZ1" s="68" t="s">
        <v>80</v>
      </c>
      <c r="BA1" s="68" t="s">
        <v>81</v>
      </c>
      <c r="BB1" s="68" t="s">
        <v>82</v>
      </c>
      <c r="BC1" s="68" t="s">
        <v>83</v>
      </c>
      <c r="BD1" s="68" t="s">
        <v>84</v>
      </c>
      <c r="BE1" s="68" t="s">
        <v>85</v>
      </c>
      <c r="BF1" s="68" t="s">
        <v>86</v>
      </c>
      <c r="BG1" s="68" t="s">
        <v>87</v>
      </c>
      <c r="BH1" s="68" t="s">
        <v>88</v>
      </c>
      <c r="BI1" s="68"/>
      <c r="BJ1" s="68"/>
      <c r="BK1" s="68"/>
      <c r="BL1" s="68"/>
      <c r="BM1" s="68"/>
    </row>
    <row r="2" spans="1:65" ht="24.75" customHeight="1" x14ac:dyDescent="0.25">
      <c r="A2" s="66" t="s">
        <v>90</v>
      </c>
      <c r="B2" s="66" t="s">
        <v>89</v>
      </c>
      <c r="C2" s="66" t="s">
        <v>15</v>
      </c>
      <c r="D2" s="66" t="s">
        <v>15</v>
      </c>
      <c r="E2" s="66" t="s">
        <v>15</v>
      </c>
      <c r="F2" s="66" t="s">
        <v>13</v>
      </c>
      <c r="G2" s="66" t="s">
        <v>12</v>
      </c>
      <c r="H2" s="66" t="s">
        <v>12</v>
      </c>
      <c r="I2" s="66" t="s">
        <v>12</v>
      </c>
      <c r="J2" s="66" t="s">
        <v>12</v>
      </c>
      <c r="K2" s="66" t="s">
        <v>12</v>
      </c>
      <c r="L2" s="66" t="s">
        <v>12</v>
      </c>
      <c r="M2" s="66" t="s">
        <v>19</v>
      </c>
      <c r="N2" s="66" t="s">
        <v>14</v>
      </c>
      <c r="O2" s="66" t="s">
        <v>14</v>
      </c>
      <c r="P2" s="66" t="s">
        <v>14</v>
      </c>
      <c r="Q2" s="66" t="s">
        <v>14</v>
      </c>
      <c r="R2" s="66" t="s">
        <v>14</v>
      </c>
      <c r="S2" s="66" t="s">
        <v>14</v>
      </c>
      <c r="T2" s="66" t="s">
        <v>14</v>
      </c>
      <c r="U2" s="66" t="s">
        <v>15</v>
      </c>
      <c r="AJ2" s="66" t="s">
        <v>14</v>
      </c>
      <c r="AK2" s="66" t="s">
        <v>12</v>
      </c>
      <c r="AL2" s="66" t="s">
        <v>12</v>
      </c>
      <c r="AM2" s="66" t="s">
        <v>14</v>
      </c>
      <c r="AN2" s="66" t="s">
        <v>14</v>
      </c>
      <c r="AO2" s="66" t="s">
        <v>14</v>
      </c>
      <c r="AP2" s="66" t="s">
        <v>14</v>
      </c>
      <c r="AQ2" s="66" t="s">
        <v>14</v>
      </c>
      <c r="AR2" s="66" t="s">
        <v>14</v>
      </c>
      <c r="AS2" s="66" t="s">
        <v>14</v>
      </c>
      <c r="AT2" s="66" t="s">
        <v>18</v>
      </c>
      <c r="AU2" s="66" t="s">
        <v>14</v>
      </c>
      <c r="AV2" s="66" t="s">
        <v>14</v>
      </c>
      <c r="AW2" s="66" t="s">
        <v>14</v>
      </c>
      <c r="AX2" s="66" t="s">
        <v>19</v>
      </c>
      <c r="AY2" s="66" t="s">
        <v>14</v>
      </c>
      <c r="AZ2" s="66" t="s">
        <v>14</v>
      </c>
      <c r="BA2" s="66" t="s">
        <v>19</v>
      </c>
      <c r="BB2" s="66" t="s">
        <v>19</v>
      </c>
      <c r="BC2" s="66" t="s">
        <v>19</v>
      </c>
      <c r="BD2" s="66" t="s">
        <v>19</v>
      </c>
      <c r="BE2" s="66" t="s">
        <v>14</v>
      </c>
      <c r="BF2" s="66" t="s">
        <v>14</v>
      </c>
      <c r="BG2" s="66" t="s">
        <v>14</v>
      </c>
      <c r="BH2" s="66" t="s">
        <v>12</v>
      </c>
    </row>
    <row r="3" spans="1:65" ht="24.75" customHeight="1" x14ac:dyDescent="0.25">
      <c r="A3" s="66" t="s">
        <v>90</v>
      </c>
      <c r="B3" s="66" t="s">
        <v>89</v>
      </c>
      <c r="C3" s="66" t="s">
        <v>13</v>
      </c>
      <c r="D3" s="66" t="s">
        <v>13</v>
      </c>
      <c r="E3" s="66" t="s">
        <v>15</v>
      </c>
      <c r="F3" s="66" t="s">
        <v>15</v>
      </c>
      <c r="G3" s="66" t="s">
        <v>14</v>
      </c>
      <c r="H3" s="66" t="s">
        <v>12</v>
      </c>
      <c r="I3" s="66" t="s">
        <v>14</v>
      </c>
      <c r="J3" s="66" t="s">
        <v>14</v>
      </c>
      <c r="K3" s="66" t="s">
        <v>14</v>
      </c>
      <c r="L3" s="66" t="s">
        <v>14</v>
      </c>
      <c r="M3" s="66" t="s">
        <v>17</v>
      </c>
      <c r="N3" s="66" t="s">
        <v>17</v>
      </c>
      <c r="O3" s="66" t="s">
        <v>14</v>
      </c>
      <c r="P3" s="66" t="s">
        <v>14</v>
      </c>
      <c r="Q3" s="66" t="s">
        <v>16</v>
      </c>
      <c r="R3" s="66" t="s">
        <v>14</v>
      </c>
      <c r="S3" s="66" t="s">
        <v>16</v>
      </c>
      <c r="T3" s="66" t="s">
        <v>20</v>
      </c>
      <c r="U3" s="66" t="s">
        <v>13</v>
      </c>
      <c r="V3" s="66" t="s">
        <v>19</v>
      </c>
      <c r="W3" s="66" t="s">
        <v>16</v>
      </c>
      <c r="X3" s="66" t="s">
        <v>14</v>
      </c>
      <c r="Y3" s="66" t="s">
        <v>14</v>
      </c>
      <c r="Z3" s="66" t="s">
        <v>12</v>
      </c>
      <c r="AA3" s="66" t="s">
        <v>17</v>
      </c>
      <c r="AB3" s="66" t="s">
        <v>17</v>
      </c>
      <c r="AC3" s="66" t="s">
        <v>19</v>
      </c>
      <c r="AD3" s="66" t="s">
        <v>16</v>
      </c>
      <c r="AE3" s="66" t="s">
        <v>14</v>
      </c>
      <c r="AF3" s="66" t="s">
        <v>14</v>
      </c>
      <c r="AG3" s="66" t="s">
        <v>14</v>
      </c>
      <c r="AH3" s="66" t="s">
        <v>14</v>
      </c>
      <c r="AI3" s="66" t="s">
        <v>14</v>
      </c>
      <c r="AJ3" s="66" t="s">
        <v>12</v>
      </c>
      <c r="AK3" s="66" t="s">
        <v>12</v>
      </c>
      <c r="AL3" s="66" t="s">
        <v>12</v>
      </c>
      <c r="AM3" s="66" t="s">
        <v>12</v>
      </c>
      <c r="AN3" s="66" t="s">
        <v>14</v>
      </c>
      <c r="AO3" s="66" t="s">
        <v>12</v>
      </c>
      <c r="AP3" s="66" t="s">
        <v>12</v>
      </c>
      <c r="AQ3" s="66" t="s">
        <v>14</v>
      </c>
      <c r="AR3" s="66" t="s">
        <v>12</v>
      </c>
      <c r="AS3" s="66" t="s">
        <v>16</v>
      </c>
      <c r="AT3" s="66" t="s">
        <v>16</v>
      </c>
      <c r="AU3" s="66" t="s">
        <v>12</v>
      </c>
      <c r="AV3" s="66" t="s">
        <v>16</v>
      </c>
      <c r="AW3" s="66" t="s">
        <v>20</v>
      </c>
      <c r="AX3" s="66" t="s">
        <v>20</v>
      </c>
      <c r="AY3" s="66" t="s">
        <v>16</v>
      </c>
      <c r="AZ3" s="66" t="s">
        <v>20</v>
      </c>
      <c r="BA3" s="66" t="s">
        <v>20</v>
      </c>
      <c r="BB3" s="66" t="s">
        <v>12</v>
      </c>
      <c r="BC3" s="66" t="s">
        <v>12</v>
      </c>
      <c r="BD3" s="66" t="s">
        <v>12</v>
      </c>
      <c r="BE3" s="66" t="s">
        <v>12</v>
      </c>
      <c r="BF3" s="66" t="s">
        <v>20</v>
      </c>
      <c r="BG3" s="66" t="s">
        <v>19</v>
      </c>
      <c r="BH3" s="66" t="s">
        <v>14</v>
      </c>
    </row>
    <row r="4" spans="1:65" ht="24.75" customHeight="1" x14ac:dyDescent="0.25">
      <c r="A4" s="66" t="s">
        <v>90</v>
      </c>
      <c r="B4" s="66" t="s">
        <v>89</v>
      </c>
      <c r="C4" s="66" t="s">
        <v>15</v>
      </c>
      <c r="D4" s="66" t="s">
        <v>15</v>
      </c>
      <c r="E4" s="66" t="s">
        <v>15</v>
      </c>
      <c r="F4" s="66" t="s">
        <v>13</v>
      </c>
      <c r="G4" s="66" t="s">
        <v>12</v>
      </c>
      <c r="H4" s="66" t="s">
        <v>12</v>
      </c>
      <c r="I4" s="66" t="s">
        <v>12</v>
      </c>
      <c r="J4" s="66" t="s">
        <v>14</v>
      </c>
      <c r="K4" s="66" t="s">
        <v>14</v>
      </c>
      <c r="L4" s="66" t="s">
        <v>14</v>
      </c>
      <c r="M4" s="66" t="s">
        <v>14</v>
      </c>
      <c r="N4" s="66" t="s">
        <v>12</v>
      </c>
      <c r="O4" s="66" t="s">
        <v>12</v>
      </c>
      <c r="P4" s="66" t="s">
        <v>12</v>
      </c>
      <c r="Q4" s="66" t="s">
        <v>12</v>
      </c>
      <c r="R4" s="66" t="s">
        <v>12</v>
      </c>
      <c r="S4" s="66" t="s">
        <v>12</v>
      </c>
      <c r="T4" s="66" t="s">
        <v>12</v>
      </c>
      <c r="U4" s="66" t="s">
        <v>15</v>
      </c>
      <c r="AJ4" s="66" t="s">
        <v>12</v>
      </c>
      <c r="AK4" s="66" t="s">
        <v>12</v>
      </c>
      <c r="AL4" s="66" t="s">
        <v>12</v>
      </c>
      <c r="AM4" s="66" t="s">
        <v>12</v>
      </c>
      <c r="AN4" s="66" t="s">
        <v>12</v>
      </c>
      <c r="AO4" s="66" t="s">
        <v>12</v>
      </c>
      <c r="AP4" s="66" t="s">
        <v>12</v>
      </c>
      <c r="AQ4" s="66" t="s">
        <v>12</v>
      </c>
      <c r="AR4" s="66" t="s">
        <v>12</v>
      </c>
      <c r="AS4" s="66" t="s">
        <v>12</v>
      </c>
      <c r="AT4" s="66" t="s">
        <v>16</v>
      </c>
      <c r="AU4" s="66" t="s">
        <v>12</v>
      </c>
      <c r="AV4" s="66" t="s">
        <v>12</v>
      </c>
      <c r="AW4" s="66" t="s">
        <v>16</v>
      </c>
      <c r="AX4" s="66" t="s">
        <v>20</v>
      </c>
      <c r="AY4" s="66" t="s">
        <v>16</v>
      </c>
      <c r="AZ4" s="66" t="s">
        <v>16</v>
      </c>
      <c r="BA4" s="66" t="s">
        <v>20</v>
      </c>
      <c r="BB4" s="66" t="s">
        <v>12</v>
      </c>
      <c r="BC4" s="66" t="s">
        <v>12</v>
      </c>
      <c r="BD4" s="66" t="s">
        <v>12</v>
      </c>
      <c r="BE4" s="66" t="s">
        <v>20</v>
      </c>
      <c r="BF4" s="66" t="s">
        <v>20</v>
      </c>
      <c r="BG4" s="66" t="s">
        <v>12</v>
      </c>
      <c r="BH4" s="66" t="s">
        <v>12</v>
      </c>
    </row>
    <row r="5" spans="1:65" ht="24.75" customHeight="1" x14ac:dyDescent="0.25">
      <c r="A5" s="66" t="s">
        <v>90</v>
      </c>
      <c r="B5" s="66" t="s">
        <v>89</v>
      </c>
      <c r="C5" s="66" t="s">
        <v>15</v>
      </c>
      <c r="D5" s="66" t="s">
        <v>13</v>
      </c>
      <c r="E5" s="66" t="s">
        <v>15</v>
      </c>
      <c r="F5" s="66" t="s">
        <v>15</v>
      </c>
      <c r="G5" s="66" t="s">
        <v>16</v>
      </c>
      <c r="H5" s="66" t="s">
        <v>12</v>
      </c>
      <c r="I5" s="66" t="s">
        <v>14</v>
      </c>
      <c r="J5" s="66" t="s">
        <v>14</v>
      </c>
      <c r="K5" s="66" t="s">
        <v>14</v>
      </c>
      <c r="L5" s="66" t="s">
        <v>16</v>
      </c>
      <c r="M5" s="66" t="s">
        <v>16</v>
      </c>
      <c r="N5" s="66" t="s">
        <v>14</v>
      </c>
      <c r="O5" s="66" t="s">
        <v>14</v>
      </c>
      <c r="P5" s="66" t="s">
        <v>16</v>
      </c>
      <c r="Q5" s="66" t="s">
        <v>14</v>
      </c>
      <c r="R5" s="66" t="s">
        <v>14</v>
      </c>
      <c r="S5" s="66" t="s">
        <v>14</v>
      </c>
      <c r="T5" s="66" t="s">
        <v>14</v>
      </c>
      <c r="U5" s="66" t="s">
        <v>15</v>
      </c>
      <c r="AJ5" s="66" t="s">
        <v>16</v>
      </c>
      <c r="AK5" s="66" t="s">
        <v>14</v>
      </c>
      <c r="AL5" s="66" t="s">
        <v>14</v>
      </c>
      <c r="AM5" s="66" t="s">
        <v>16</v>
      </c>
      <c r="AN5" s="66" t="s">
        <v>14</v>
      </c>
      <c r="AO5" s="66" t="s">
        <v>12</v>
      </c>
      <c r="AP5" s="66" t="s">
        <v>12</v>
      </c>
      <c r="AQ5" s="66" t="s">
        <v>16</v>
      </c>
      <c r="AR5" s="66" t="s">
        <v>16</v>
      </c>
      <c r="AS5" s="66" t="s">
        <v>17</v>
      </c>
      <c r="AT5" s="66" t="s">
        <v>17</v>
      </c>
      <c r="AU5" s="66" t="s">
        <v>14</v>
      </c>
      <c r="AV5" s="66" t="s">
        <v>16</v>
      </c>
      <c r="AW5" s="66" t="s">
        <v>20</v>
      </c>
      <c r="AX5" s="66" t="s">
        <v>20</v>
      </c>
      <c r="AY5" s="66" t="s">
        <v>14</v>
      </c>
      <c r="AZ5" s="66" t="s">
        <v>20</v>
      </c>
      <c r="BA5" s="66" t="s">
        <v>20</v>
      </c>
      <c r="BB5" s="66" t="s">
        <v>14</v>
      </c>
      <c r="BC5" s="66" t="s">
        <v>12</v>
      </c>
      <c r="BD5" s="66" t="s">
        <v>14</v>
      </c>
      <c r="BE5" s="66" t="s">
        <v>16</v>
      </c>
      <c r="BF5" s="66" t="s">
        <v>17</v>
      </c>
      <c r="BG5" s="66" t="s">
        <v>16</v>
      </c>
      <c r="BH5" s="66" t="s">
        <v>14</v>
      </c>
    </row>
    <row r="6" spans="1:65" ht="24.75" customHeight="1" x14ac:dyDescent="0.25">
      <c r="A6" s="66" t="s">
        <v>90</v>
      </c>
      <c r="B6" s="66" t="s">
        <v>89</v>
      </c>
      <c r="C6" s="66" t="s">
        <v>13</v>
      </c>
      <c r="D6" s="66" t="s">
        <v>15</v>
      </c>
      <c r="E6" s="66" t="s">
        <v>15</v>
      </c>
      <c r="F6" s="66" t="s">
        <v>15</v>
      </c>
      <c r="G6" s="66" t="s">
        <v>12</v>
      </c>
      <c r="H6" s="66" t="s">
        <v>12</v>
      </c>
      <c r="I6" s="66" t="s">
        <v>12</v>
      </c>
      <c r="J6" s="66" t="s">
        <v>12</v>
      </c>
      <c r="K6" s="66" t="s">
        <v>14</v>
      </c>
      <c r="L6" s="66" t="s">
        <v>14</v>
      </c>
      <c r="M6" s="66" t="s">
        <v>14</v>
      </c>
      <c r="N6" s="66" t="s">
        <v>12</v>
      </c>
      <c r="O6" s="66" t="s">
        <v>12</v>
      </c>
      <c r="P6" s="66" t="s">
        <v>14</v>
      </c>
      <c r="Q6" s="66" t="s">
        <v>12</v>
      </c>
      <c r="R6" s="66" t="s">
        <v>12</v>
      </c>
      <c r="S6" s="66" t="s">
        <v>12</v>
      </c>
      <c r="T6" s="66" t="s">
        <v>12</v>
      </c>
      <c r="U6" s="66" t="s">
        <v>13</v>
      </c>
      <c r="V6" s="66" t="s">
        <v>14</v>
      </c>
      <c r="W6" s="66" t="s">
        <v>14</v>
      </c>
      <c r="X6" s="66" t="s">
        <v>14</v>
      </c>
      <c r="Y6" s="66" t="s">
        <v>14</v>
      </c>
      <c r="Z6" s="66" t="s">
        <v>14</v>
      </c>
      <c r="AA6" s="66" t="s">
        <v>14</v>
      </c>
      <c r="AB6" s="66" t="s">
        <v>14</v>
      </c>
      <c r="AC6" s="66" t="s">
        <v>14</v>
      </c>
      <c r="AD6" s="66" t="s">
        <v>14</v>
      </c>
      <c r="AE6" s="66" t="s">
        <v>14</v>
      </c>
      <c r="AF6" s="66" t="s">
        <v>14</v>
      </c>
      <c r="AG6" s="66" t="s">
        <v>14</v>
      </c>
      <c r="AH6" s="66" t="s">
        <v>14</v>
      </c>
      <c r="AI6" s="66" t="s">
        <v>14</v>
      </c>
      <c r="AJ6" s="66" t="s">
        <v>12</v>
      </c>
      <c r="AK6" s="66" t="s">
        <v>12</v>
      </c>
      <c r="AL6" s="66" t="s">
        <v>12</v>
      </c>
      <c r="AM6" s="66" t="s">
        <v>12</v>
      </c>
      <c r="AN6" s="66" t="s">
        <v>12</v>
      </c>
      <c r="AO6" s="66" t="s">
        <v>12</v>
      </c>
      <c r="AP6" s="66" t="s">
        <v>12</v>
      </c>
      <c r="AQ6" s="66" t="s">
        <v>16</v>
      </c>
      <c r="AR6" s="66" t="s">
        <v>14</v>
      </c>
      <c r="AS6" s="66" t="s">
        <v>18</v>
      </c>
      <c r="AT6" s="66" t="s">
        <v>14</v>
      </c>
      <c r="AU6" s="66" t="s">
        <v>14</v>
      </c>
      <c r="AV6" s="66" t="s">
        <v>14</v>
      </c>
      <c r="AW6" s="66" t="s">
        <v>16</v>
      </c>
      <c r="AX6" s="66" t="s">
        <v>16</v>
      </c>
      <c r="AY6" s="66" t="s">
        <v>12</v>
      </c>
      <c r="AZ6" s="66" t="s">
        <v>14</v>
      </c>
      <c r="BA6" s="66" t="s">
        <v>14</v>
      </c>
      <c r="BB6" s="66" t="s">
        <v>12</v>
      </c>
      <c r="BC6" s="66" t="s">
        <v>12</v>
      </c>
      <c r="BD6" s="66" t="s">
        <v>12</v>
      </c>
      <c r="BE6" s="66" t="s">
        <v>12</v>
      </c>
      <c r="BF6" s="66" t="s">
        <v>12</v>
      </c>
      <c r="BG6" s="66" t="s">
        <v>12</v>
      </c>
      <c r="BH6" s="66" t="s">
        <v>12</v>
      </c>
    </row>
    <row r="7" spans="1:65" ht="24.75" customHeight="1" x14ac:dyDescent="0.25">
      <c r="A7" s="66" t="s">
        <v>90</v>
      </c>
      <c r="B7" s="66" t="s">
        <v>89</v>
      </c>
      <c r="C7" s="66" t="s">
        <v>15</v>
      </c>
      <c r="D7" s="66" t="s">
        <v>15</v>
      </c>
      <c r="E7" s="66" t="s">
        <v>15</v>
      </c>
      <c r="F7" s="66" t="s">
        <v>13</v>
      </c>
      <c r="G7" s="66" t="s">
        <v>12</v>
      </c>
      <c r="H7" s="66" t="s">
        <v>16</v>
      </c>
      <c r="I7" s="66" t="s">
        <v>16</v>
      </c>
      <c r="J7" s="66" t="s">
        <v>16</v>
      </c>
      <c r="K7" s="66" t="s">
        <v>16</v>
      </c>
      <c r="L7" s="66" t="s">
        <v>16</v>
      </c>
      <c r="M7" s="66" t="s">
        <v>19</v>
      </c>
      <c r="N7" s="66" t="s">
        <v>14</v>
      </c>
      <c r="O7" s="66" t="s">
        <v>14</v>
      </c>
      <c r="P7" s="66" t="s">
        <v>14</v>
      </c>
      <c r="Q7" s="66" t="s">
        <v>16</v>
      </c>
      <c r="R7" s="66" t="s">
        <v>14</v>
      </c>
      <c r="S7" s="66" t="s">
        <v>14</v>
      </c>
      <c r="T7" s="66" t="s">
        <v>20</v>
      </c>
      <c r="U7" s="66" t="s">
        <v>15</v>
      </c>
      <c r="AJ7" s="66" t="s">
        <v>14</v>
      </c>
      <c r="AK7" s="66" t="s">
        <v>14</v>
      </c>
      <c r="AL7" s="66" t="s">
        <v>16</v>
      </c>
      <c r="AM7" s="66" t="s">
        <v>16</v>
      </c>
      <c r="AN7" s="66" t="s">
        <v>14</v>
      </c>
      <c r="AO7" s="66" t="s">
        <v>16</v>
      </c>
      <c r="AP7" s="66" t="s">
        <v>17</v>
      </c>
      <c r="AQ7" s="66" t="s">
        <v>16</v>
      </c>
      <c r="AR7" s="66" t="s">
        <v>16</v>
      </c>
      <c r="AS7" s="66" t="s">
        <v>16</v>
      </c>
      <c r="AT7" s="66" t="s">
        <v>16</v>
      </c>
      <c r="AU7" s="66" t="s">
        <v>14</v>
      </c>
      <c r="AV7" s="66" t="s">
        <v>16</v>
      </c>
      <c r="AW7" s="66" t="s">
        <v>19</v>
      </c>
      <c r="AX7" s="66" t="s">
        <v>19</v>
      </c>
      <c r="AY7" s="66" t="s">
        <v>14</v>
      </c>
      <c r="AZ7" s="66" t="s">
        <v>19</v>
      </c>
      <c r="BA7" s="66" t="s">
        <v>19</v>
      </c>
      <c r="BB7" s="66" t="s">
        <v>16</v>
      </c>
      <c r="BC7" s="66" t="s">
        <v>16</v>
      </c>
      <c r="BD7" s="66" t="s">
        <v>14</v>
      </c>
      <c r="BE7" s="66" t="s">
        <v>16</v>
      </c>
      <c r="BF7" s="66" t="s">
        <v>19</v>
      </c>
      <c r="BG7" s="66" t="s">
        <v>14</v>
      </c>
      <c r="BH7" s="66" t="s">
        <v>14</v>
      </c>
    </row>
    <row r="8" spans="1:65" ht="24.75" customHeight="1" x14ac:dyDescent="0.25">
      <c r="A8" s="66" t="s">
        <v>90</v>
      </c>
      <c r="B8" s="66" t="s">
        <v>89</v>
      </c>
      <c r="C8" s="66" t="s">
        <v>15</v>
      </c>
      <c r="D8" s="66" t="s">
        <v>15</v>
      </c>
      <c r="E8" s="66" t="s">
        <v>15</v>
      </c>
      <c r="F8" s="66" t="s">
        <v>13</v>
      </c>
      <c r="G8" s="66" t="s">
        <v>12</v>
      </c>
      <c r="H8" s="66" t="s">
        <v>12</v>
      </c>
      <c r="I8" s="66" t="s">
        <v>12</v>
      </c>
      <c r="J8" s="66" t="s">
        <v>12</v>
      </c>
      <c r="K8" s="66" t="s">
        <v>12</v>
      </c>
      <c r="L8" s="66" t="s">
        <v>12</v>
      </c>
      <c r="M8" s="66" t="s">
        <v>12</v>
      </c>
      <c r="N8" s="66" t="s">
        <v>12</v>
      </c>
      <c r="O8" s="66" t="s">
        <v>12</v>
      </c>
      <c r="P8" s="66" t="s">
        <v>14</v>
      </c>
      <c r="Q8" s="66" t="s">
        <v>12</v>
      </c>
      <c r="R8" s="66" t="s">
        <v>12</v>
      </c>
      <c r="S8" s="66" t="s">
        <v>12</v>
      </c>
      <c r="T8" s="66" t="s">
        <v>12</v>
      </c>
      <c r="U8" s="66" t="s">
        <v>15</v>
      </c>
      <c r="AJ8" s="66" t="s">
        <v>14</v>
      </c>
      <c r="AK8" s="66" t="s">
        <v>12</v>
      </c>
      <c r="AL8" s="66" t="s">
        <v>12</v>
      </c>
      <c r="AM8" s="66" t="s">
        <v>14</v>
      </c>
      <c r="AN8" s="66" t="s">
        <v>12</v>
      </c>
      <c r="AO8" s="66" t="s">
        <v>12</v>
      </c>
      <c r="AP8" s="66" t="s">
        <v>12</v>
      </c>
      <c r="AQ8" s="66" t="s">
        <v>12</v>
      </c>
      <c r="AR8" s="66" t="s">
        <v>12</v>
      </c>
      <c r="AS8" s="66" t="s">
        <v>18</v>
      </c>
      <c r="AT8" s="66" t="s">
        <v>18</v>
      </c>
      <c r="AU8" s="66" t="s">
        <v>12</v>
      </c>
      <c r="AV8" s="66" t="s">
        <v>12</v>
      </c>
      <c r="AW8" s="66" t="s">
        <v>16</v>
      </c>
      <c r="AX8" s="66" t="s">
        <v>16</v>
      </c>
      <c r="AY8" s="66" t="s">
        <v>12</v>
      </c>
      <c r="AZ8" s="66" t="s">
        <v>14</v>
      </c>
      <c r="BA8" s="66" t="s">
        <v>16</v>
      </c>
      <c r="BB8" s="66" t="s">
        <v>12</v>
      </c>
      <c r="BC8" s="66" t="s">
        <v>12</v>
      </c>
      <c r="BD8" s="66" t="s">
        <v>12</v>
      </c>
      <c r="BE8" s="66" t="s">
        <v>12</v>
      </c>
      <c r="BF8" s="66" t="s">
        <v>12</v>
      </c>
      <c r="BG8" s="66" t="s">
        <v>12</v>
      </c>
      <c r="BH8" s="66" t="s">
        <v>12</v>
      </c>
    </row>
    <row r="9" spans="1:65" ht="24.75" customHeight="1" x14ac:dyDescent="0.25">
      <c r="A9" s="66" t="s">
        <v>90</v>
      </c>
      <c r="B9" s="66" t="s">
        <v>89</v>
      </c>
      <c r="C9" s="66" t="s">
        <v>15</v>
      </c>
      <c r="D9" s="66" t="s">
        <v>13</v>
      </c>
      <c r="E9" s="66" t="s">
        <v>15</v>
      </c>
      <c r="F9" s="66" t="s">
        <v>15</v>
      </c>
      <c r="G9" s="66" t="s">
        <v>14</v>
      </c>
      <c r="H9" s="66" t="s">
        <v>12</v>
      </c>
      <c r="I9" s="66" t="s">
        <v>14</v>
      </c>
      <c r="J9" s="66" t="s">
        <v>12</v>
      </c>
      <c r="K9" s="66" t="s">
        <v>14</v>
      </c>
      <c r="L9" s="66" t="s">
        <v>14</v>
      </c>
      <c r="M9" s="66" t="s">
        <v>19</v>
      </c>
      <c r="N9" s="66" t="s">
        <v>12</v>
      </c>
      <c r="O9" s="66" t="s">
        <v>12</v>
      </c>
      <c r="P9" s="66" t="s">
        <v>14</v>
      </c>
      <c r="Q9" s="66" t="s">
        <v>14</v>
      </c>
      <c r="R9" s="66" t="s">
        <v>12</v>
      </c>
      <c r="S9" s="66" t="s">
        <v>12</v>
      </c>
      <c r="T9" s="66" t="s">
        <v>19</v>
      </c>
      <c r="U9" s="66" t="s">
        <v>15</v>
      </c>
      <c r="AJ9" s="66" t="s">
        <v>14</v>
      </c>
      <c r="AK9" s="66" t="s">
        <v>12</v>
      </c>
      <c r="AL9" s="66" t="s">
        <v>14</v>
      </c>
      <c r="AM9" s="66" t="s">
        <v>12</v>
      </c>
      <c r="AN9" s="66" t="s">
        <v>14</v>
      </c>
      <c r="AO9" s="66" t="s">
        <v>14</v>
      </c>
      <c r="AP9" s="66" t="s">
        <v>14</v>
      </c>
      <c r="AQ9" s="66" t="s">
        <v>12</v>
      </c>
      <c r="AR9" s="66" t="s">
        <v>14</v>
      </c>
      <c r="AS9" s="66" t="s">
        <v>14</v>
      </c>
      <c r="AT9" s="66" t="s">
        <v>14</v>
      </c>
      <c r="AU9" s="66" t="s">
        <v>14</v>
      </c>
      <c r="AV9" s="66" t="s">
        <v>14</v>
      </c>
      <c r="AW9" s="66" t="s">
        <v>20</v>
      </c>
      <c r="AX9" s="66" t="s">
        <v>20</v>
      </c>
      <c r="AY9" s="66" t="s">
        <v>14</v>
      </c>
      <c r="AZ9" s="66" t="s">
        <v>20</v>
      </c>
      <c r="BA9" s="66" t="s">
        <v>20</v>
      </c>
      <c r="BB9" s="66" t="s">
        <v>12</v>
      </c>
      <c r="BC9" s="66" t="s">
        <v>12</v>
      </c>
      <c r="BD9" s="66" t="s">
        <v>12</v>
      </c>
      <c r="BE9" s="66" t="s">
        <v>19</v>
      </c>
      <c r="BF9" s="66" t="s">
        <v>19</v>
      </c>
      <c r="BG9" s="66" t="s">
        <v>14</v>
      </c>
      <c r="BH9" s="66" t="s">
        <v>14</v>
      </c>
    </row>
    <row r="10" spans="1:65" ht="24.75" customHeight="1" x14ac:dyDescent="0.25">
      <c r="A10" s="66" t="s">
        <v>90</v>
      </c>
      <c r="B10" s="66" t="s">
        <v>89</v>
      </c>
      <c r="C10" s="66" t="s">
        <v>15</v>
      </c>
      <c r="D10" s="66" t="s">
        <v>15</v>
      </c>
      <c r="E10" s="66" t="s">
        <v>15</v>
      </c>
      <c r="F10" s="66" t="s">
        <v>13</v>
      </c>
      <c r="G10" s="66" t="s">
        <v>14</v>
      </c>
      <c r="H10" s="66" t="s">
        <v>12</v>
      </c>
      <c r="I10" s="66" t="s">
        <v>14</v>
      </c>
      <c r="J10" s="66" t="s">
        <v>14</v>
      </c>
      <c r="K10" s="66" t="s">
        <v>14</v>
      </c>
      <c r="L10" s="66" t="s">
        <v>14</v>
      </c>
      <c r="M10" s="66" t="s">
        <v>16</v>
      </c>
      <c r="N10" s="66" t="s">
        <v>14</v>
      </c>
      <c r="O10" s="66" t="s">
        <v>14</v>
      </c>
      <c r="P10" s="66" t="s">
        <v>14</v>
      </c>
      <c r="Q10" s="66" t="s">
        <v>14</v>
      </c>
      <c r="R10" s="66" t="s">
        <v>14</v>
      </c>
      <c r="S10" s="66" t="s">
        <v>14</v>
      </c>
      <c r="T10" s="66" t="s">
        <v>20</v>
      </c>
      <c r="U10" s="66" t="s">
        <v>13</v>
      </c>
      <c r="V10" s="66" t="s">
        <v>14</v>
      </c>
      <c r="W10" s="66" t="s">
        <v>14</v>
      </c>
      <c r="X10" s="66" t="s">
        <v>14</v>
      </c>
      <c r="Y10" s="66" t="s">
        <v>14</v>
      </c>
      <c r="Z10" s="66" t="s">
        <v>14</v>
      </c>
      <c r="AA10" s="66" t="s">
        <v>14</v>
      </c>
      <c r="AB10" s="66" t="s">
        <v>14</v>
      </c>
      <c r="AC10" s="66" t="s">
        <v>14</v>
      </c>
      <c r="AD10" s="66" t="s">
        <v>14</v>
      </c>
      <c r="AE10" s="66" t="s">
        <v>14</v>
      </c>
      <c r="AF10" s="66" t="s">
        <v>14</v>
      </c>
      <c r="AG10" s="66" t="s">
        <v>14</v>
      </c>
      <c r="AH10" s="66" t="s">
        <v>14</v>
      </c>
      <c r="AI10" s="66" t="s">
        <v>14</v>
      </c>
      <c r="AJ10" s="66" t="s">
        <v>12</v>
      </c>
      <c r="AK10" s="66" t="s">
        <v>12</v>
      </c>
      <c r="AL10" s="66" t="s">
        <v>12</v>
      </c>
      <c r="AM10" s="66" t="s">
        <v>14</v>
      </c>
      <c r="AN10" s="66" t="s">
        <v>14</v>
      </c>
      <c r="AO10" s="66" t="s">
        <v>14</v>
      </c>
      <c r="AP10" s="66" t="s">
        <v>14</v>
      </c>
      <c r="AQ10" s="66" t="s">
        <v>14</v>
      </c>
      <c r="AR10" s="66" t="s">
        <v>14</v>
      </c>
      <c r="AS10" s="66" t="s">
        <v>14</v>
      </c>
      <c r="AT10" s="66" t="s">
        <v>19</v>
      </c>
      <c r="AU10" s="66" t="s">
        <v>14</v>
      </c>
      <c r="AV10" s="66" t="s">
        <v>14</v>
      </c>
      <c r="AW10" s="66" t="s">
        <v>20</v>
      </c>
      <c r="AX10" s="66" t="s">
        <v>20</v>
      </c>
      <c r="AY10" s="66" t="s">
        <v>14</v>
      </c>
      <c r="AZ10" s="66" t="s">
        <v>20</v>
      </c>
      <c r="BA10" s="66" t="s">
        <v>20</v>
      </c>
      <c r="BB10" s="66" t="s">
        <v>19</v>
      </c>
      <c r="BC10" s="66" t="s">
        <v>19</v>
      </c>
      <c r="BD10" s="66" t="s">
        <v>19</v>
      </c>
      <c r="BE10" s="66" t="s">
        <v>19</v>
      </c>
      <c r="BF10" s="66" t="s">
        <v>19</v>
      </c>
      <c r="BG10" s="66" t="s">
        <v>14</v>
      </c>
      <c r="BH10" s="66" t="s">
        <v>14</v>
      </c>
    </row>
    <row r="11" spans="1:65" ht="24.75" customHeight="1" x14ac:dyDescent="0.25">
      <c r="A11" s="66" t="s">
        <v>90</v>
      </c>
      <c r="B11" s="66" t="s">
        <v>89</v>
      </c>
      <c r="C11" s="66" t="s">
        <v>15</v>
      </c>
      <c r="D11" s="66" t="s">
        <v>15</v>
      </c>
      <c r="E11" s="66" t="s">
        <v>15</v>
      </c>
      <c r="F11" s="66" t="s">
        <v>13</v>
      </c>
      <c r="G11" s="66" t="s">
        <v>12</v>
      </c>
      <c r="H11" s="66" t="s">
        <v>12</v>
      </c>
      <c r="I11" s="66" t="s">
        <v>12</v>
      </c>
      <c r="J11" s="66" t="s">
        <v>12</v>
      </c>
      <c r="K11" s="66" t="s">
        <v>12</v>
      </c>
      <c r="L11" s="66" t="s">
        <v>12</v>
      </c>
      <c r="M11" s="66" t="s">
        <v>12</v>
      </c>
      <c r="N11" s="66" t="s">
        <v>12</v>
      </c>
      <c r="O11" s="66" t="s">
        <v>12</v>
      </c>
      <c r="P11" s="66" t="s">
        <v>12</v>
      </c>
      <c r="Q11" s="66" t="s">
        <v>12</v>
      </c>
      <c r="R11" s="66" t="s">
        <v>12</v>
      </c>
      <c r="S11" s="66" t="s">
        <v>12</v>
      </c>
      <c r="T11" s="66" t="s">
        <v>12</v>
      </c>
      <c r="U11" s="66" t="s">
        <v>15</v>
      </c>
      <c r="AJ11" s="66" t="s">
        <v>14</v>
      </c>
      <c r="AK11" s="66" t="s">
        <v>12</v>
      </c>
      <c r="AL11" s="66" t="s">
        <v>12</v>
      </c>
      <c r="AM11" s="66" t="s">
        <v>14</v>
      </c>
      <c r="AN11" s="66" t="s">
        <v>12</v>
      </c>
      <c r="AO11" s="66" t="s">
        <v>12</v>
      </c>
      <c r="AP11" s="66" t="s">
        <v>12</v>
      </c>
      <c r="AQ11" s="66" t="s">
        <v>14</v>
      </c>
      <c r="AR11" s="66" t="s">
        <v>12</v>
      </c>
      <c r="AS11" s="66" t="s">
        <v>12</v>
      </c>
      <c r="AT11" s="66" t="s">
        <v>14</v>
      </c>
      <c r="AU11" s="66" t="s">
        <v>12</v>
      </c>
      <c r="AV11" s="66" t="s">
        <v>12</v>
      </c>
      <c r="AW11" s="66" t="s">
        <v>14</v>
      </c>
      <c r="AX11" s="66" t="s">
        <v>12</v>
      </c>
      <c r="AY11" s="66" t="s">
        <v>12</v>
      </c>
      <c r="AZ11" s="66" t="s">
        <v>14</v>
      </c>
      <c r="BA11" s="66" t="s">
        <v>12</v>
      </c>
      <c r="BB11" s="66" t="s">
        <v>12</v>
      </c>
      <c r="BC11" s="66" t="s">
        <v>14</v>
      </c>
      <c r="BD11" s="66" t="s">
        <v>14</v>
      </c>
      <c r="BE11" s="66" t="s">
        <v>12</v>
      </c>
      <c r="BF11" s="66" t="s">
        <v>12</v>
      </c>
      <c r="BG11" s="66" t="s">
        <v>12</v>
      </c>
      <c r="BH11" s="66" t="s">
        <v>12</v>
      </c>
    </row>
    <row r="12" spans="1:65" ht="24.75" customHeight="1" x14ac:dyDescent="0.25">
      <c r="A12" s="66" t="s">
        <v>90</v>
      </c>
      <c r="B12" s="66" t="s">
        <v>89</v>
      </c>
      <c r="C12" s="66" t="s">
        <v>15</v>
      </c>
      <c r="D12" s="66" t="s">
        <v>13</v>
      </c>
      <c r="E12" s="66" t="s">
        <v>15</v>
      </c>
      <c r="F12" s="66" t="s">
        <v>15</v>
      </c>
      <c r="G12" s="66" t="s">
        <v>14</v>
      </c>
      <c r="H12" s="66" t="s">
        <v>12</v>
      </c>
      <c r="I12" s="66" t="s">
        <v>12</v>
      </c>
      <c r="J12" s="66" t="s">
        <v>12</v>
      </c>
      <c r="K12" s="66" t="s">
        <v>12</v>
      </c>
      <c r="L12" s="66" t="s">
        <v>14</v>
      </c>
      <c r="M12" s="66" t="s">
        <v>17</v>
      </c>
      <c r="N12" s="66" t="s">
        <v>12</v>
      </c>
      <c r="O12" s="66" t="s">
        <v>12</v>
      </c>
      <c r="P12" s="66" t="s">
        <v>14</v>
      </c>
      <c r="Q12" s="66" t="s">
        <v>14</v>
      </c>
      <c r="R12" s="66" t="s">
        <v>14</v>
      </c>
      <c r="S12" s="66" t="s">
        <v>14</v>
      </c>
      <c r="T12" s="66" t="s">
        <v>12</v>
      </c>
      <c r="U12" s="66" t="s">
        <v>13</v>
      </c>
      <c r="V12" s="66" t="s">
        <v>14</v>
      </c>
      <c r="W12" s="66" t="s">
        <v>14</v>
      </c>
      <c r="X12" s="66" t="s">
        <v>16</v>
      </c>
      <c r="Y12" s="66" t="s">
        <v>14</v>
      </c>
      <c r="Z12" s="66" t="s">
        <v>14</v>
      </c>
      <c r="AA12" s="66" t="s">
        <v>18</v>
      </c>
      <c r="AB12" s="66" t="s">
        <v>19</v>
      </c>
      <c r="AC12" s="66" t="s">
        <v>19</v>
      </c>
      <c r="AD12" s="66" t="s">
        <v>12</v>
      </c>
      <c r="AE12" s="66" t="s">
        <v>14</v>
      </c>
      <c r="AF12" s="66" t="s">
        <v>14</v>
      </c>
      <c r="AG12" s="66" t="s">
        <v>16</v>
      </c>
      <c r="AH12" s="66" t="s">
        <v>16</v>
      </c>
      <c r="AI12" s="66" t="s">
        <v>14</v>
      </c>
      <c r="AJ12" s="66" t="s">
        <v>12</v>
      </c>
      <c r="AK12" s="66" t="s">
        <v>12</v>
      </c>
      <c r="AL12" s="66" t="s">
        <v>12</v>
      </c>
      <c r="AM12" s="66" t="s">
        <v>12</v>
      </c>
      <c r="AN12" s="66" t="s">
        <v>12</v>
      </c>
      <c r="AO12" s="66" t="s">
        <v>12</v>
      </c>
      <c r="AP12" s="66" t="s">
        <v>12</v>
      </c>
      <c r="AQ12" s="66" t="s">
        <v>12</v>
      </c>
      <c r="AR12" s="66" t="s">
        <v>14</v>
      </c>
      <c r="AS12" s="66" t="s">
        <v>17</v>
      </c>
      <c r="AT12" s="66" t="s">
        <v>18</v>
      </c>
      <c r="AU12" s="66" t="s">
        <v>14</v>
      </c>
      <c r="AV12" s="66" t="s">
        <v>12</v>
      </c>
      <c r="AW12" s="66" t="s">
        <v>14</v>
      </c>
      <c r="AX12" s="66" t="s">
        <v>17</v>
      </c>
      <c r="AY12" s="66" t="s">
        <v>12</v>
      </c>
      <c r="AZ12" s="66" t="s">
        <v>14</v>
      </c>
      <c r="BA12" s="66" t="s">
        <v>17</v>
      </c>
      <c r="BB12" s="66" t="s">
        <v>12</v>
      </c>
      <c r="BC12" s="66" t="s">
        <v>12</v>
      </c>
      <c r="BD12" s="66" t="s">
        <v>12</v>
      </c>
      <c r="BE12" s="66" t="s">
        <v>12</v>
      </c>
      <c r="BF12" s="66" t="s">
        <v>12</v>
      </c>
      <c r="BG12" s="66" t="s">
        <v>14</v>
      </c>
      <c r="BH12" s="66" t="s">
        <v>14</v>
      </c>
    </row>
    <row r="13" spans="1:65" ht="24.75" customHeight="1" x14ac:dyDescent="0.25">
      <c r="A13" s="66" t="s">
        <v>90</v>
      </c>
      <c r="B13" s="66" t="s">
        <v>89</v>
      </c>
      <c r="C13" s="66" t="s">
        <v>15</v>
      </c>
      <c r="D13" s="66" t="s">
        <v>13</v>
      </c>
      <c r="E13" s="66" t="s">
        <v>15</v>
      </c>
      <c r="F13" s="66" t="s">
        <v>15</v>
      </c>
      <c r="G13" s="66" t="s">
        <v>14</v>
      </c>
      <c r="H13" s="66" t="s">
        <v>12</v>
      </c>
      <c r="I13" s="66" t="s">
        <v>20</v>
      </c>
      <c r="J13" s="66" t="s">
        <v>20</v>
      </c>
      <c r="K13" s="66" t="s">
        <v>14</v>
      </c>
      <c r="L13" s="66" t="s">
        <v>20</v>
      </c>
      <c r="M13" s="66" t="s">
        <v>14</v>
      </c>
      <c r="N13" s="66" t="s">
        <v>20</v>
      </c>
      <c r="O13" s="66" t="s">
        <v>20</v>
      </c>
      <c r="P13" s="66" t="s">
        <v>20</v>
      </c>
      <c r="Q13" s="66" t="s">
        <v>20</v>
      </c>
      <c r="R13" s="66" t="s">
        <v>20</v>
      </c>
      <c r="S13" s="66" t="s">
        <v>20</v>
      </c>
      <c r="T13" s="66" t="s">
        <v>12</v>
      </c>
      <c r="U13" s="66" t="s">
        <v>15</v>
      </c>
      <c r="AJ13" s="66" t="s">
        <v>12</v>
      </c>
      <c r="AK13" s="66" t="s">
        <v>12</v>
      </c>
      <c r="AL13" s="66" t="s">
        <v>12</v>
      </c>
      <c r="AM13" s="66" t="s">
        <v>12</v>
      </c>
      <c r="AN13" s="66" t="s">
        <v>12</v>
      </c>
      <c r="AO13" s="66" t="s">
        <v>12</v>
      </c>
      <c r="AP13" s="66" t="s">
        <v>12</v>
      </c>
      <c r="AQ13" s="66" t="s">
        <v>12</v>
      </c>
      <c r="AR13" s="66" t="s">
        <v>12</v>
      </c>
      <c r="AS13" s="66" t="s">
        <v>14</v>
      </c>
      <c r="AT13" s="66" t="s">
        <v>16</v>
      </c>
      <c r="AU13" s="66" t="s">
        <v>12</v>
      </c>
      <c r="AV13" s="66" t="s">
        <v>12</v>
      </c>
      <c r="AW13" s="66" t="s">
        <v>12</v>
      </c>
      <c r="AX13" s="66" t="s">
        <v>20</v>
      </c>
      <c r="AY13" s="66" t="s">
        <v>12</v>
      </c>
      <c r="AZ13" s="66" t="s">
        <v>20</v>
      </c>
      <c r="BA13" s="66" t="s">
        <v>20</v>
      </c>
      <c r="BB13" s="66" t="s">
        <v>12</v>
      </c>
      <c r="BC13" s="66" t="s">
        <v>12</v>
      </c>
      <c r="BD13" s="66" t="s">
        <v>12</v>
      </c>
      <c r="BE13" s="66" t="s">
        <v>12</v>
      </c>
      <c r="BF13" s="66" t="s">
        <v>20</v>
      </c>
      <c r="BG13" s="66" t="s">
        <v>12</v>
      </c>
      <c r="BH13" s="66" t="s">
        <v>12</v>
      </c>
    </row>
    <row r="14" spans="1:65" ht="24.75" customHeight="1" x14ac:dyDescent="0.25">
      <c r="A14" s="66" t="s">
        <v>90</v>
      </c>
      <c r="B14" s="66" t="s">
        <v>89</v>
      </c>
      <c r="C14" s="66" t="s">
        <v>13</v>
      </c>
      <c r="D14" s="66" t="s">
        <v>15</v>
      </c>
      <c r="E14" s="66" t="s">
        <v>15</v>
      </c>
      <c r="F14" s="66" t="s">
        <v>15</v>
      </c>
      <c r="G14" s="66" t="s">
        <v>14</v>
      </c>
      <c r="H14" s="66" t="s">
        <v>14</v>
      </c>
      <c r="I14" s="66" t="s">
        <v>16</v>
      </c>
      <c r="J14" s="66" t="s">
        <v>14</v>
      </c>
      <c r="K14" s="66" t="s">
        <v>16</v>
      </c>
      <c r="L14" s="66" t="s">
        <v>14</v>
      </c>
      <c r="M14" s="66" t="s">
        <v>16</v>
      </c>
      <c r="N14" s="66" t="s">
        <v>14</v>
      </c>
      <c r="O14" s="66" t="s">
        <v>14</v>
      </c>
      <c r="P14" s="66" t="s">
        <v>16</v>
      </c>
      <c r="Q14" s="66" t="s">
        <v>16</v>
      </c>
      <c r="R14" s="66" t="s">
        <v>16</v>
      </c>
      <c r="S14" s="66" t="s">
        <v>16</v>
      </c>
      <c r="T14" s="66" t="s">
        <v>14</v>
      </c>
      <c r="U14" s="66" t="s">
        <v>15</v>
      </c>
      <c r="AJ14" s="66" t="s">
        <v>14</v>
      </c>
      <c r="AK14" s="66" t="s">
        <v>12</v>
      </c>
      <c r="AL14" s="66" t="s">
        <v>14</v>
      </c>
      <c r="AM14" s="66" t="s">
        <v>14</v>
      </c>
      <c r="AN14" s="66" t="s">
        <v>14</v>
      </c>
      <c r="AO14" s="66" t="s">
        <v>16</v>
      </c>
      <c r="AP14" s="66" t="s">
        <v>17</v>
      </c>
      <c r="AQ14" s="66" t="s">
        <v>14</v>
      </c>
      <c r="AR14" s="66" t="s">
        <v>16</v>
      </c>
      <c r="AS14" s="66" t="s">
        <v>16</v>
      </c>
      <c r="AT14" s="66" t="s">
        <v>17</v>
      </c>
      <c r="AU14" s="66" t="s">
        <v>16</v>
      </c>
      <c r="AV14" s="66" t="s">
        <v>12</v>
      </c>
      <c r="AW14" s="66" t="s">
        <v>16</v>
      </c>
      <c r="AX14" s="66" t="s">
        <v>20</v>
      </c>
      <c r="AY14" s="66" t="s">
        <v>14</v>
      </c>
      <c r="AZ14" s="66" t="s">
        <v>14</v>
      </c>
      <c r="BA14" s="66" t="s">
        <v>20</v>
      </c>
      <c r="BB14" s="66" t="s">
        <v>14</v>
      </c>
      <c r="BC14" s="66" t="s">
        <v>12</v>
      </c>
      <c r="BD14" s="66" t="s">
        <v>14</v>
      </c>
      <c r="BE14" s="66" t="s">
        <v>14</v>
      </c>
      <c r="BF14" s="66" t="s">
        <v>20</v>
      </c>
      <c r="BG14" s="66" t="s">
        <v>14</v>
      </c>
      <c r="BH14" s="66" t="s">
        <v>14</v>
      </c>
    </row>
    <row r="15" spans="1:65" ht="24.75" customHeight="1" x14ac:dyDescent="0.25">
      <c r="A15" s="66" t="s">
        <v>90</v>
      </c>
      <c r="B15" s="66" t="s">
        <v>89</v>
      </c>
      <c r="C15" s="66" t="s">
        <v>13</v>
      </c>
      <c r="D15" s="66" t="s">
        <v>15</v>
      </c>
      <c r="E15" s="66" t="s">
        <v>15</v>
      </c>
      <c r="F15" s="66" t="s">
        <v>15</v>
      </c>
      <c r="G15" s="66" t="s">
        <v>12</v>
      </c>
      <c r="H15" s="66" t="s">
        <v>12</v>
      </c>
      <c r="I15" s="66" t="s">
        <v>12</v>
      </c>
      <c r="J15" s="66" t="s">
        <v>12</v>
      </c>
      <c r="K15" s="66" t="s">
        <v>12</v>
      </c>
      <c r="L15" s="66" t="s">
        <v>12</v>
      </c>
      <c r="M15" s="66" t="s">
        <v>14</v>
      </c>
      <c r="N15" s="66" t="s">
        <v>14</v>
      </c>
      <c r="O15" s="66" t="s">
        <v>14</v>
      </c>
      <c r="P15" s="66" t="s">
        <v>14</v>
      </c>
      <c r="Q15" s="66" t="s">
        <v>14</v>
      </c>
      <c r="R15" s="66" t="s">
        <v>14</v>
      </c>
      <c r="S15" s="66" t="s">
        <v>14</v>
      </c>
      <c r="T15" s="66" t="s">
        <v>12</v>
      </c>
      <c r="U15" s="66" t="s">
        <v>15</v>
      </c>
      <c r="AJ15" s="66" t="s">
        <v>12</v>
      </c>
      <c r="AK15" s="66" t="s">
        <v>12</v>
      </c>
      <c r="AL15" s="66" t="s">
        <v>12</v>
      </c>
      <c r="AM15" s="66" t="s">
        <v>12</v>
      </c>
      <c r="AN15" s="66" t="s">
        <v>12</v>
      </c>
      <c r="AO15" s="66" t="s">
        <v>12</v>
      </c>
      <c r="AP15" s="66" t="s">
        <v>12</v>
      </c>
      <c r="AQ15" s="66" t="s">
        <v>14</v>
      </c>
      <c r="AR15" s="66" t="s">
        <v>14</v>
      </c>
      <c r="AS15" s="66" t="s">
        <v>16</v>
      </c>
      <c r="AT15" s="66" t="s">
        <v>16</v>
      </c>
      <c r="AU15" s="66" t="s">
        <v>14</v>
      </c>
      <c r="AV15" s="66" t="s">
        <v>14</v>
      </c>
      <c r="AW15" s="66" t="s">
        <v>19</v>
      </c>
      <c r="AX15" s="66" t="s">
        <v>19</v>
      </c>
      <c r="AY15" s="66" t="s">
        <v>12</v>
      </c>
      <c r="AZ15" s="66" t="s">
        <v>19</v>
      </c>
      <c r="BA15" s="66" t="s">
        <v>19</v>
      </c>
      <c r="BB15" s="66" t="s">
        <v>14</v>
      </c>
      <c r="BC15" s="66" t="s">
        <v>14</v>
      </c>
      <c r="BD15" s="66" t="s">
        <v>14</v>
      </c>
      <c r="BE15" s="66" t="s">
        <v>19</v>
      </c>
      <c r="BF15" s="66" t="s">
        <v>19</v>
      </c>
      <c r="BG15" s="66" t="s">
        <v>16</v>
      </c>
      <c r="BH15" s="66" t="s">
        <v>14</v>
      </c>
    </row>
    <row r="16" spans="1:65" ht="24.75" customHeight="1" x14ac:dyDescent="0.25">
      <c r="A16" s="66" t="s">
        <v>90</v>
      </c>
      <c r="B16" s="66" t="s">
        <v>89</v>
      </c>
      <c r="C16" s="66" t="s">
        <v>15</v>
      </c>
      <c r="D16" s="66" t="s">
        <v>15</v>
      </c>
      <c r="E16" s="66" t="s">
        <v>15</v>
      </c>
      <c r="F16" s="66" t="s">
        <v>13</v>
      </c>
      <c r="G16" s="66" t="s">
        <v>14</v>
      </c>
      <c r="H16" s="66" t="s">
        <v>14</v>
      </c>
      <c r="I16" s="66" t="s">
        <v>14</v>
      </c>
      <c r="J16" s="66" t="s">
        <v>14</v>
      </c>
      <c r="K16" s="66" t="s">
        <v>16</v>
      </c>
      <c r="L16" s="66" t="s">
        <v>16</v>
      </c>
      <c r="M16" s="66" t="s">
        <v>14</v>
      </c>
      <c r="N16" s="66" t="s">
        <v>16</v>
      </c>
      <c r="O16" s="66" t="s">
        <v>14</v>
      </c>
      <c r="P16" s="66" t="s">
        <v>16</v>
      </c>
      <c r="Q16" s="66" t="s">
        <v>16</v>
      </c>
      <c r="R16" s="66" t="s">
        <v>16</v>
      </c>
      <c r="S16" s="66" t="s">
        <v>14</v>
      </c>
      <c r="T16" s="66" t="s">
        <v>14</v>
      </c>
      <c r="U16" s="66" t="s">
        <v>15</v>
      </c>
      <c r="AJ16" s="66" t="s">
        <v>14</v>
      </c>
      <c r="AK16" s="66" t="s">
        <v>12</v>
      </c>
      <c r="AL16" s="66" t="s">
        <v>12</v>
      </c>
      <c r="AM16" s="66" t="s">
        <v>12</v>
      </c>
      <c r="AN16" s="66" t="s">
        <v>14</v>
      </c>
      <c r="AO16" s="66" t="s">
        <v>14</v>
      </c>
      <c r="AP16" s="66" t="s">
        <v>14</v>
      </c>
      <c r="AQ16" s="66" t="s">
        <v>14</v>
      </c>
      <c r="AR16" s="66" t="s">
        <v>14</v>
      </c>
      <c r="AS16" s="66" t="s">
        <v>14</v>
      </c>
      <c r="AT16" s="66" t="s">
        <v>17</v>
      </c>
      <c r="AU16" s="66" t="s">
        <v>14</v>
      </c>
      <c r="AV16" s="66" t="s">
        <v>16</v>
      </c>
      <c r="AW16" s="66" t="s">
        <v>20</v>
      </c>
      <c r="AX16" s="66" t="s">
        <v>20</v>
      </c>
      <c r="AY16" s="66" t="s">
        <v>12</v>
      </c>
      <c r="AZ16" s="66" t="s">
        <v>20</v>
      </c>
      <c r="BA16" s="66" t="s">
        <v>20</v>
      </c>
      <c r="BB16" s="66" t="s">
        <v>14</v>
      </c>
      <c r="BC16" s="66" t="s">
        <v>14</v>
      </c>
      <c r="BD16" s="66" t="s">
        <v>14</v>
      </c>
      <c r="BE16" s="66" t="s">
        <v>14</v>
      </c>
      <c r="BF16" s="66" t="s">
        <v>20</v>
      </c>
      <c r="BG16" s="66" t="s">
        <v>14</v>
      </c>
      <c r="BH16" s="66" t="s">
        <v>12</v>
      </c>
    </row>
    <row r="17" spans="1:61" ht="24.75" customHeight="1" x14ac:dyDescent="0.25">
      <c r="A17" s="66" t="s">
        <v>90</v>
      </c>
      <c r="B17" s="66" t="s">
        <v>89</v>
      </c>
      <c r="C17" s="66" t="s">
        <v>13</v>
      </c>
      <c r="D17" s="66" t="s">
        <v>15</v>
      </c>
      <c r="E17" s="66" t="s">
        <v>15</v>
      </c>
      <c r="F17" s="66" t="s">
        <v>15</v>
      </c>
      <c r="G17" s="66" t="s">
        <v>14</v>
      </c>
      <c r="H17" s="66" t="s">
        <v>16</v>
      </c>
      <c r="I17" s="66" t="s">
        <v>16</v>
      </c>
      <c r="J17" s="66" t="s">
        <v>12</v>
      </c>
      <c r="K17" s="66" t="s">
        <v>14</v>
      </c>
      <c r="L17" s="66" t="s">
        <v>16</v>
      </c>
      <c r="M17" s="66" t="s">
        <v>20</v>
      </c>
      <c r="N17" s="66" t="s">
        <v>14</v>
      </c>
      <c r="O17" s="66" t="s">
        <v>14</v>
      </c>
      <c r="P17" s="66" t="s">
        <v>14</v>
      </c>
      <c r="Q17" s="66" t="s">
        <v>20</v>
      </c>
      <c r="R17" s="66" t="s">
        <v>20</v>
      </c>
      <c r="S17" s="66" t="s">
        <v>20</v>
      </c>
      <c r="T17" s="66" t="s">
        <v>14</v>
      </c>
      <c r="U17" s="66" t="s">
        <v>15</v>
      </c>
      <c r="AJ17" s="66" t="s">
        <v>14</v>
      </c>
      <c r="AK17" s="66" t="s">
        <v>14</v>
      </c>
      <c r="AL17" s="66" t="s">
        <v>12</v>
      </c>
      <c r="AM17" s="66" t="s">
        <v>14</v>
      </c>
      <c r="AN17" s="66" t="s">
        <v>14</v>
      </c>
      <c r="AO17" s="66" t="s">
        <v>14</v>
      </c>
      <c r="AP17" s="66" t="s">
        <v>14</v>
      </c>
      <c r="AQ17" s="66" t="s">
        <v>16</v>
      </c>
      <c r="AR17" s="66" t="s">
        <v>14</v>
      </c>
      <c r="AS17" s="66" t="s">
        <v>16</v>
      </c>
      <c r="AT17" s="66" t="s">
        <v>16</v>
      </c>
      <c r="AU17" s="66" t="s">
        <v>14</v>
      </c>
      <c r="AV17" s="66" t="s">
        <v>16</v>
      </c>
      <c r="AW17" s="66" t="s">
        <v>20</v>
      </c>
      <c r="AX17" s="66" t="s">
        <v>20</v>
      </c>
      <c r="AY17" s="66" t="s">
        <v>20</v>
      </c>
      <c r="AZ17" s="66" t="s">
        <v>20</v>
      </c>
      <c r="BA17" s="66" t="s">
        <v>20</v>
      </c>
      <c r="BB17" s="66" t="s">
        <v>14</v>
      </c>
      <c r="BC17" s="66" t="s">
        <v>14</v>
      </c>
      <c r="BD17" s="66" t="s">
        <v>14</v>
      </c>
      <c r="BE17" s="66" t="s">
        <v>14</v>
      </c>
      <c r="BF17" s="66" t="s">
        <v>20</v>
      </c>
      <c r="BG17" s="66" t="s">
        <v>14</v>
      </c>
      <c r="BH17" s="66" t="s">
        <v>14</v>
      </c>
    </row>
    <row r="18" spans="1:61" ht="24.75" customHeight="1" x14ac:dyDescent="0.25">
      <c r="A18" s="66" t="s">
        <v>90</v>
      </c>
      <c r="B18" s="66" t="s">
        <v>89</v>
      </c>
      <c r="C18" s="66" t="s">
        <v>15</v>
      </c>
      <c r="D18" s="66" t="s">
        <v>13</v>
      </c>
      <c r="E18" s="66" t="s">
        <v>15</v>
      </c>
      <c r="F18" s="66" t="s">
        <v>15</v>
      </c>
      <c r="G18" s="66" t="s">
        <v>12</v>
      </c>
      <c r="H18" s="66" t="s">
        <v>12</v>
      </c>
      <c r="I18" s="66" t="s">
        <v>12</v>
      </c>
      <c r="J18" s="66" t="s">
        <v>12</v>
      </c>
      <c r="K18" s="66" t="s">
        <v>12</v>
      </c>
      <c r="L18" s="66" t="s">
        <v>16</v>
      </c>
      <c r="M18" s="66" t="s">
        <v>20</v>
      </c>
      <c r="N18" s="66" t="s">
        <v>12</v>
      </c>
      <c r="O18" s="66" t="s">
        <v>12</v>
      </c>
      <c r="P18" s="66" t="s">
        <v>12</v>
      </c>
      <c r="Q18" s="66" t="s">
        <v>12</v>
      </c>
      <c r="R18" s="66" t="s">
        <v>12</v>
      </c>
      <c r="S18" s="66" t="s">
        <v>12</v>
      </c>
      <c r="T18" s="66" t="s">
        <v>12</v>
      </c>
      <c r="U18" s="66" t="s">
        <v>15</v>
      </c>
      <c r="AJ18" s="66" t="s">
        <v>12</v>
      </c>
      <c r="AK18" s="66" t="s">
        <v>12</v>
      </c>
      <c r="AL18" s="66" t="s">
        <v>12</v>
      </c>
      <c r="AM18" s="66" t="s">
        <v>12</v>
      </c>
      <c r="AN18" s="66" t="s">
        <v>12</v>
      </c>
      <c r="AO18" s="66" t="s">
        <v>12</v>
      </c>
      <c r="AP18" s="66" t="s">
        <v>12</v>
      </c>
      <c r="AQ18" s="66" t="s">
        <v>12</v>
      </c>
      <c r="AR18" s="66" t="s">
        <v>12</v>
      </c>
      <c r="AS18" s="66" t="s">
        <v>16</v>
      </c>
      <c r="AT18" s="66" t="s">
        <v>16</v>
      </c>
      <c r="AU18" s="66" t="s">
        <v>19</v>
      </c>
      <c r="AV18" s="66" t="s">
        <v>12</v>
      </c>
      <c r="AW18" s="66" t="s">
        <v>20</v>
      </c>
      <c r="AX18" s="66" t="s">
        <v>20</v>
      </c>
      <c r="AY18" s="66" t="s">
        <v>12</v>
      </c>
      <c r="AZ18" s="66" t="s">
        <v>20</v>
      </c>
      <c r="BA18" s="66" t="s">
        <v>20</v>
      </c>
      <c r="BB18" s="66" t="s">
        <v>20</v>
      </c>
      <c r="BC18" s="66" t="s">
        <v>14</v>
      </c>
      <c r="BD18" s="66" t="s">
        <v>14</v>
      </c>
      <c r="BE18" s="66" t="s">
        <v>20</v>
      </c>
      <c r="BF18" s="66" t="s">
        <v>20</v>
      </c>
      <c r="BG18" s="66" t="s">
        <v>14</v>
      </c>
      <c r="BH18" s="66" t="s">
        <v>14</v>
      </c>
    </row>
    <row r="19" spans="1:61" ht="24.75" customHeight="1" x14ac:dyDescent="0.25">
      <c r="A19" s="66" t="s">
        <v>90</v>
      </c>
      <c r="B19" s="66" t="s">
        <v>89</v>
      </c>
      <c r="C19" s="66" t="s">
        <v>15</v>
      </c>
      <c r="D19" s="66" t="s">
        <v>15</v>
      </c>
      <c r="E19" s="66" t="s">
        <v>15</v>
      </c>
      <c r="F19" s="66" t="s">
        <v>13</v>
      </c>
      <c r="G19" s="66" t="s">
        <v>12</v>
      </c>
      <c r="H19" s="66" t="s">
        <v>14</v>
      </c>
      <c r="I19" s="66" t="s">
        <v>14</v>
      </c>
      <c r="J19" s="66" t="s">
        <v>14</v>
      </c>
      <c r="K19" s="66" t="s">
        <v>14</v>
      </c>
      <c r="L19" s="66" t="s">
        <v>17</v>
      </c>
      <c r="M19" s="66" t="s">
        <v>16</v>
      </c>
      <c r="N19" s="66" t="s">
        <v>14</v>
      </c>
      <c r="O19" s="66" t="s">
        <v>14</v>
      </c>
      <c r="P19" s="66" t="s">
        <v>12</v>
      </c>
      <c r="Q19" s="66" t="s">
        <v>16</v>
      </c>
      <c r="R19" s="66" t="s">
        <v>16</v>
      </c>
      <c r="S19" s="66" t="s">
        <v>19</v>
      </c>
      <c r="T19" s="66" t="s">
        <v>12</v>
      </c>
      <c r="U19" s="66" t="s">
        <v>15</v>
      </c>
      <c r="AJ19" s="66" t="s">
        <v>14</v>
      </c>
      <c r="AK19" s="66" t="s">
        <v>14</v>
      </c>
      <c r="AL19" s="66" t="s">
        <v>14</v>
      </c>
      <c r="AM19" s="66" t="s">
        <v>14</v>
      </c>
      <c r="AN19" s="66" t="s">
        <v>14</v>
      </c>
      <c r="AO19" s="66" t="s">
        <v>16</v>
      </c>
      <c r="AP19" s="66" t="s">
        <v>14</v>
      </c>
      <c r="AQ19" s="66" t="s">
        <v>16</v>
      </c>
      <c r="AR19" s="66" t="s">
        <v>14</v>
      </c>
      <c r="AS19" s="66" t="s">
        <v>16</v>
      </c>
      <c r="AT19" s="66" t="s">
        <v>18</v>
      </c>
      <c r="AU19" s="66" t="s">
        <v>14</v>
      </c>
      <c r="AV19" s="66" t="s">
        <v>19</v>
      </c>
      <c r="AW19" s="66" t="s">
        <v>19</v>
      </c>
      <c r="AX19" s="66" t="s">
        <v>19</v>
      </c>
      <c r="AY19" s="66" t="s">
        <v>17</v>
      </c>
      <c r="AZ19" s="66" t="s">
        <v>18</v>
      </c>
      <c r="BA19" s="66" t="s">
        <v>18</v>
      </c>
      <c r="BB19" s="66" t="s">
        <v>12</v>
      </c>
      <c r="BC19" s="66" t="s">
        <v>12</v>
      </c>
      <c r="BD19" s="66" t="s">
        <v>12</v>
      </c>
      <c r="BE19" s="66" t="s">
        <v>19</v>
      </c>
      <c r="BF19" s="66" t="s">
        <v>19</v>
      </c>
      <c r="BG19" s="66" t="s">
        <v>14</v>
      </c>
      <c r="BH19" s="66" t="s">
        <v>14</v>
      </c>
    </row>
    <row r="20" spans="1:61" ht="24.75" customHeight="1" x14ac:dyDescent="0.25">
      <c r="A20" s="66" t="s">
        <v>90</v>
      </c>
      <c r="B20" s="66" t="s">
        <v>89</v>
      </c>
      <c r="C20" s="66" t="s">
        <v>15</v>
      </c>
      <c r="D20" s="66" t="s">
        <v>13</v>
      </c>
      <c r="E20" s="66" t="s">
        <v>15</v>
      </c>
      <c r="F20" s="66" t="s">
        <v>15</v>
      </c>
      <c r="G20" s="66" t="s">
        <v>12</v>
      </c>
      <c r="H20" s="66" t="s">
        <v>12</v>
      </c>
      <c r="I20" s="66" t="s">
        <v>12</v>
      </c>
      <c r="J20" s="66" t="s">
        <v>12</v>
      </c>
      <c r="K20" s="66" t="s">
        <v>14</v>
      </c>
      <c r="L20" s="66" t="s">
        <v>12</v>
      </c>
      <c r="M20" s="66" t="s">
        <v>14</v>
      </c>
      <c r="N20" s="66" t="s">
        <v>12</v>
      </c>
      <c r="O20" s="66" t="s">
        <v>12</v>
      </c>
      <c r="P20" s="66" t="s">
        <v>12</v>
      </c>
      <c r="Q20" s="66" t="s">
        <v>14</v>
      </c>
      <c r="R20" s="66" t="s">
        <v>12</v>
      </c>
      <c r="S20" s="66" t="s">
        <v>12</v>
      </c>
      <c r="T20" s="66" t="s">
        <v>12</v>
      </c>
      <c r="U20" s="66" t="s">
        <v>15</v>
      </c>
      <c r="AJ20" s="66" t="s">
        <v>20</v>
      </c>
      <c r="AK20" s="66" t="s">
        <v>12</v>
      </c>
      <c r="AL20" s="66" t="s">
        <v>12</v>
      </c>
      <c r="AM20" s="66" t="s">
        <v>14</v>
      </c>
      <c r="AN20" s="66" t="s">
        <v>12</v>
      </c>
      <c r="AO20" s="66" t="s">
        <v>12</v>
      </c>
      <c r="AP20" s="66" t="s">
        <v>12</v>
      </c>
      <c r="AQ20" s="66" t="s">
        <v>12</v>
      </c>
      <c r="AR20" s="66" t="s">
        <v>12</v>
      </c>
      <c r="AS20" s="66" t="s">
        <v>14</v>
      </c>
      <c r="AT20" s="66" t="s">
        <v>12</v>
      </c>
      <c r="AU20" s="66" t="s">
        <v>20</v>
      </c>
      <c r="AV20" s="66" t="s">
        <v>12</v>
      </c>
      <c r="AW20" s="66" t="s">
        <v>20</v>
      </c>
      <c r="AX20" s="66" t="s">
        <v>20</v>
      </c>
      <c r="AY20" s="66" t="s">
        <v>12</v>
      </c>
      <c r="AZ20" s="66" t="s">
        <v>20</v>
      </c>
      <c r="BA20" s="66" t="s">
        <v>20</v>
      </c>
      <c r="BB20" s="66" t="s">
        <v>12</v>
      </c>
      <c r="BC20" s="66" t="s">
        <v>12</v>
      </c>
      <c r="BD20" s="66" t="s">
        <v>12</v>
      </c>
      <c r="BE20" s="66" t="s">
        <v>12</v>
      </c>
      <c r="BF20" s="66" t="s">
        <v>20</v>
      </c>
      <c r="BG20" s="66" t="s">
        <v>14</v>
      </c>
      <c r="BH20" s="66" t="s">
        <v>14</v>
      </c>
    </row>
    <row r="21" spans="1:61" ht="24.75" customHeight="1" x14ac:dyDescent="0.25">
      <c r="A21" s="66" t="s">
        <v>90</v>
      </c>
      <c r="B21" s="66" t="s">
        <v>89</v>
      </c>
      <c r="C21" s="66" t="s">
        <v>13</v>
      </c>
      <c r="D21" s="66" t="s">
        <v>15</v>
      </c>
      <c r="E21" s="66" t="s">
        <v>15</v>
      </c>
      <c r="F21" s="66" t="s">
        <v>15</v>
      </c>
      <c r="G21" s="66" t="s">
        <v>14</v>
      </c>
      <c r="H21" s="66" t="s">
        <v>14</v>
      </c>
      <c r="I21" s="66" t="s">
        <v>12</v>
      </c>
      <c r="J21" s="66" t="s">
        <v>12</v>
      </c>
      <c r="K21" s="66" t="s">
        <v>12</v>
      </c>
      <c r="L21" s="66" t="s">
        <v>14</v>
      </c>
      <c r="M21" s="66" t="s">
        <v>16</v>
      </c>
      <c r="N21" s="66" t="s">
        <v>14</v>
      </c>
      <c r="O21" s="66" t="s">
        <v>14</v>
      </c>
      <c r="P21" s="66" t="s">
        <v>12</v>
      </c>
      <c r="Q21" s="66" t="s">
        <v>12</v>
      </c>
      <c r="R21" s="66" t="s">
        <v>12</v>
      </c>
      <c r="S21" s="66" t="s">
        <v>12</v>
      </c>
      <c r="T21" s="66" t="s">
        <v>12</v>
      </c>
      <c r="U21" s="66" t="s">
        <v>15</v>
      </c>
      <c r="AJ21" s="66" t="s">
        <v>12</v>
      </c>
      <c r="AK21" s="66" t="s">
        <v>12</v>
      </c>
      <c r="AL21" s="66" t="s">
        <v>14</v>
      </c>
      <c r="AM21" s="66" t="s">
        <v>12</v>
      </c>
      <c r="AN21" s="66" t="s">
        <v>12</v>
      </c>
      <c r="AO21" s="66" t="s">
        <v>12</v>
      </c>
      <c r="AP21" s="66" t="s">
        <v>14</v>
      </c>
      <c r="AQ21" s="66" t="s">
        <v>14</v>
      </c>
      <c r="AR21" s="66" t="s">
        <v>12</v>
      </c>
      <c r="AS21" s="66" t="s">
        <v>12</v>
      </c>
      <c r="AT21" s="66" t="s">
        <v>16</v>
      </c>
      <c r="AU21" s="66" t="s">
        <v>14</v>
      </c>
      <c r="AV21" s="66" t="s">
        <v>16</v>
      </c>
      <c r="AW21" s="66" t="s">
        <v>20</v>
      </c>
      <c r="AX21" s="66" t="s">
        <v>20</v>
      </c>
      <c r="AY21" s="66" t="s">
        <v>17</v>
      </c>
      <c r="AZ21" s="66" t="s">
        <v>20</v>
      </c>
      <c r="BA21" s="66" t="s">
        <v>20</v>
      </c>
      <c r="BB21" s="66" t="s">
        <v>12</v>
      </c>
      <c r="BC21" s="66" t="s">
        <v>12</v>
      </c>
      <c r="BD21" s="66" t="s">
        <v>12</v>
      </c>
      <c r="BE21" s="66" t="s">
        <v>12</v>
      </c>
      <c r="BF21" s="66" t="s">
        <v>12</v>
      </c>
      <c r="BG21" s="66" t="s">
        <v>14</v>
      </c>
      <c r="BH21" s="66" t="s">
        <v>16</v>
      </c>
    </row>
    <row r="22" spans="1:61" ht="24.75" customHeight="1" x14ac:dyDescent="0.25">
      <c r="A22" s="66" t="s">
        <v>90</v>
      </c>
      <c r="B22" s="66" t="s">
        <v>89</v>
      </c>
      <c r="C22" s="66" t="s">
        <v>13</v>
      </c>
      <c r="D22" s="66" t="s">
        <v>15</v>
      </c>
      <c r="E22" s="66" t="s">
        <v>15</v>
      </c>
      <c r="F22" s="66" t="s">
        <v>15</v>
      </c>
      <c r="G22" s="66" t="s">
        <v>14</v>
      </c>
      <c r="H22" s="66" t="s">
        <v>12</v>
      </c>
      <c r="I22" s="66" t="s">
        <v>14</v>
      </c>
      <c r="J22" s="66" t="s">
        <v>12</v>
      </c>
      <c r="K22" s="66" t="s">
        <v>14</v>
      </c>
      <c r="L22" s="66" t="s">
        <v>14</v>
      </c>
      <c r="M22" s="66" t="s">
        <v>12</v>
      </c>
      <c r="N22" s="66" t="s">
        <v>14</v>
      </c>
      <c r="O22" s="66" t="s">
        <v>14</v>
      </c>
      <c r="P22" s="66" t="s">
        <v>12</v>
      </c>
      <c r="Q22" s="66" t="s">
        <v>12</v>
      </c>
      <c r="R22" s="66" t="s">
        <v>12</v>
      </c>
      <c r="S22" s="66" t="s">
        <v>14</v>
      </c>
      <c r="T22" s="66" t="s">
        <v>12</v>
      </c>
      <c r="U22" s="66" t="s">
        <v>13</v>
      </c>
      <c r="V22" s="66" t="s">
        <v>14</v>
      </c>
      <c r="W22" s="66" t="s">
        <v>14</v>
      </c>
      <c r="X22" s="66" t="s">
        <v>14</v>
      </c>
      <c r="Y22" s="66" t="s">
        <v>14</v>
      </c>
      <c r="Z22" s="66" t="s">
        <v>14</v>
      </c>
      <c r="AA22" s="66" t="s">
        <v>14</v>
      </c>
      <c r="AB22" s="66" t="s">
        <v>14</v>
      </c>
      <c r="AC22" s="66" t="s">
        <v>14</v>
      </c>
      <c r="AD22" s="66" t="s">
        <v>14</v>
      </c>
      <c r="AE22" s="66" t="s">
        <v>14</v>
      </c>
      <c r="AF22" s="66" t="s">
        <v>14</v>
      </c>
      <c r="AG22" s="66" t="s">
        <v>14</v>
      </c>
      <c r="AH22" s="66" t="s">
        <v>14</v>
      </c>
      <c r="AI22" s="66" t="s">
        <v>14</v>
      </c>
      <c r="AJ22" s="66" t="s">
        <v>12</v>
      </c>
      <c r="AK22" s="66" t="s">
        <v>12</v>
      </c>
      <c r="AL22" s="66" t="s">
        <v>12</v>
      </c>
      <c r="AM22" s="66" t="s">
        <v>12</v>
      </c>
      <c r="AN22" s="66" t="s">
        <v>12</v>
      </c>
      <c r="AO22" s="66" t="s">
        <v>12</v>
      </c>
      <c r="AP22" s="66" t="s">
        <v>14</v>
      </c>
      <c r="AQ22" s="66" t="s">
        <v>20</v>
      </c>
      <c r="AR22" s="66" t="s">
        <v>20</v>
      </c>
      <c r="AS22" s="66" t="s">
        <v>20</v>
      </c>
      <c r="AT22" s="66" t="s">
        <v>20</v>
      </c>
      <c r="AU22" s="66" t="s">
        <v>20</v>
      </c>
      <c r="AV22" s="66" t="s">
        <v>12</v>
      </c>
      <c r="AW22" s="66" t="s">
        <v>12</v>
      </c>
      <c r="AX22" s="66" t="s">
        <v>14</v>
      </c>
      <c r="AY22" s="66" t="s">
        <v>12</v>
      </c>
      <c r="AZ22" s="66" t="s">
        <v>12</v>
      </c>
      <c r="BA22" s="66" t="s">
        <v>14</v>
      </c>
      <c r="BB22" s="66" t="s">
        <v>14</v>
      </c>
      <c r="BC22" s="66" t="s">
        <v>12</v>
      </c>
      <c r="BD22" s="66" t="s">
        <v>12</v>
      </c>
      <c r="BE22" s="66" t="s">
        <v>12</v>
      </c>
      <c r="BF22" s="66" t="s">
        <v>20</v>
      </c>
      <c r="BG22" s="66" t="s">
        <v>19</v>
      </c>
      <c r="BH22" s="66" t="s">
        <v>19</v>
      </c>
    </row>
    <row r="23" spans="1:61" ht="24.75" customHeight="1" x14ac:dyDescent="0.25">
      <c r="A23" s="66" t="s">
        <v>90</v>
      </c>
      <c r="B23" s="66" t="s">
        <v>89</v>
      </c>
      <c r="C23" s="66" t="s">
        <v>13</v>
      </c>
      <c r="D23" s="66" t="s">
        <v>15</v>
      </c>
      <c r="E23" s="66" t="s">
        <v>15</v>
      </c>
      <c r="F23" s="66" t="s">
        <v>15</v>
      </c>
      <c r="G23" s="66" t="s">
        <v>16</v>
      </c>
      <c r="H23" s="66" t="s">
        <v>14</v>
      </c>
      <c r="I23" s="66" t="s">
        <v>14</v>
      </c>
      <c r="J23" s="66" t="s">
        <v>12</v>
      </c>
      <c r="K23" s="66" t="s">
        <v>12</v>
      </c>
      <c r="L23" s="66" t="s">
        <v>16</v>
      </c>
      <c r="M23" s="66" t="s">
        <v>16</v>
      </c>
      <c r="N23" s="66" t="s">
        <v>14</v>
      </c>
      <c r="O23" s="66" t="s">
        <v>14</v>
      </c>
      <c r="P23" s="66" t="s">
        <v>14</v>
      </c>
      <c r="Q23" s="66" t="s">
        <v>14</v>
      </c>
      <c r="R23" s="66" t="s">
        <v>14</v>
      </c>
      <c r="S23" s="66" t="s">
        <v>14</v>
      </c>
      <c r="T23" s="66" t="s">
        <v>12</v>
      </c>
      <c r="U23" s="66" t="s">
        <v>13</v>
      </c>
      <c r="V23" s="66" t="s">
        <v>16</v>
      </c>
      <c r="W23" s="66" t="s">
        <v>16</v>
      </c>
      <c r="X23" s="66" t="s">
        <v>14</v>
      </c>
      <c r="Y23" s="66" t="s">
        <v>14</v>
      </c>
      <c r="Z23" s="66" t="s">
        <v>14</v>
      </c>
      <c r="AA23" s="66" t="s">
        <v>14</v>
      </c>
      <c r="AB23" s="66" t="s">
        <v>16</v>
      </c>
      <c r="AC23" s="66" t="s">
        <v>16</v>
      </c>
      <c r="AD23" s="66" t="s">
        <v>16</v>
      </c>
      <c r="AE23" s="66" t="s">
        <v>16</v>
      </c>
      <c r="AF23" s="66" t="s">
        <v>14</v>
      </c>
      <c r="AG23" s="66" t="s">
        <v>14</v>
      </c>
      <c r="AH23" s="66" t="s">
        <v>14</v>
      </c>
      <c r="AI23" s="66" t="s">
        <v>14</v>
      </c>
      <c r="AJ23" s="66" t="s">
        <v>14</v>
      </c>
      <c r="AK23" s="66" t="s">
        <v>12</v>
      </c>
      <c r="AL23" s="66" t="s">
        <v>14</v>
      </c>
      <c r="AM23" s="66" t="s">
        <v>14</v>
      </c>
      <c r="AN23" s="66" t="s">
        <v>14</v>
      </c>
      <c r="AO23" s="66" t="s">
        <v>14</v>
      </c>
      <c r="AP23" s="66" t="s">
        <v>16</v>
      </c>
      <c r="AQ23" s="66" t="s">
        <v>16</v>
      </c>
      <c r="AR23" s="66" t="s">
        <v>16</v>
      </c>
      <c r="AS23" s="66" t="s">
        <v>17</v>
      </c>
      <c r="AT23" s="66" t="s">
        <v>18</v>
      </c>
      <c r="AU23" s="66" t="s">
        <v>14</v>
      </c>
      <c r="AV23" s="66" t="s">
        <v>14</v>
      </c>
      <c r="AW23" s="66" t="s">
        <v>14</v>
      </c>
      <c r="AX23" s="66" t="s">
        <v>14</v>
      </c>
      <c r="AY23" s="66" t="s">
        <v>14</v>
      </c>
      <c r="AZ23" s="66" t="s">
        <v>16</v>
      </c>
      <c r="BA23" s="66" t="s">
        <v>16</v>
      </c>
      <c r="BB23" s="66" t="s">
        <v>14</v>
      </c>
      <c r="BC23" s="66" t="s">
        <v>14</v>
      </c>
      <c r="BD23" s="66" t="s">
        <v>14</v>
      </c>
      <c r="BE23" s="66" t="s">
        <v>14</v>
      </c>
      <c r="BF23" s="66" t="s">
        <v>14</v>
      </c>
      <c r="BG23" s="66" t="s">
        <v>16</v>
      </c>
      <c r="BH23" s="66" t="s">
        <v>14</v>
      </c>
    </row>
    <row r="24" spans="1:61" ht="24.75" customHeight="1" x14ac:dyDescent="0.25">
      <c r="A24" s="66" t="s">
        <v>90</v>
      </c>
      <c r="B24" s="66" t="s">
        <v>89</v>
      </c>
      <c r="C24" s="66" t="s">
        <v>15</v>
      </c>
      <c r="D24" s="66" t="s">
        <v>15</v>
      </c>
      <c r="E24" s="66" t="s">
        <v>15</v>
      </c>
      <c r="F24" s="66" t="s">
        <v>13</v>
      </c>
      <c r="G24" s="66" t="s">
        <v>14</v>
      </c>
      <c r="H24" s="66" t="s">
        <v>14</v>
      </c>
      <c r="I24" s="66" t="s">
        <v>12</v>
      </c>
      <c r="J24" s="66" t="s">
        <v>12</v>
      </c>
      <c r="K24" s="66" t="s">
        <v>12</v>
      </c>
      <c r="L24" s="66" t="s">
        <v>12</v>
      </c>
      <c r="M24" s="66" t="s">
        <v>14</v>
      </c>
      <c r="N24" s="66" t="s">
        <v>12</v>
      </c>
      <c r="O24" s="66" t="s">
        <v>16</v>
      </c>
      <c r="P24" s="66" t="s">
        <v>17</v>
      </c>
      <c r="Q24" s="66" t="s">
        <v>14</v>
      </c>
      <c r="R24" s="66" t="s">
        <v>14</v>
      </c>
      <c r="S24" s="66" t="s">
        <v>14</v>
      </c>
      <c r="T24" s="66" t="s">
        <v>14</v>
      </c>
      <c r="U24" s="66" t="s">
        <v>15</v>
      </c>
      <c r="AJ24" s="66" t="s">
        <v>14</v>
      </c>
      <c r="AK24" s="66" t="s">
        <v>12</v>
      </c>
      <c r="AL24" s="66" t="s">
        <v>12</v>
      </c>
      <c r="AM24" s="66" t="s">
        <v>12</v>
      </c>
      <c r="AN24" s="66" t="s">
        <v>12</v>
      </c>
      <c r="AO24" s="66" t="s">
        <v>12</v>
      </c>
      <c r="AP24" s="66" t="s">
        <v>14</v>
      </c>
      <c r="AQ24" s="66" t="s">
        <v>14</v>
      </c>
      <c r="AR24" s="66" t="s">
        <v>12</v>
      </c>
      <c r="AS24" s="66" t="s">
        <v>12</v>
      </c>
      <c r="AT24" s="66" t="s">
        <v>18</v>
      </c>
      <c r="AU24" s="66" t="s">
        <v>14</v>
      </c>
      <c r="AV24" s="66" t="s">
        <v>14</v>
      </c>
      <c r="AW24" s="66" t="s">
        <v>14</v>
      </c>
      <c r="AX24" s="66" t="s">
        <v>20</v>
      </c>
      <c r="AY24" s="66" t="s">
        <v>19</v>
      </c>
      <c r="AZ24" s="66" t="s">
        <v>19</v>
      </c>
      <c r="BA24" s="66" t="s">
        <v>19</v>
      </c>
      <c r="BB24" s="66" t="s">
        <v>14</v>
      </c>
      <c r="BC24" s="66" t="s">
        <v>14</v>
      </c>
      <c r="BD24" s="66" t="s">
        <v>14</v>
      </c>
      <c r="BE24" s="66" t="s">
        <v>19</v>
      </c>
      <c r="BF24" s="66" t="s">
        <v>19</v>
      </c>
      <c r="BG24" s="66" t="s">
        <v>14</v>
      </c>
      <c r="BH24" s="66" t="s">
        <v>14</v>
      </c>
    </row>
    <row r="25" spans="1:61" ht="24.75" customHeight="1" x14ac:dyDescent="0.25">
      <c r="A25" s="69"/>
      <c r="B25" s="70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</row>
    <row r="26" spans="1:61" ht="45.75" customHeight="1" x14ac:dyDescent="0.25">
      <c r="A26" s="69"/>
      <c r="B26" s="70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</row>
    <row r="27" spans="1:61" ht="32.25" customHeight="1" x14ac:dyDescent="0.25">
      <c r="A27" s="69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</row>
    <row r="28" spans="1:61" ht="32.25" customHeight="1" x14ac:dyDescent="0.25">
      <c r="A28" s="69"/>
      <c r="B28" s="71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</row>
    <row r="29" spans="1:61" ht="32.25" customHeight="1" x14ac:dyDescent="0.25">
      <c r="A29" s="69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</row>
    <row r="30" spans="1:61" ht="32.25" customHeight="1" x14ac:dyDescent="0.25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</row>
  </sheetData>
  <conditionalFormatting sqref="A2:A24">
    <cfRule type="uniqueValues" dxfId="0" priority="25"/>
  </conditionalFormatting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42578125" style="7" customWidth="1"/>
    <col min="2" max="2" width="21.85546875" style="7" customWidth="1"/>
    <col min="3" max="3" width="29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18</v>
      </c>
    </row>
    <row r="2" spans="1:12" x14ac:dyDescent="0.25">
      <c r="A2" s="8" t="str">
        <f>TEXT(A1,"00")</f>
        <v>18</v>
      </c>
      <c r="B2" s="8" t="str">
        <f>VLOOKUP(A$2, Pós[], 3, FALSE)</f>
        <v>Como você avalia o conjunto de disciplinas do seu programa de pós-graduação ofertado em 2021? [Avaliação global das aulas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COUNTIF(Resp[18],B6)</f>
        <v>8</v>
      </c>
      <c r="D6" s="8">
        <f>ROUND($C6/C$13*100,2)</f>
        <v>34.78</v>
      </c>
      <c r="E6" s="18">
        <f t="shared" ref="E6:E12" si="0">ROUND($C6/SUM($C$6:$C$12)*100,3)</f>
        <v>34.783000000000001</v>
      </c>
      <c r="G6" s="8"/>
      <c r="H6" s="8"/>
    </row>
    <row r="7" spans="1:12" x14ac:dyDescent="0.25">
      <c r="B7" s="7" t="s">
        <v>14</v>
      </c>
      <c r="C7" s="8">
        <f>COUNTIF(Resp[18],B7)</f>
        <v>10</v>
      </c>
      <c r="D7" s="8">
        <f t="shared" ref="D7:D12" si="1">ROUND($C7/C$13*100,2)</f>
        <v>43.48</v>
      </c>
      <c r="E7" s="18">
        <f t="shared" si="0"/>
        <v>43.478000000000002</v>
      </c>
      <c r="G7" s="8"/>
      <c r="H7" s="8"/>
    </row>
    <row r="8" spans="1:12" x14ac:dyDescent="0.25">
      <c r="B8" s="7" t="s">
        <v>16</v>
      </c>
      <c r="C8" s="8">
        <f>COUNTIF(Resp[18],B8)</f>
        <v>2</v>
      </c>
      <c r="D8" s="8">
        <f t="shared" si="1"/>
        <v>8.6999999999999993</v>
      </c>
      <c r="E8" s="18">
        <f t="shared" si="0"/>
        <v>8.6959999999999997</v>
      </c>
      <c r="G8" s="8"/>
      <c r="H8" s="8"/>
    </row>
    <row r="9" spans="1:12" x14ac:dyDescent="0.25">
      <c r="B9" s="7" t="s">
        <v>17</v>
      </c>
      <c r="C9" s="8">
        <f>COUNTIF(Resp[18],B9)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COUNTIF(Resp[18],B11)</f>
        <v>1</v>
      </c>
      <c r="D11" s="8">
        <f t="shared" si="1"/>
        <v>4.3499999999999996</v>
      </c>
      <c r="E11" s="18">
        <f t="shared" si="0"/>
        <v>4.3479999999999999</v>
      </c>
      <c r="G11" s="8"/>
      <c r="H11" s="8"/>
    </row>
    <row r="12" spans="1:12" x14ac:dyDescent="0.25">
      <c r="B12" s="13" t="s">
        <v>20</v>
      </c>
      <c r="C12" s="60">
        <f>COUNTIF(Resp[18],B12)</f>
        <v>2</v>
      </c>
      <c r="D12" s="14">
        <f t="shared" si="1"/>
        <v>8.6999999999999993</v>
      </c>
      <c r="E12" s="25">
        <f t="shared" si="0"/>
        <v>8.6959999999999997</v>
      </c>
      <c r="G12" s="8"/>
      <c r="H12" s="8"/>
    </row>
    <row r="13" spans="1:12" x14ac:dyDescent="0.25">
      <c r="B13" s="7" t="s">
        <v>228</v>
      </c>
      <c r="C13" s="7">
        <f>SUM(C6:C12)</f>
        <v>23</v>
      </c>
      <c r="D13" s="16">
        <f>SUM(D6:D12)</f>
        <v>100.00999999999999</v>
      </c>
      <c r="E13" s="16">
        <f>SUM(E6:E12)</f>
        <v>100.00099999999999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18</v>
      </c>
      <c r="E19" s="36">
        <f>ROUND(D19/SUM(D19:D22)*100,3)</f>
        <v>78.260999999999996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8.6959999999999997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13.042999999999999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6.42578125" style="7" customWidth="1"/>
    <col min="3" max="3" width="33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19</v>
      </c>
    </row>
    <row r="2" spans="1:12" x14ac:dyDescent="0.25">
      <c r="A2" s="8" t="str">
        <f>TEXT(A1,"00")</f>
        <v>19</v>
      </c>
      <c r="B2" s="8" t="str">
        <f>VLOOKUP(A$2, Pós[], 3, FALSE)</f>
        <v>Como você avalia a atuação das bancas não presenciais?</v>
      </c>
    </row>
    <row r="3" spans="1:12" x14ac:dyDescent="0.25">
      <c r="A3" s="7" t="s">
        <v>223</v>
      </c>
      <c r="B3" s="8" t="str">
        <f>VLOOKUP(A$2, Pós[], 4, FALSE)</f>
        <v>Alunos Pós-Graduação Stricto Sensu: Questão 19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COUNTIF(Resp[19],B6)</f>
        <v>13</v>
      </c>
      <c r="D6" s="8">
        <f>ROUND($C6/C$13*100,2)</f>
        <v>56.52</v>
      </c>
      <c r="E6" s="18">
        <f t="shared" ref="E6:E12" si="0">ROUND($C6/SUM($C$6:$C$12)*100,3)</f>
        <v>56.521999999999998</v>
      </c>
      <c r="G6" s="8"/>
      <c r="H6" s="8"/>
    </row>
    <row r="7" spans="1:12" x14ac:dyDescent="0.25">
      <c r="B7" s="7" t="s">
        <v>14</v>
      </c>
      <c r="C7" s="8">
        <f>COUNTIF(Resp[19],B7)</f>
        <v>6</v>
      </c>
      <c r="D7" s="8">
        <f t="shared" ref="D7:D12" si="1">ROUND($C7/C$13*100,2)</f>
        <v>26.09</v>
      </c>
      <c r="E7" s="18">
        <f t="shared" si="0"/>
        <v>26.087</v>
      </c>
      <c r="G7" s="8"/>
      <c r="H7" s="8"/>
    </row>
    <row r="8" spans="1:12" x14ac:dyDescent="0.25">
      <c r="B8" s="7" t="s">
        <v>16</v>
      </c>
      <c r="C8" s="8">
        <f>COUNTIF(Resp[19],B8)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COUNTIF(Resp[19],B11)</f>
        <v>1</v>
      </c>
      <c r="D11" s="8">
        <f t="shared" si="1"/>
        <v>4.3499999999999996</v>
      </c>
      <c r="E11" s="18">
        <f t="shared" si="0"/>
        <v>4.3479999999999999</v>
      </c>
      <c r="G11" s="8"/>
      <c r="H11" s="8"/>
    </row>
    <row r="12" spans="1:12" x14ac:dyDescent="0.25">
      <c r="B12" s="13" t="s">
        <v>20</v>
      </c>
      <c r="C12" s="60">
        <f>COUNTIF(Resp[19],B12)</f>
        <v>3</v>
      </c>
      <c r="D12" s="14">
        <f t="shared" si="1"/>
        <v>13.04</v>
      </c>
      <c r="E12" s="25">
        <f t="shared" si="0"/>
        <v>13.042999999999999</v>
      </c>
      <c r="G12" s="8"/>
      <c r="H12" s="8"/>
    </row>
    <row r="13" spans="1:12" x14ac:dyDescent="0.25">
      <c r="B13" s="7" t="s">
        <v>228</v>
      </c>
      <c r="C13" s="7">
        <f>SUM(C6:C12)</f>
        <v>23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19</v>
      </c>
      <c r="E19" s="36">
        <f>ROUND(D19/SUM(D19:D22)*100,3)</f>
        <v>82.608999999999995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4</v>
      </c>
      <c r="E21" s="36">
        <f>ROUND(D21/SUM(D19:D22)*100,3)</f>
        <v>17.390999999999998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4"/>
  <sheetViews>
    <sheetView workbookViewId="0">
      <selection activeCell="C7" sqref="C7"/>
    </sheetView>
  </sheetViews>
  <sheetFormatPr defaultRowHeight="15" x14ac:dyDescent="0.25"/>
  <cols>
    <col min="1" max="1" width="12.5703125" style="7" customWidth="1"/>
    <col min="2" max="2" width="16.5703125" style="7" customWidth="1"/>
    <col min="3" max="3" width="10.42578125" style="7" bestFit="1" customWidth="1"/>
    <col min="4" max="17" width="8.5703125" style="7" customWidth="1"/>
    <col min="18" max="16384" width="9.140625" style="7"/>
  </cols>
  <sheetData>
    <row r="1" spans="1:5" x14ac:dyDescent="0.25">
      <c r="A1" s="7">
        <v>20</v>
      </c>
    </row>
    <row r="2" spans="1:5" x14ac:dyDescent="0.25">
      <c r="A2" s="8" t="str">
        <f>TEXT(A1,"00")</f>
        <v>20</v>
      </c>
      <c r="B2" s="8" t="str">
        <f>VLOOKUP(A$2, Pós[], 3, FALSE)</f>
        <v>Você cursou disciplinas transversais no ano de 2021?</v>
      </c>
    </row>
    <row r="3" spans="1:5" x14ac:dyDescent="0.25">
      <c r="A3" s="7" t="s">
        <v>223</v>
      </c>
      <c r="B3" s="8" t="str">
        <f>VLOOKUP(A$2, Pós[], 4, FALSE)</f>
        <v>Alunos Pós-Graduação Stricto Sensu: Questão 20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COUNTIF(Resp[20],B6)</f>
        <v>6</v>
      </c>
      <c r="D6" s="7">
        <f>ROUND($C6/C$8*100,2)</f>
        <v>26.09</v>
      </c>
      <c r="E6" s="18">
        <f>ROUND($C6/SUM($C$6:$C$7)*100,3)</f>
        <v>26.087</v>
      </c>
    </row>
    <row r="7" spans="1:5" x14ac:dyDescent="0.25">
      <c r="B7" s="7" t="s">
        <v>15</v>
      </c>
      <c r="C7" s="8">
        <f>COUNTIF(Resp[20],B7)</f>
        <v>17</v>
      </c>
      <c r="D7" s="7">
        <f>ROUND($C7/C$8*100,2)</f>
        <v>73.91</v>
      </c>
      <c r="E7" s="18">
        <f>ROUND($C7/SUM($C$6:$C$7)*100,3)</f>
        <v>73.912999999999997</v>
      </c>
    </row>
    <row r="8" spans="1:5" x14ac:dyDescent="0.25">
      <c r="B8" s="15" t="s">
        <v>228</v>
      </c>
      <c r="C8" s="15">
        <f>SUM(C6:C7)</f>
        <v>23</v>
      </c>
      <c r="D8" s="15">
        <f>SUM(D6:D7)</f>
        <v>100</v>
      </c>
      <c r="E8" s="19">
        <f>INT(SUM(E6:E7))</f>
        <v>100</v>
      </c>
    </row>
    <row r="11" spans="1:5" x14ac:dyDescent="0.25">
      <c r="B11" s="64"/>
    </row>
    <row r="14" spans="1:5" x14ac:dyDescent="0.25">
      <c r="B14" s="24"/>
      <c r="C14" s="24"/>
      <c r="D14" s="26"/>
      <c r="E14" s="38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57"/>
  <sheetViews>
    <sheetView workbookViewId="0">
      <selection activeCell="R1" sqref="R1"/>
    </sheetView>
  </sheetViews>
  <sheetFormatPr defaultRowHeight="15" x14ac:dyDescent="0.25"/>
  <cols>
    <col min="1" max="1" width="11.28515625" style="7" customWidth="1"/>
    <col min="2" max="2" width="27.7109375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21</v>
      </c>
    </row>
    <row r="2" spans="1:12" x14ac:dyDescent="0.25">
      <c r="A2" s="8" t="str">
        <f>TEXT(A1,"00")</f>
        <v>21</v>
      </c>
      <c r="B2" s="8" t="str">
        <f>VLOOKUP(A$2, Pós[], 3, FALSE)</f>
        <v>Como você avalia o conjunto de disciplinas transversais da pós-graduação?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21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COUNTIF(Resp[21],B6)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COUNTIF(Resp[21],B7)</f>
        <v>4</v>
      </c>
      <c r="D7" s="8">
        <f t="shared" ref="D7:D12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COUNTIF(Resp[21],B8)</f>
        <v>1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COUNTIF(Resp[21],B9)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COUNTIF(Resp[21],B11)</f>
        <v>1</v>
      </c>
      <c r="D11" s="8">
        <f t="shared" si="1"/>
        <v>16.670000000000002</v>
      </c>
      <c r="E11" s="18">
        <f t="shared" si="0"/>
        <v>16.667000000000002</v>
      </c>
      <c r="G11" s="8"/>
      <c r="H11" s="8"/>
    </row>
    <row r="12" spans="1:12" x14ac:dyDescent="0.25">
      <c r="B12" s="13" t="s">
        <v>20</v>
      </c>
      <c r="C12" s="60">
        <f>COUNTIF(Resp[21],B12)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16.667000000000002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6.57031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22</v>
      </c>
    </row>
    <row r="2" spans="1:12" x14ac:dyDescent="0.25">
      <c r="A2" s="8" t="str">
        <f>TEXT(A1,"00")</f>
        <v>22</v>
      </c>
      <c r="B2" s="8" t="str">
        <f>VLOOKUP(A$2, Pós[], 3, FALSE)</f>
        <v>Como você avalia o conjunto de disciplinas transversais da pós-graduação? [Pertinência com a área do meu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22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COUNTIF(Resp[22],B6)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COUNTIF(Resp[22],B7)</f>
        <v>4</v>
      </c>
      <c r="D7" s="8">
        <f t="shared" ref="D7:D12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COUNTIF(Resp[22],B8)</f>
        <v>2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COUNTIF(Resp[22],B9)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57"/>
  <sheetViews>
    <sheetView workbookViewId="0">
      <selection activeCell="W39" sqref="W39"/>
    </sheetView>
  </sheetViews>
  <sheetFormatPr defaultRowHeight="15" x14ac:dyDescent="0.25"/>
  <cols>
    <col min="1" max="1" width="12.140625" style="7" customWidth="1"/>
    <col min="2" max="2" width="24.5703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23</v>
      </c>
    </row>
    <row r="2" spans="1:12" x14ac:dyDescent="0.25">
      <c r="A2" s="8" t="str">
        <f>TEXT(A1,"00")</f>
        <v>23</v>
      </c>
      <c r="B2" s="8" t="str">
        <f>VLOOKUP(A$2, Pós[], 3, FALSE)</f>
        <v>Como você avalia o conjunto de disciplinas transversais da pós-graduação?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COUNTIF(Resp[23],B6)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COUNTIF(Resp[23],B7)</f>
        <v>5</v>
      </c>
      <c r="D7" s="8">
        <f t="shared" ref="D7:D12" si="1">ROUND($C7/C$13*100,2)</f>
        <v>83.33</v>
      </c>
      <c r="E7" s="18">
        <f t="shared" si="0"/>
        <v>83.332999999999998</v>
      </c>
      <c r="G7" s="8"/>
      <c r="H7" s="8"/>
    </row>
    <row r="8" spans="1:12" x14ac:dyDescent="0.25">
      <c r="B8" s="7" t="s">
        <v>16</v>
      </c>
      <c r="C8" s="8">
        <f>COUNTIF(Resp[23],B8)</f>
        <v>1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COUNTIF(Resp[23],B9)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57"/>
  <sheetViews>
    <sheetView workbookViewId="0">
      <selection activeCell="C11" sqref="C11"/>
    </sheetView>
  </sheetViews>
  <sheetFormatPr defaultRowHeight="15" x14ac:dyDescent="0.25"/>
  <cols>
    <col min="1" max="1" width="15" style="7" customWidth="1"/>
    <col min="2" max="2" width="17" style="7" customWidth="1"/>
    <col min="3" max="3" width="28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24</v>
      </c>
    </row>
    <row r="2" spans="1:12" x14ac:dyDescent="0.25">
      <c r="A2" s="8" t="str">
        <f>TEXT(A1,"00")</f>
        <v>24</v>
      </c>
      <c r="B2" s="8" t="str">
        <f>VLOOKUP(A$2, Pós[], 3, FALSE)</f>
        <v>Como você avalia o conjunto de disciplinas transversais da pós-graduação?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COUNTIF(Resp[24],B6)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COUNTIF(Resp[24],B7)</f>
        <v>6</v>
      </c>
      <c r="D7" s="8">
        <f t="shared" ref="D7:D12" si="1">ROUND($C7/C$13*100,2)</f>
        <v>100</v>
      </c>
      <c r="E7" s="18">
        <f t="shared" si="0"/>
        <v>100</v>
      </c>
      <c r="G7" s="8"/>
      <c r="H7" s="8"/>
    </row>
    <row r="8" spans="1:12" x14ac:dyDescent="0.25">
      <c r="B8" s="7" t="s">
        <v>16</v>
      </c>
      <c r="C8" s="8">
        <f>COUNTIF(Resp[24],B8)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42578125" style="7" customWidth="1"/>
    <col min="2" max="2" width="17" style="7" customWidth="1"/>
    <col min="3" max="3" width="34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25</v>
      </c>
    </row>
    <row r="2" spans="1:12" x14ac:dyDescent="0.25">
      <c r="A2" s="8" t="str">
        <f>TEXT(A1,"00")</f>
        <v>25</v>
      </c>
      <c r="B2" s="8" t="str">
        <f>VLOOKUP(A$2, Pós[], 3, FALSE)</f>
        <v>Como você avalia o conjunto de disciplinas transversais da pós-graduação?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25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COUNTIF(Resp[25],B6)</f>
        <v>1</v>
      </c>
      <c r="D6" s="8">
        <f>ROUND($C6/C$13*100,2)</f>
        <v>16.670000000000002</v>
      </c>
      <c r="E6" s="18">
        <f t="shared" ref="E6:E12" si="0">ROUND($C6/SUM($C$6:$C$12)*100,3)</f>
        <v>16.667000000000002</v>
      </c>
      <c r="G6" s="8"/>
      <c r="H6" s="8"/>
    </row>
    <row r="7" spans="1:12" x14ac:dyDescent="0.25">
      <c r="B7" s="7" t="s">
        <v>14</v>
      </c>
      <c r="C7" s="8">
        <f>COUNTIF(Resp[25],B7)</f>
        <v>5</v>
      </c>
      <c r="D7" s="8">
        <f t="shared" ref="D7:D12" si="1">ROUND($C7/C$13*100,2)</f>
        <v>83.33</v>
      </c>
      <c r="E7" s="18">
        <f t="shared" si="0"/>
        <v>83.332999999999998</v>
      </c>
      <c r="G7" s="8"/>
      <c r="H7" s="8"/>
    </row>
    <row r="8" spans="1:12" x14ac:dyDescent="0.25">
      <c r="B8" s="7" t="s">
        <v>16</v>
      </c>
      <c r="C8" s="8">
        <f>COUNTIF(Resp[25],B8)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22.855468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26</v>
      </c>
    </row>
    <row r="2" spans="1:12" x14ac:dyDescent="0.25">
      <c r="A2" s="8" t="str">
        <f>TEXT(A1,"00")</f>
        <v>26</v>
      </c>
      <c r="B2" s="8" t="str">
        <f>VLOOKUP(A$2, Pós[], 3, FALSE)</f>
        <v>Como você avalia o conjunto de disciplinas transversais da pós-graduação?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26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COUNTIF(Resp[26],B6)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COUNTIF(Resp[26],B7)</f>
        <v>4</v>
      </c>
      <c r="D7" s="8">
        <f t="shared" ref="D7:D12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COUNTIF(Resp[26],B8)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COUNTIF(Resp[26],B9)</f>
        <v>1</v>
      </c>
      <c r="D9" s="8">
        <f t="shared" si="1"/>
        <v>16.670000000000002</v>
      </c>
      <c r="E9" s="18">
        <f t="shared" si="0"/>
        <v>16.667000000000002</v>
      </c>
      <c r="G9" s="8"/>
      <c r="H9" s="8"/>
    </row>
    <row r="10" spans="1:12" x14ac:dyDescent="0.25">
      <c r="B10" s="7" t="s">
        <v>18</v>
      </c>
      <c r="C10" s="8">
        <f>COUNTIF(Resp[26],B10)</f>
        <v>1</v>
      </c>
      <c r="D10" s="8">
        <f t="shared" si="1"/>
        <v>16.670000000000002</v>
      </c>
      <c r="E10" s="18">
        <f t="shared" si="0"/>
        <v>16.667000000000002</v>
      </c>
      <c r="G10" s="8"/>
      <c r="H10" s="8"/>
    </row>
    <row r="11" spans="1:12" x14ac:dyDescent="0.25">
      <c r="B11" s="7" t="s">
        <v>19</v>
      </c>
      <c r="C11" s="8">
        <f>COUNTIF(Resp[26],B11)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33.332999999999998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27</v>
      </c>
    </row>
    <row r="2" spans="1:12" x14ac:dyDescent="0.25">
      <c r="A2" s="8" t="str">
        <f>TEXT(A1,"00")</f>
        <v>27</v>
      </c>
      <c r="B2" s="8" t="str">
        <f>VLOOKUP(A$2, Pós[], 3, FALSE)</f>
        <v>Como você avalia o conjunto de disciplinas transversais da pós-graduação?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27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COUNTIF(Resp[27],B6)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COUNTIF(Resp[27],B7)</f>
        <v>3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COUNTIF(Resp[27],B8)</f>
        <v>1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COUNTIF(Resp[27],B9)</f>
        <v>1</v>
      </c>
      <c r="D9" s="8">
        <f t="shared" si="1"/>
        <v>16.670000000000002</v>
      </c>
      <c r="E9" s="18">
        <f t="shared" si="0"/>
        <v>16.667000000000002</v>
      </c>
      <c r="G9" s="8"/>
      <c r="H9" s="8"/>
    </row>
    <row r="10" spans="1:12" x14ac:dyDescent="0.25">
      <c r="B10" s="7" t="s">
        <v>18</v>
      </c>
      <c r="C10" s="8">
        <f>COUNTIF(Resp[27],B10)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COUNTIF(Resp[27],B11)</f>
        <v>1</v>
      </c>
      <c r="D11" s="8">
        <f t="shared" si="1"/>
        <v>16.670000000000002</v>
      </c>
      <c r="E11" s="18">
        <f t="shared" si="0"/>
        <v>16.667000000000002</v>
      </c>
      <c r="G11" s="8"/>
      <c r="H11" s="8"/>
    </row>
    <row r="12" spans="1:12" x14ac:dyDescent="0.25">
      <c r="B12" s="13" t="s">
        <v>20</v>
      </c>
      <c r="C12" s="60">
        <f>COUNTIF(Resp[27],B12)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16.667000000000002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16.667000000000002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2"/>
  <sheetViews>
    <sheetView topLeftCell="A39" workbookViewId="0">
      <selection activeCell="C55" sqref="C55"/>
    </sheetView>
  </sheetViews>
  <sheetFormatPr defaultRowHeight="15" x14ac:dyDescent="0.25"/>
  <cols>
    <col min="1" max="1" width="19.42578125" bestFit="1" customWidth="1"/>
    <col min="2" max="2" width="16" bestFit="1" customWidth="1"/>
    <col min="3" max="3" width="172.140625" bestFit="1" customWidth="1"/>
    <col min="4" max="4" width="44.5703125" bestFit="1" customWidth="1"/>
    <col min="5" max="5" width="14.5703125" bestFit="1" customWidth="1"/>
  </cols>
  <sheetData>
    <row r="1" spans="1:5" x14ac:dyDescent="0.25">
      <c r="A1" s="2" t="s">
        <v>91</v>
      </c>
      <c r="B1" s="3" t="s">
        <v>92</v>
      </c>
      <c r="C1" s="4" t="s">
        <v>93</v>
      </c>
      <c r="D1" s="4" t="s">
        <v>94</v>
      </c>
      <c r="E1" s="5" t="s">
        <v>95</v>
      </c>
    </row>
    <row r="2" spans="1:5" x14ac:dyDescent="0.25">
      <c r="A2" s="6" t="s">
        <v>31</v>
      </c>
      <c r="B2" t="s">
        <v>96</v>
      </c>
      <c r="C2" s="1" t="s">
        <v>97</v>
      </c>
      <c r="D2" s="11" t="s">
        <v>98</v>
      </c>
    </row>
    <row r="3" spans="1:5" x14ac:dyDescent="0.25">
      <c r="A3" s="6" t="s">
        <v>32</v>
      </c>
      <c r="B3" t="s">
        <v>96</v>
      </c>
      <c r="C3" s="1" t="s">
        <v>99</v>
      </c>
      <c r="D3" s="11" t="s">
        <v>100</v>
      </c>
    </row>
    <row r="4" spans="1:5" x14ac:dyDescent="0.25">
      <c r="A4" s="6" t="s">
        <v>33</v>
      </c>
      <c r="B4" t="s">
        <v>96</v>
      </c>
      <c r="C4" s="1" t="s">
        <v>101</v>
      </c>
      <c r="D4" s="11" t="s">
        <v>102</v>
      </c>
    </row>
    <row r="5" spans="1:5" x14ac:dyDescent="0.25">
      <c r="A5" s="6" t="s">
        <v>34</v>
      </c>
      <c r="B5" t="s">
        <v>96</v>
      </c>
      <c r="C5" s="1" t="s">
        <v>103</v>
      </c>
      <c r="D5" s="11" t="s">
        <v>104</v>
      </c>
    </row>
    <row r="6" spans="1:5" x14ac:dyDescent="0.25">
      <c r="A6" s="6" t="s">
        <v>105</v>
      </c>
      <c r="B6" t="s">
        <v>106</v>
      </c>
      <c r="C6" s="1" t="s">
        <v>107</v>
      </c>
      <c r="D6" s="11" t="s">
        <v>108</v>
      </c>
    </row>
    <row r="7" spans="1:5" x14ac:dyDescent="0.25">
      <c r="A7" s="6" t="s">
        <v>35</v>
      </c>
      <c r="B7" t="s">
        <v>109</v>
      </c>
      <c r="C7" s="1" t="s">
        <v>110</v>
      </c>
      <c r="D7" s="11" t="s">
        <v>111</v>
      </c>
    </row>
    <row r="8" spans="1:5" x14ac:dyDescent="0.25">
      <c r="A8" s="6" t="s">
        <v>36</v>
      </c>
      <c r="B8" t="s">
        <v>109</v>
      </c>
      <c r="C8" s="1" t="s">
        <v>112</v>
      </c>
      <c r="D8" s="11" t="s">
        <v>113</v>
      </c>
    </row>
    <row r="9" spans="1:5" x14ac:dyDescent="0.25">
      <c r="A9" s="6" t="s">
        <v>37</v>
      </c>
      <c r="B9" t="s">
        <v>109</v>
      </c>
      <c r="C9" s="1" t="s">
        <v>114</v>
      </c>
      <c r="D9" s="11" t="s">
        <v>115</v>
      </c>
    </row>
    <row r="10" spans="1:5" x14ac:dyDescent="0.25">
      <c r="A10" s="6" t="s">
        <v>38</v>
      </c>
      <c r="B10" t="s">
        <v>109</v>
      </c>
      <c r="C10" s="1" t="s">
        <v>116</v>
      </c>
      <c r="D10" s="11" t="s">
        <v>117</v>
      </c>
    </row>
    <row r="11" spans="1:5" x14ac:dyDescent="0.25">
      <c r="A11" s="6" t="s">
        <v>39</v>
      </c>
      <c r="B11" t="s">
        <v>109</v>
      </c>
      <c r="C11" s="1" t="s">
        <v>118</v>
      </c>
      <c r="D11" s="11" t="s">
        <v>119</v>
      </c>
    </row>
    <row r="12" spans="1:5" x14ac:dyDescent="0.25">
      <c r="A12" s="6" t="s">
        <v>40</v>
      </c>
      <c r="B12" t="s">
        <v>109</v>
      </c>
      <c r="C12" s="1" t="s">
        <v>120</v>
      </c>
      <c r="D12" s="11" t="s">
        <v>121</v>
      </c>
    </row>
    <row r="13" spans="1:5" x14ac:dyDescent="0.25">
      <c r="A13" s="6" t="s">
        <v>41</v>
      </c>
      <c r="B13" t="s">
        <v>109</v>
      </c>
      <c r="C13" s="1" t="s">
        <v>122</v>
      </c>
      <c r="D13" s="11" t="s">
        <v>123</v>
      </c>
    </row>
    <row r="14" spans="1:5" x14ac:dyDescent="0.25">
      <c r="A14" s="6" t="s">
        <v>42</v>
      </c>
      <c r="B14" t="s">
        <v>109</v>
      </c>
      <c r="C14" s="1" t="s">
        <v>124</v>
      </c>
      <c r="D14" s="11" t="s">
        <v>125</v>
      </c>
    </row>
    <row r="15" spans="1:5" x14ac:dyDescent="0.25">
      <c r="A15" s="6" t="s">
        <v>43</v>
      </c>
      <c r="B15" t="s">
        <v>109</v>
      </c>
      <c r="C15" s="1" t="s">
        <v>126</v>
      </c>
      <c r="D15" s="11" t="s">
        <v>127</v>
      </c>
    </row>
    <row r="16" spans="1:5" x14ac:dyDescent="0.25">
      <c r="A16" s="6" t="s">
        <v>44</v>
      </c>
      <c r="B16" t="s">
        <v>109</v>
      </c>
      <c r="C16" s="1" t="s">
        <v>128</v>
      </c>
      <c r="D16" s="11" t="s">
        <v>129</v>
      </c>
    </row>
    <row r="17" spans="1:4" x14ac:dyDescent="0.25">
      <c r="A17" s="6" t="s">
        <v>45</v>
      </c>
      <c r="B17" t="s">
        <v>109</v>
      </c>
      <c r="C17" s="1" t="s">
        <v>130</v>
      </c>
      <c r="D17" s="11" t="s">
        <v>131</v>
      </c>
    </row>
    <row r="18" spans="1:4" x14ac:dyDescent="0.25">
      <c r="A18" s="6" t="s">
        <v>46</v>
      </c>
      <c r="B18" t="s">
        <v>109</v>
      </c>
      <c r="C18" s="1" t="s">
        <v>132</v>
      </c>
      <c r="D18" s="11" t="s">
        <v>133</v>
      </c>
    </row>
    <row r="19" spans="1:4" x14ac:dyDescent="0.25">
      <c r="A19" s="6" t="s">
        <v>47</v>
      </c>
      <c r="B19" t="s">
        <v>109</v>
      </c>
      <c r="C19" s="1" t="s">
        <v>134</v>
      </c>
      <c r="D19" s="11" t="s">
        <v>135</v>
      </c>
    </row>
    <row r="20" spans="1:4" x14ac:dyDescent="0.25">
      <c r="A20" s="6" t="s">
        <v>48</v>
      </c>
      <c r="B20" t="s">
        <v>109</v>
      </c>
      <c r="C20" s="1" t="s">
        <v>136</v>
      </c>
      <c r="D20" s="11" t="s">
        <v>137</v>
      </c>
    </row>
    <row r="21" spans="1:4" x14ac:dyDescent="0.25">
      <c r="A21" s="6" t="s">
        <v>49</v>
      </c>
      <c r="B21" t="s">
        <v>96</v>
      </c>
      <c r="C21" s="1" t="s">
        <v>138</v>
      </c>
      <c r="D21" s="11" t="s">
        <v>139</v>
      </c>
    </row>
    <row r="22" spans="1:4" x14ac:dyDescent="0.25">
      <c r="A22" s="6" t="s">
        <v>50</v>
      </c>
      <c r="B22" t="s">
        <v>109</v>
      </c>
      <c r="C22" s="1" t="s">
        <v>140</v>
      </c>
      <c r="D22" s="11" t="s">
        <v>141</v>
      </c>
    </row>
    <row r="23" spans="1:4" x14ac:dyDescent="0.25">
      <c r="A23" s="6" t="s">
        <v>51</v>
      </c>
      <c r="B23" t="s">
        <v>109</v>
      </c>
      <c r="C23" s="1" t="s">
        <v>142</v>
      </c>
      <c r="D23" s="11" t="s">
        <v>143</v>
      </c>
    </row>
    <row r="24" spans="1:4" x14ac:dyDescent="0.25">
      <c r="A24" s="6" t="s">
        <v>52</v>
      </c>
      <c r="B24" t="s">
        <v>109</v>
      </c>
      <c r="C24" s="1" t="s">
        <v>144</v>
      </c>
      <c r="D24" s="11" t="s">
        <v>145</v>
      </c>
    </row>
    <row r="25" spans="1:4" x14ac:dyDescent="0.25">
      <c r="A25" s="6" t="s">
        <v>53</v>
      </c>
      <c r="B25" t="s">
        <v>109</v>
      </c>
      <c r="C25" s="1" t="s">
        <v>146</v>
      </c>
      <c r="D25" s="11" t="s">
        <v>147</v>
      </c>
    </row>
    <row r="26" spans="1:4" x14ac:dyDescent="0.25">
      <c r="A26" s="6" t="s">
        <v>54</v>
      </c>
      <c r="B26" t="s">
        <v>109</v>
      </c>
      <c r="C26" s="1" t="s">
        <v>148</v>
      </c>
      <c r="D26" s="11" t="s">
        <v>149</v>
      </c>
    </row>
    <row r="27" spans="1:4" x14ac:dyDescent="0.25">
      <c r="A27" s="6" t="s">
        <v>55</v>
      </c>
      <c r="B27" t="s">
        <v>109</v>
      </c>
      <c r="C27" s="1" t="s">
        <v>150</v>
      </c>
      <c r="D27" s="11" t="s">
        <v>151</v>
      </c>
    </row>
    <row r="28" spans="1:4" x14ac:dyDescent="0.25">
      <c r="A28" s="6" t="s">
        <v>56</v>
      </c>
      <c r="B28" t="s">
        <v>109</v>
      </c>
      <c r="C28" s="1" t="s">
        <v>152</v>
      </c>
      <c r="D28" s="11" t="s">
        <v>153</v>
      </c>
    </row>
    <row r="29" spans="1:4" x14ac:dyDescent="0.25">
      <c r="A29" s="6" t="s">
        <v>57</v>
      </c>
      <c r="B29" t="s">
        <v>109</v>
      </c>
      <c r="C29" s="1" t="s">
        <v>154</v>
      </c>
      <c r="D29" s="11" t="s">
        <v>155</v>
      </c>
    </row>
    <row r="30" spans="1:4" x14ac:dyDescent="0.25">
      <c r="A30" s="6" t="s">
        <v>58</v>
      </c>
      <c r="B30" t="s">
        <v>109</v>
      </c>
      <c r="C30" s="1" t="s">
        <v>156</v>
      </c>
      <c r="D30" s="11" t="s">
        <v>157</v>
      </c>
    </row>
    <row r="31" spans="1:4" x14ac:dyDescent="0.25">
      <c r="A31" s="6" t="s">
        <v>59</v>
      </c>
      <c r="B31" t="s">
        <v>109</v>
      </c>
      <c r="C31" s="1" t="s">
        <v>158</v>
      </c>
      <c r="D31" s="11" t="s">
        <v>159</v>
      </c>
    </row>
    <row r="32" spans="1:4" x14ac:dyDescent="0.25">
      <c r="A32" s="6" t="s">
        <v>60</v>
      </c>
      <c r="B32" t="s">
        <v>109</v>
      </c>
      <c r="C32" s="1" t="s">
        <v>160</v>
      </c>
      <c r="D32" s="11" t="s">
        <v>161</v>
      </c>
    </row>
    <row r="33" spans="1:4" x14ac:dyDescent="0.25">
      <c r="A33" s="6" t="s">
        <v>61</v>
      </c>
      <c r="B33" t="s">
        <v>109</v>
      </c>
      <c r="C33" s="1" t="s">
        <v>162</v>
      </c>
      <c r="D33" s="11" t="s">
        <v>163</v>
      </c>
    </row>
    <row r="34" spans="1:4" x14ac:dyDescent="0.25">
      <c r="A34" s="6" t="s">
        <v>62</v>
      </c>
      <c r="B34" t="s">
        <v>109</v>
      </c>
      <c r="C34" s="1" t="s">
        <v>164</v>
      </c>
      <c r="D34" s="11" t="s">
        <v>165</v>
      </c>
    </row>
    <row r="35" spans="1:4" x14ac:dyDescent="0.25">
      <c r="A35" s="6" t="s">
        <v>63</v>
      </c>
      <c r="B35" t="s">
        <v>109</v>
      </c>
      <c r="C35" s="1" t="s">
        <v>166</v>
      </c>
      <c r="D35" s="11" t="s">
        <v>167</v>
      </c>
    </row>
    <row r="36" spans="1:4" x14ac:dyDescent="0.25">
      <c r="A36" s="6" t="s">
        <v>64</v>
      </c>
      <c r="B36" t="s">
        <v>109</v>
      </c>
      <c r="C36" s="1" t="s">
        <v>168</v>
      </c>
      <c r="D36" s="11" t="s">
        <v>169</v>
      </c>
    </row>
    <row r="37" spans="1:4" x14ac:dyDescent="0.25">
      <c r="A37" s="6" t="s">
        <v>65</v>
      </c>
      <c r="B37" t="s">
        <v>109</v>
      </c>
      <c r="C37" s="1" t="s">
        <v>170</v>
      </c>
      <c r="D37" s="11" t="s">
        <v>171</v>
      </c>
    </row>
    <row r="38" spans="1:4" x14ac:dyDescent="0.25">
      <c r="A38" s="6" t="s">
        <v>66</v>
      </c>
      <c r="B38" t="s">
        <v>109</v>
      </c>
      <c r="C38" s="1" t="s">
        <v>172</v>
      </c>
      <c r="D38" s="11" t="s">
        <v>173</v>
      </c>
    </row>
    <row r="39" spans="1:4" x14ac:dyDescent="0.25">
      <c r="A39" s="6" t="s">
        <v>67</v>
      </c>
      <c r="B39" t="s">
        <v>109</v>
      </c>
      <c r="C39" s="1" t="s">
        <v>174</v>
      </c>
      <c r="D39" s="11" t="s">
        <v>175</v>
      </c>
    </row>
    <row r="40" spans="1:4" x14ac:dyDescent="0.25">
      <c r="A40" s="6" t="s">
        <v>68</v>
      </c>
      <c r="B40" t="s">
        <v>109</v>
      </c>
      <c r="C40" s="1" t="s">
        <v>176</v>
      </c>
      <c r="D40" s="11" t="s">
        <v>177</v>
      </c>
    </row>
    <row r="41" spans="1:4" x14ac:dyDescent="0.25">
      <c r="A41" s="6" t="s">
        <v>69</v>
      </c>
      <c r="B41" t="s">
        <v>109</v>
      </c>
      <c r="C41" s="1" t="s">
        <v>178</v>
      </c>
      <c r="D41" s="11" t="s">
        <v>179</v>
      </c>
    </row>
    <row r="42" spans="1:4" x14ac:dyDescent="0.25">
      <c r="A42" s="6" t="s">
        <v>70</v>
      </c>
      <c r="B42" t="s">
        <v>109</v>
      </c>
      <c r="C42" s="1" t="s">
        <v>180</v>
      </c>
      <c r="D42" s="11" t="s">
        <v>181</v>
      </c>
    </row>
    <row r="43" spans="1:4" x14ac:dyDescent="0.25">
      <c r="A43" s="6" t="s">
        <v>71</v>
      </c>
      <c r="B43" t="s">
        <v>109</v>
      </c>
      <c r="C43" s="1" t="s">
        <v>182</v>
      </c>
      <c r="D43" s="11" t="s">
        <v>183</v>
      </c>
    </row>
    <row r="44" spans="1:4" x14ac:dyDescent="0.25">
      <c r="A44" s="6" t="s">
        <v>72</v>
      </c>
      <c r="B44" t="s">
        <v>109</v>
      </c>
      <c r="C44" s="1" t="s">
        <v>184</v>
      </c>
      <c r="D44" s="11" t="s">
        <v>185</v>
      </c>
    </row>
    <row r="45" spans="1:4" x14ac:dyDescent="0.25">
      <c r="A45" s="6" t="s">
        <v>73</v>
      </c>
      <c r="B45" t="s">
        <v>109</v>
      </c>
      <c r="C45" s="1" t="s">
        <v>186</v>
      </c>
      <c r="D45" s="11" t="s">
        <v>187</v>
      </c>
    </row>
    <row r="46" spans="1:4" x14ac:dyDescent="0.25">
      <c r="A46" s="6" t="s">
        <v>74</v>
      </c>
      <c r="B46" t="s">
        <v>109</v>
      </c>
      <c r="C46" s="1" t="s">
        <v>188</v>
      </c>
      <c r="D46" s="11" t="s">
        <v>189</v>
      </c>
    </row>
    <row r="47" spans="1:4" x14ac:dyDescent="0.25">
      <c r="A47" s="6" t="s">
        <v>75</v>
      </c>
      <c r="B47" t="s">
        <v>109</v>
      </c>
      <c r="C47" s="1" t="s">
        <v>190</v>
      </c>
      <c r="D47" s="11" t="s">
        <v>191</v>
      </c>
    </row>
    <row r="48" spans="1:4" x14ac:dyDescent="0.25">
      <c r="A48" s="6" t="s">
        <v>76</v>
      </c>
      <c r="B48" t="s">
        <v>109</v>
      </c>
      <c r="C48" s="1" t="s">
        <v>192</v>
      </c>
      <c r="D48" s="11" t="s">
        <v>193</v>
      </c>
    </row>
    <row r="49" spans="1:4" x14ac:dyDescent="0.25">
      <c r="A49" s="6" t="s">
        <v>77</v>
      </c>
      <c r="B49" t="s">
        <v>109</v>
      </c>
      <c r="C49" s="1" t="s">
        <v>194</v>
      </c>
      <c r="D49" s="11" t="s">
        <v>195</v>
      </c>
    </row>
    <row r="50" spans="1:4" x14ac:dyDescent="0.25">
      <c r="A50" s="6" t="s">
        <v>78</v>
      </c>
      <c r="B50" t="s">
        <v>109</v>
      </c>
      <c r="C50" s="1" t="s">
        <v>196</v>
      </c>
      <c r="D50" s="11" t="s">
        <v>197</v>
      </c>
    </row>
    <row r="51" spans="1:4" x14ac:dyDescent="0.25">
      <c r="A51" s="6" t="s">
        <v>79</v>
      </c>
      <c r="B51" t="s">
        <v>109</v>
      </c>
      <c r="C51" s="1" t="s">
        <v>198</v>
      </c>
      <c r="D51" s="11" t="s">
        <v>199</v>
      </c>
    </row>
    <row r="52" spans="1:4" x14ac:dyDescent="0.25">
      <c r="A52" s="6" t="s">
        <v>80</v>
      </c>
      <c r="B52" t="s">
        <v>109</v>
      </c>
      <c r="C52" s="1" t="s">
        <v>200</v>
      </c>
      <c r="D52" s="11" t="s">
        <v>201</v>
      </c>
    </row>
    <row r="53" spans="1:4" x14ac:dyDescent="0.25">
      <c r="A53" s="6" t="s">
        <v>81</v>
      </c>
      <c r="B53" t="s">
        <v>109</v>
      </c>
      <c r="C53" s="1" t="s">
        <v>202</v>
      </c>
      <c r="D53" s="11" t="s">
        <v>203</v>
      </c>
    </row>
    <row r="54" spans="1:4" x14ac:dyDescent="0.25">
      <c r="A54" s="6" t="s">
        <v>204</v>
      </c>
      <c r="B54" t="s">
        <v>106</v>
      </c>
      <c r="C54" s="1" t="s">
        <v>205</v>
      </c>
      <c r="D54" s="11" t="s">
        <v>108</v>
      </c>
    </row>
    <row r="55" spans="1:4" x14ac:dyDescent="0.25">
      <c r="A55" s="6" t="s">
        <v>82</v>
      </c>
      <c r="B55" t="s">
        <v>206</v>
      </c>
      <c r="C55" s="1" t="s">
        <v>207</v>
      </c>
      <c r="D55" s="11" t="s">
        <v>208</v>
      </c>
    </row>
    <row r="56" spans="1:4" x14ac:dyDescent="0.25">
      <c r="A56" s="6" t="s">
        <v>83</v>
      </c>
      <c r="B56" t="s">
        <v>206</v>
      </c>
      <c r="C56" s="1" t="s">
        <v>209</v>
      </c>
      <c r="D56" s="11" t="s">
        <v>210</v>
      </c>
    </row>
    <row r="57" spans="1:4" x14ac:dyDescent="0.25">
      <c r="A57" s="6" t="s">
        <v>84</v>
      </c>
      <c r="B57" t="s">
        <v>206</v>
      </c>
      <c r="C57" s="1" t="s">
        <v>211</v>
      </c>
      <c r="D57" s="11" t="s">
        <v>212</v>
      </c>
    </row>
    <row r="58" spans="1:4" x14ac:dyDescent="0.25">
      <c r="A58" s="6" t="s">
        <v>85</v>
      </c>
      <c r="B58" t="s">
        <v>206</v>
      </c>
      <c r="C58" s="1" t="s">
        <v>213</v>
      </c>
      <c r="D58" s="11" t="s">
        <v>214</v>
      </c>
    </row>
    <row r="59" spans="1:4" x14ac:dyDescent="0.25">
      <c r="A59" s="6" t="s">
        <v>86</v>
      </c>
      <c r="B59" t="s">
        <v>206</v>
      </c>
      <c r="C59" s="1" t="s">
        <v>215</v>
      </c>
      <c r="D59" s="11" t="s">
        <v>216</v>
      </c>
    </row>
    <row r="60" spans="1:4" x14ac:dyDescent="0.25">
      <c r="A60" s="6" t="s">
        <v>87</v>
      </c>
      <c r="B60" t="s">
        <v>206</v>
      </c>
      <c r="C60" s="1" t="s">
        <v>217</v>
      </c>
      <c r="D60" s="11" t="s">
        <v>218</v>
      </c>
    </row>
    <row r="61" spans="1:4" x14ac:dyDescent="0.25">
      <c r="A61" s="6" t="s">
        <v>88</v>
      </c>
      <c r="B61" t="s">
        <v>206</v>
      </c>
      <c r="C61" s="1" t="s">
        <v>219</v>
      </c>
      <c r="D61" s="11" t="s">
        <v>220</v>
      </c>
    </row>
    <row r="62" spans="1:4" x14ac:dyDescent="0.25">
      <c r="A62" s="6" t="s">
        <v>221</v>
      </c>
      <c r="B62" t="s">
        <v>106</v>
      </c>
      <c r="C62" s="1" t="s">
        <v>222</v>
      </c>
      <c r="D62" s="11" t="s">
        <v>108</v>
      </c>
    </row>
  </sheetData>
  <pageMargins left="0.7" right="0.7" top="0.75" bottom="0.75" header="0.3" footer="0.3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140625" style="7" customWidth="1"/>
    <col min="2" max="2" width="21.42578125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28</v>
      </c>
    </row>
    <row r="2" spans="1:12" x14ac:dyDescent="0.25">
      <c r="A2" s="8" t="str">
        <f>TEXT(A1,"00")</f>
        <v>28</v>
      </c>
      <c r="B2" s="8" t="str">
        <f>VLOOKUP(A$2, Pós[], 3, FALSE)</f>
        <v>Como você avalia o conjunto de disciplinas transversais da pós-graduação? [Disciplinas transversais (oferta, acompanhamento, etc.)]</v>
      </c>
    </row>
    <row r="3" spans="1:12" x14ac:dyDescent="0.25">
      <c r="A3" s="7" t="s">
        <v>223</v>
      </c>
      <c r="B3" s="8" t="str">
        <f>VLOOKUP(A$2, Pós[], 4, FALSE)</f>
        <v>Alunos Pós-Graduação Stricto Sensu: Questão 28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COUNTIF(Resp[28],B6)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COUNTIF(Resp[28],B7)</f>
        <v>3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COUNTIF(Resp[28],B8)</f>
        <v>1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COUNTIF(Resp[28],B9)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COUNTIF(Resp[28],B11)</f>
        <v>2</v>
      </c>
      <c r="D11" s="8">
        <f t="shared" si="1"/>
        <v>33.33</v>
      </c>
      <c r="E11" s="18">
        <f t="shared" si="0"/>
        <v>33.332999999999998</v>
      </c>
      <c r="G11" s="8"/>
      <c r="H11" s="8"/>
    </row>
    <row r="12" spans="1:12" x14ac:dyDescent="0.25">
      <c r="B12" s="13" t="s">
        <v>20</v>
      </c>
      <c r="C12" s="60">
        <f>COUNTIF(Resp[28],B12)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 t="s">
        <v>237</v>
      </c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33.332999999999998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28515625" style="7" customWidth="1"/>
    <col min="2" max="2" width="17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29</v>
      </c>
    </row>
    <row r="2" spans="1:12" x14ac:dyDescent="0.25">
      <c r="A2" s="8" t="str">
        <f>TEXT(A1,"00")</f>
        <v>29</v>
      </c>
      <c r="B2" s="8" t="str">
        <f>VLOOKUP(A$2, Pós[], 3, FALSE)</f>
        <v>Como você avalia o conjunto de disciplinas transversais da pós-graduação?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29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COUNTIF(Resp[29],B6)</f>
        <v>1</v>
      </c>
      <c r="D6" s="8">
        <f>ROUND($C6/C$13*100,2)</f>
        <v>16.670000000000002</v>
      </c>
      <c r="E6" s="18">
        <f t="shared" ref="E6:E12" si="0">ROUND($C6/SUM($C$6:$C$12)*100,3)</f>
        <v>16.667000000000002</v>
      </c>
      <c r="G6" s="8"/>
      <c r="H6" s="8"/>
    </row>
    <row r="7" spans="1:12" x14ac:dyDescent="0.25">
      <c r="B7" s="7" t="s">
        <v>14</v>
      </c>
      <c r="C7" s="8">
        <f>COUNTIF(Resp[29],B7)</f>
        <v>3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COUNTIF(Resp[29],B8)</f>
        <v>2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COUNTIF(Resp[29],B9)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0.57031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30</v>
      </c>
    </row>
    <row r="2" spans="1:12" x14ac:dyDescent="0.25">
      <c r="A2" s="8" t="str">
        <f>TEXT(A1,"00")</f>
        <v>30</v>
      </c>
      <c r="B2" s="8" t="str">
        <f>VLOOKUP(A$2, Pós[], 3, FALSE)</f>
        <v>Como você avalia o conjunto de disciplinas transversais da pós-graduação?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COUNTIF(Resp[30],B6)</f>
        <v>0</v>
      </c>
      <c r="D6" s="8">
        <f t="shared" ref="D6:D12" si="0">ROUND($C6/C$13*100,2)</f>
        <v>0</v>
      </c>
      <c r="E6" s="18">
        <f t="shared" ref="E6:E12" si="1">ROUND($C6/SUM($C$7:$C$12)*100,3)</f>
        <v>0</v>
      </c>
      <c r="G6" s="20"/>
      <c r="H6" s="20"/>
    </row>
    <row r="7" spans="1:12" x14ac:dyDescent="0.25">
      <c r="B7" s="7" t="s">
        <v>14</v>
      </c>
      <c r="C7" s="8">
        <f>COUNTIF(Resp[30],B7)</f>
        <v>5</v>
      </c>
      <c r="D7" s="8">
        <f t="shared" si="0"/>
        <v>83.33</v>
      </c>
      <c r="E7" s="18">
        <f t="shared" si="1"/>
        <v>83.332999999999998</v>
      </c>
      <c r="G7" s="8"/>
      <c r="H7" s="8"/>
    </row>
    <row r="8" spans="1:12" x14ac:dyDescent="0.25">
      <c r="B8" s="7" t="s">
        <v>16</v>
      </c>
      <c r="C8" s="8">
        <f>COUNTIF(Resp[30],B8)</f>
        <v>1</v>
      </c>
      <c r="D8" s="8">
        <f t="shared" si="0"/>
        <v>16.670000000000002</v>
      </c>
      <c r="E8" s="18">
        <f t="shared" si="1"/>
        <v>16.667000000000002</v>
      </c>
      <c r="G8" s="8"/>
      <c r="H8" s="8"/>
    </row>
    <row r="9" spans="1:12" x14ac:dyDescent="0.25">
      <c r="B9" s="7" t="s">
        <v>17</v>
      </c>
      <c r="C9" s="8">
        <f>COUNTIF(Resp[30],B9)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7" t="s">
        <v>18</v>
      </c>
      <c r="C10" s="8">
        <f>COUNTIF(Resp[30],B10)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COUNTIF(Resp[30],B11)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60">
        <f>COUNTIF(Resp[30],B12)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SUM(D7:D12)</f>
        <v>100</v>
      </c>
      <c r="E13" s="16">
        <f>SUM(E7:E12)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SUM(C6:C7)</f>
        <v>5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57"/>
  <sheetViews>
    <sheetView workbookViewId="0">
      <selection activeCell="B6" sqref="B6"/>
    </sheetView>
  </sheetViews>
  <sheetFormatPr defaultRowHeight="15" x14ac:dyDescent="0.25"/>
  <cols>
    <col min="1" max="1" width="8.7109375" style="7" customWidth="1"/>
    <col min="2" max="2" width="17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31</v>
      </c>
    </row>
    <row r="2" spans="1:12" x14ac:dyDescent="0.25">
      <c r="A2" s="8" t="str">
        <f>TEXT(A1,"00")</f>
        <v>31</v>
      </c>
      <c r="B2" s="8" t="str">
        <f>VLOOKUP(A$2, Pós[], 3, FALSE)</f>
        <v>Como você avalia o conjunto de disciplinas transversais da pós-graduação?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31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COUNTIF(Resp[31],B6)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COUNTIF(Resp[31],B7)</f>
        <v>6</v>
      </c>
      <c r="D7" s="8">
        <f t="shared" ref="D7:D12" si="1">ROUND($C7/C$13*100,2)</f>
        <v>100</v>
      </c>
      <c r="E7" s="18">
        <f t="shared" si="0"/>
        <v>100</v>
      </c>
      <c r="G7" s="8"/>
      <c r="H7" s="8"/>
    </row>
    <row r="8" spans="1:12" x14ac:dyDescent="0.25">
      <c r="B8" s="7" t="s">
        <v>16</v>
      </c>
      <c r="C8" s="8">
        <f>COUNTIF(Resp[31],B8)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4.710937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32</v>
      </c>
    </row>
    <row r="2" spans="1:12" x14ac:dyDescent="0.25">
      <c r="A2" s="8" t="str">
        <f>TEXT(A1,"00")</f>
        <v>32</v>
      </c>
      <c r="B2" s="8" t="str">
        <f>VLOOKUP(A$2, Pós[], 3, FALSE)</f>
        <v>Como você avalia o conjunto de disciplinas transversais da pós-graduação? [Didática do(s) docente(s)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32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COUNTIF(Resp[32],B6)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COUNTIF(Resp[32],B7)</f>
        <v>5</v>
      </c>
      <c r="D7" s="8">
        <f t="shared" ref="D7:D12" si="1">ROUND($C7/C$13*100,2)</f>
        <v>83.33</v>
      </c>
      <c r="E7" s="18">
        <f t="shared" si="0"/>
        <v>83.332999999999998</v>
      </c>
      <c r="G7" s="8"/>
      <c r="H7" s="8"/>
    </row>
    <row r="8" spans="1:12" x14ac:dyDescent="0.25">
      <c r="B8" s="7" t="s">
        <v>16</v>
      </c>
      <c r="C8" s="8">
        <f>COUNTIF(Resp[32],B8)</f>
        <v>1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COUNTIF(Resp[32],B9)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25.140625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33</v>
      </c>
    </row>
    <row r="2" spans="1:12" x14ac:dyDescent="0.25">
      <c r="A2" s="8" t="str">
        <f>TEXT(A1,"00")</f>
        <v>33</v>
      </c>
      <c r="B2" s="8" t="str">
        <f>VLOOKUP(A$2, Pós[], 3, FALSE)</f>
        <v>Como você avalia o conjunto de disciplinas transversais da pós-graduação?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COUNTIF(Resp[33],B6)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COUNTIF(Resp[33],B7)</f>
        <v>5</v>
      </c>
      <c r="D7" s="8">
        <f t="shared" ref="D7:D12" si="1">ROUND($C7/C$13*100,2)</f>
        <v>83.33</v>
      </c>
      <c r="E7" s="18">
        <f t="shared" si="0"/>
        <v>83.332999999999998</v>
      </c>
      <c r="G7" s="8"/>
      <c r="H7" s="8"/>
    </row>
    <row r="8" spans="1:12" x14ac:dyDescent="0.25">
      <c r="B8" s="7" t="s">
        <v>16</v>
      </c>
      <c r="C8" s="8">
        <f>COUNTIF(Resp[33],B8)</f>
        <v>1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COUNTIF(Resp[33],B9)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57"/>
  <sheetViews>
    <sheetView zoomScale="110" zoomScaleNormal="110"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7.85546875" style="7" customWidth="1"/>
    <col min="3" max="3" width="33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34</v>
      </c>
    </row>
    <row r="2" spans="1:12" x14ac:dyDescent="0.25">
      <c r="A2" s="8" t="str">
        <f>TEXT(A1,"00")</f>
        <v>34</v>
      </c>
      <c r="B2" s="8" t="str">
        <f>VLOOKUP(A$2, Pós[], 3, FALSE)</f>
        <v>Como você avalia o conjunto de disciplinas transversais da pós-graduação? [Avaliação global das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COUNTIF(Resp[34],B6)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COUNTIF(Resp[34],B7)</f>
        <v>6</v>
      </c>
      <c r="D7" s="8">
        <f t="shared" ref="D7:D12" si="1">ROUND($C7/C$13*100,2)</f>
        <v>100</v>
      </c>
      <c r="E7" s="18">
        <f t="shared" si="0"/>
        <v>100</v>
      </c>
      <c r="G7" s="8"/>
      <c r="H7" s="8"/>
    </row>
    <row r="8" spans="1:12" x14ac:dyDescent="0.25">
      <c r="B8" s="7" t="s">
        <v>16</v>
      </c>
      <c r="C8" s="8">
        <f>COUNTIF(Resp[34],B8)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L57"/>
  <sheetViews>
    <sheetView workbookViewId="0">
      <selection activeCell="C17" sqref="C17"/>
    </sheetView>
  </sheetViews>
  <sheetFormatPr defaultRowHeight="15" x14ac:dyDescent="0.25"/>
  <cols>
    <col min="1" max="1" width="9.5703125" style="7" customWidth="1"/>
    <col min="2" max="2" width="17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35</v>
      </c>
    </row>
    <row r="2" spans="1:12" x14ac:dyDescent="0.25">
      <c r="A2" s="8" t="str">
        <f>TEXT(A1,"00")</f>
        <v>35</v>
      </c>
      <c r="B2" s="8" t="str">
        <f>VLOOKUP(A$2, Pós[], 3, FALSE)</f>
        <v>Com relação ao quadro de docentes disponíveis para orientação, opine sobre: [O número de orientadores disponíveis]</v>
      </c>
    </row>
    <row r="3" spans="1:12" x14ac:dyDescent="0.25">
      <c r="A3" s="7" t="s">
        <v>223</v>
      </c>
      <c r="B3" s="8" t="str">
        <f>VLOOKUP(A$2, Pós[], 4, FALSE)</f>
        <v>Alunos Pós-Graduação Stricto Sensu: Questão 35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COUNTIF(Resp[35],B6)</f>
        <v>10</v>
      </c>
      <c r="D6" s="8">
        <f>ROUND($C6/C$13*100,2)</f>
        <v>43.48</v>
      </c>
      <c r="E6" s="18">
        <f t="shared" ref="E6:E12" si="0">ROUND($C6/SUM($C$6:$C$12)*100,3)</f>
        <v>43.478000000000002</v>
      </c>
      <c r="G6" s="8"/>
      <c r="H6" s="8"/>
    </row>
    <row r="7" spans="1:12" x14ac:dyDescent="0.25">
      <c r="B7" s="7" t="s">
        <v>14</v>
      </c>
      <c r="C7" s="8">
        <f>COUNTIF(Resp[35],B7)</f>
        <v>11</v>
      </c>
      <c r="D7" s="8">
        <f t="shared" ref="D7:D12" si="1">ROUND($C7/C$13*100,2)</f>
        <v>47.83</v>
      </c>
      <c r="E7" s="18">
        <f t="shared" si="0"/>
        <v>47.826000000000001</v>
      </c>
      <c r="G7" s="8"/>
      <c r="H7" s="8"/>
    </row>
    <row r="8" spans="1:12" x14ac:dyDescent="0.25">
      <c r="B8" s="7" t="s">
        <v>16</v>
      </c>
      <c r="C8" s="8">
        <f>COUNTIF(Resp[35],B8)</f>
        <v>1</v>
      </c>
      <c r="D8" s="8">
        <f t="shared" si="1"/>
        <v>4.3499999999999996</v>
      </c>
      <c r="E8" s="18">
        <f t="shared" si="0"/>
        <v>4.3479999999999999</v>
      </c>
      <c r="G8" s="8"/>
      <c r="H8" s="8"/>
    </row>
    <row r="9" spans="1:12" x14ac:dyDescent="0.25">
      <c r="B9" s="7" t="s">
        <v>17</v>
      </c>
      <c r="C9" s="8">
        <f>COUNTIF(Resp[35],B9)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COUNTIF(Resp[35],B12)</f>
        <v>1</v>
      </c>
      <c r="D12" s="14">
        <f t="shared" si="1"/>
        <v>4.3499999999999996</v>
      </c>
      <c r="E12" s="25">
        <f t="shared" si="0"/>
        <v>4.3479999999999999</v>
      </c>
      <c r="G12" s="8"/>
      <c r="H12" s="8"/>
    </row>
    <row r="13" spans="1:12" x14ac:dyDescent="0.25">
      <c r="B13" s="7" t="s">
        <v>228</v>
      </c>
      <c r="C13" s="7">
        <f>SUM(C6:C12)</f>
        <v>23</v>
      </c>
      <c r="D13" s="16">
        <f>SUM(D6:D12)</f>
        <v>100.00999999999999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21</v>
      </c>
      <c r="E19" s="36">
        <f>ROUND(D19/SUM(D19:D22)*100,3)</f>
        <v>91.304000000000002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4.3479999999999999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4.3479999999999999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57"/>
  <sheetViews>
    <sheetView workbookViewId="0">
      <selection activeCell="S17" sqref="S17"/>
    </sheetView>
  </sheetViews>
  <sheetFormatPr defaultRowHeight="15" x14ac:dyDescent="0.25"/>
  <cols>
    <col min="1" max="1" width="9.5703125" style="7" customWidth="1"/>
    <col min="2" max="2" width="17.42578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36</v>
      </c>
    </row>
    <row r="2" spans="1:12" x14ac:dyDescent="0.25">
      <c r="A2" s="8" t="str">
        <f>TEXT(A1,"00")</f>
        <v>36</v>
      </c>
      <c r="B2" s="8" t="str">
        <f>VLOOKUP(A$2, Pós[], 3, FALSE)</f>
        <v>Com relação ao quadro de docentes disponíveis para orientação, opine sobre: [O conhecimento e a atualização do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COUNTIF(Resp[36],B6)</f>
        <v>19</v>
      </c>
      <c r="D6" s="8">
        <f>ROUND($C6/C$13*100,2)</f>
        <v>82.61</v>
      </c>
      <c r="E6" s="18">
        <f t="shared" ref="E6:E12" si="0">ROUND($C6/SUM($C$6:$C$12)*100,3)</f>
        <v>82.608999999999995</v>
      </c>
      <c r="G6" s="8"/>
      <c r="H6" s="8"/>
    </row>
    <row r="7" spans="1:12" x14ac:dyDescent="0.25">
      <c r="B7" s="7" t="s">
        <v>14</v>
      </c>
      <c r="C7" s="8">
        <f>COUNTIF(Resp[36],B7)</f>
        <v>4</v>
      </c>
      <c r="D7" s="8">
        <f t="shared" ref="D7:D12" si="1">ROUND($C7/C$13*100,2)</f>
        <v>17.39</v>
      </c>
      <c r="E7" s="18">
        <f t="shared" si="0"/>
        <v>17.390999999999998</v>
      </c>
      <c r="G7" s="8"/>
      <c r="H7" s="8"/>
    </row>
    <row r="8" spans="1:12" x14ac:dyDescent="0.25">
      <c r="B8" s="7" t="s">
        <v>16</v>
      </c>
      <c r="C8" s="8">
        <f>COUNTIF(Resp[36],B8)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" style="7" customWidth="1"/>
    <col min="2" max="2" width="17" style="7" customWidth="1"/>
    <col min="3" max="3" width="35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37</v>
      </c>
    </row>
    <row r="2" spans="1:12" x14ac:dyDescent="0.25">
      <c r="A2" s="8" t="str">
        <f>TEXT(A1,"00")</f>
        <v>37</v>
      </c>
      <c r="B2" s="8" t="str">
        <f>VLOOKUP(A$2, Pós[], 3, FALSE)</f>
        <v>Com relação ao quadro de docentes disponíveis para orientação, opine sobre: [O número de tarefas solicitadas pelo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COUNTIF(Resp[37],B6)</f>
        <v>16</v>
      </c>
      <c r="D6" s="8">
        <f>ROUND($C6/C$13*100,2)</f>
        <v>69.569999999999993</v>
      </c>
      <c r="E6" s="18">
        <f t="shared" ref="E6:E12" si="0">ROUND($C6/SUM($C$6:$C$12)*100,3)</f>
        <v>69.564999999999998</v>
      </c>
      <c r="G6" s="8"/>
      <c r="H6" s="8"/>
    </row>
    <row r="7" spans="1:12" x14ac:dyDescent="0.25">
      <c r="B7" s="7" t="s">
        <v>14</v>
      </c>
      <c r="C7" s="8">
        <f>COUNTIF(Resp[37],B7)</f>
        <v>6</v>
      </c>
      <c r="D7" s="8">
        <f t="shared" ref="D7:D12" si="1">ROUND($C7/C$13*100,2)</f>
        <v>26.09</v>
      </c>
      <c r="E7" s="18">
        <f t="shared" si="0"/>
        <v>26.087</v>
      </c>
      <c r="G7" s="8"/>
      <c r="H7" s="8"/>
    </row>
    <row r="8" spans="1:12" x14ac:dyDescent="0.25">
      <c r="B8" s="7" t="s">
        <v>16</v>
      </c>
      <c r="C8" s="8">
        <f>COUNTIF(Resp[37],B8)</f>
        <v>1</v>
      </c>
      <c r="D8" s="8">
        <f t="shared" si="1"/>
        <v>4.3499999999999996</v>
      </c>
      <c r="E8" s="18">
        <f t="shared" si="0"/>
        <v>4.3479999999999999</v>
      </c>
      <c r="G8" s="8"/>
      <c r="H8" s="8"/>
    </row>
    <row r="9" spans="1:12" x14ac:dyDescent="0.25">
      <c r="B9" s="7" t="s">
        <v>17</v>
      </c>
      <c r="C9" s="8">
        <f>COUNTIF(Resp[37],B9)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23</v>
      </c>
      <c r="D13" s="16">
        <f>SUM(D6:D12)</f>
        <v>100.00999999999999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22</v>
      </c>
      <c r="E19" s="36">
        <f>ROUND(D19/SUM(D19:D22)*100,3)</f>
        <v>95.652000000000001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4.3479999999999999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"/>
  <sheetViews>
    <sheetView workbookViewId="0">
      <selection activeCell="Q20" sqref="Q20"/>
    </sheetView>
  </sheetViews>
  <sheetFormatPr defaultRowHeight="15" x14ac:dyDescent="0.25"/>
  <cols>
    <col min="1" max="1" width="12.85546875" style="7" customWidth="1"/>
    <col min="2" max="2" width="16.5703125" style="7" customWidth="1"/>
    <col min="3" max="3" width="12.140625" style="7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1</v>
      </c>
    </row>
    <row r="2" spans="1:5" x14ac:dyDescent="0.25">
      <c r="A2" s="8" t="str">
        <f>TEXT(A1,"00")</f>
        <v>01</v>
      </c>
      <c r="B2" s="8" t="str">
        <f>VLOOKUP(A$2, Pós[], 3, FALSE)</f>
        <v>Quanto a sua formação anterior: [Mestrado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1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COUNTIF(Resp[01],B6)</f>
        <v>8</v>
      </c>
      <c r="D6" s="12">
        <f>ROUND($C6/C$8*100,2)</f>
        <v>34.78</v>
      </c>
      <c r="E6" s="18">
        <f>ROUND($C6/SUM($C$6:$C$7)*100,3)</f>
        <v>34.783000000000001</v>
      </c>
    </row>
    <row r="7" spans="1:5" x14ac:dyDescent="0.25">
      <c r="B7" s="7" t="s">
        <v>15</v>
      </c>
      <c r="C7" s="8">
        <f>COUNTIF(Resp[01],B7)</f>
        <v>15</v>
      </c>
      <c r="D7" s="12">
        <f>ROUND($C7/C$8*100,2)</f>
        <v>65.22</v>
      </c>
      <c r="E7" s="18">
        <f>ROUND($C7/SUM($C$6:$C$7)*100,3)</f>
        <v>65.216999999999999</v>
      </c>
    </row>
    <row r="8" spans="1:5" x14ac:dyDescent="0.25">
      <c r="B8" s="15" t="s">
        <v>228</v>
      </c>
      <c r="C8" s="15">
        <f>SUM(C6:C7)</f>
        <v>23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3"/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6.42578125" style="7" customWidth="1"/>
    <col min="2" max="2" width="21.5703125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38</v>
      </c>
    </row>
    <row r="2" spans="1:12" x14ac:dyDescent="0.25">
      <c r="A2" s="8" t="str">
        <f>TEXT(A1,"00")</f>
        <v>38</v>
      </c>
      <c r="B2" s="8" t="str">
        <f>VLOOKUP(A$2, Pós[], 3, FALSE)</f>
        <v>Com relação ao quadro de docentes disponíveis para orientação, opine sobre: [A disponibilidade do docente para atividades de orientação]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COUNTIF(Resp[38],B6)</f>
        <v>12</v>
      </c>
      <c r="D6" s="8">
        <f>ROUND($C6/C$13*100,2)</f>
        <v>52.17</v>
      </c>
      <c r="E6" s="18">
        <f t="shared" ref="E6:E12" si="0">ROUND($C6/SUM($C$6:$C$12)*100,3)</f>
        <v>52.173999999999999</v>
      </c>
    </row>
    <row r="7" spans="1:12" x14ac:dyDescent="0.25">
      <c r="B7" s="7" t="s">
        <v>14</v>
      </c>
      <c r="C7" s="8">
        <f>COUNTIF(Resp[38],B7)</f>
        <v>9</v>
      </c>
      <c r="D7" s="8">
        <f t="shared" ref="D7:D12" si="1">ROUND($C7/C$13*100,2)</f>
        <v>39.130000000000003</v>
      </c>
      <c r="E7" s="18">
        <f t="shared" si="0"/>
        <v>39.130000000000003</v>
      </c>
      <c r="G7" s="8"/>
      <c r="H7" s="8"/>
    </row>
    <row r="8" spans="1:12" x14ac:dyDescent="0.25">
      <c r="B8" s="7" t="s">
        <v>16</v>
      </c>
      <c r="C8" s="8">
        <f>COUNTIF(Resp[38],B8)</f>
        <v>2</v>
      </c>
      <c r="D8" s="8">
        <f t="shared" si="1"/>
        <v>8.6999999999999993</v>
      </c>
      <c r="E8" s="18">
        <f t="shared" si="0"/>
        <v>8.6959999999999997</v>
      </c>
      <c r="G8" s="8"/>
      <c r="H8" s="8"/>
    </row>
    <row r="9" spans="1:12" x14ac:dyDescent="0.25">
      <c r="B9" s="7" t="s">
        <v>17</v>
      </c>
      <c r="C9" s="8">
        <f>COUNTIF(Resp[38],B9)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23</v>
      </c>
      <c r="D13" s="16">
        <f>SUM(D6:D12)</f>
        <v>100.00000000000001</v>
      </c>
      <c r="E13" s="16">
        <f>SUM(E6:E12)</f>
        <v>100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21</v>
      </c>
      <c r="E20" s="36">
        <f>ROUND(D20/SUM(D20:D23)*100,3)</f>
        <v>91.304000000000002</v>
      </c>
    </row>
    <row r="21" spans="2:5" x14ac:dyDescent="0.25">
      <c r="B21" s="33" t="s">
        <v>26</v>
      </c>
      <c r="C21" s="7" t="s">
        <v>16</v>
      </c>
      <c r="D21" s="7">
        <f>C8</f>
        <v>2</v>
      </c>
      <c r="E21" s="36">
        <f>ROUND(D21/SUM(D20:D23)*100,3)</f>
        <v>8.6959999999999997</v>
      </c>
    </row>
    <row r="22" spans="2:5" x14ac:dyDescent="0.25">
      <c r="B22" s="34" t="s">
        <v>234</v>
      </c>
      <c r="C22" s="7" t="s">
        <v>235</v>
      </c>
      <c r="D22" s="7">
        <f>SUM(C11:C12)</f>
        <v>0</v>
      </c>
      <c r="E22" s="36">
        <f>ROUND(D22/SUM(D20:D23)*100,3)</f>
        <v>0</v>
      </c>
    </row>
    <row r="23" spans="2:5" x14ac:dyDescent="0.25">
      <c r="B23" s="35" t="s">
        <v>24</v>
      </c>
      <c r="C23" s="13" t="s">
        <v>236</v>
      </c>
      <c r="D23" s="13">
        <f>SUM(C10:C11)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18.42578125" style="7" customWidth="1"/>
    <col min="3" max="3" width="35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39</v>
      </c>
    </row>
    <row r="2" spans="1:12" x14ac:dyDescent="0.25">
      <c r="A2" s="8" t="str">
        <f>TEXT(A1,"00")</f>
        <v>39</v>
      </c>
      <c r="B2" s="8" t="str">
        <f>VLOOKUP(A$2, Pós[], 3, FALSE)</f>
        <v>Com relação ao seu curso de Pós-Graduação, como você avalia: [O planejamento]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39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COUNTIF(Resp[39],B6)</f>
        <v>12</v>
      </c>
      <c r="D6" s="8">
        <f>ROUND($C6/C$13*100,2)</f>
        <v>52.17</v>
      </c>
      <c r="E6" s="18">
        <f t="shared" ref="E6:E12" si="0">ROUND($C6/SUM($C$6:$C$12)*100,3)</f>
        <v>52.173999999999999</v>
      </c>
      <c r="G6" s="8"/>
      <c r="H6" s="8"/>
    </row>
    <row r="7" spans="1:12" x14ac:dyDescent="0.25">
      <c r="B7" s="7" t="s">
        <v>14</v>
      </c>
      <c r="C7" s="8">
        <f>COUNTIF(Resp[39],B7)</f>
        <v>11</v>
      </c>
      <c r="D7" s="8">
        <f t="shared" ref="D7:D12" si="1">ROUND($C7/C$13*100,2)</f>
        <v>47.83</v>
      </c>
      <c r="E7" s="18">
        <f t="shared" si="0"/>
        <v>47.826000000000001</v>
      </c>
      <c r="G7" s="8"/>
      <c r="H7" s="8"/>
    </row>
    <row r="8" spans="1:12" x14ac:dyDescent="0.25">
      <c r="B8" s="7" t="s">
        <v>16</v>
      </c>
      <c r="C8" s="8">
        <f>COUNTIF(Resp[39],B8)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57"/>
  <sheetViews>
    <sheetView workbookViewId="0">
      <selection activeCell="C9" sqref="C9"/>
    </sheetView>
  </sheetViews>
  <sheetFormatPr defaultRowHeight="15" x14ac:dyDescent="0.25"/>
  <cols>
    <col min="1" max="1" width="11" style="7" customWidth="1"/>
    <col min="2" max="2" width="17" style="7" customWidth="1"/>
    <col min="3" max="3" width="31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40</v>
      </c>
    </row>
    <row r="2" spans="1:12" x14ac:dyDescent="0.25">
      <c r="A2" s="8" t="str">
        <f>TEXT(A1,"00")</f>
        <v>40</v>
      </c>
      <c r="B2" s="8" t="str">
        <f>VLOOKUP(A$2, Pós[], 3, FALSE)</f>
        <v>Com relação ao seu curso de Pós-Graduação, como você avalia: [O processo seletivo do programa]</v>
      </c>
    </row>
    <row r="3" spans="1:12" x14ac:dyDescent="0.25">
      <c r="A3" s="7" t="s">
        <v>223</v>
      </c>
      <c r="B3" s="8" t="str">
        <f>VLOOKUP(A$2, Pós[], 4, FALSE)</f>
        <v>Alunos Pós-Graduação Stricto Sensu: Questão 40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COUNTIF(Resp[40],B6)</f>
        <v>14</v>
      </c>
      <c r="D6" s="8">
        <f>ROUND($C6/C$13*100,2)</f>
        <v>60.87</v>
      </c>
      <c r="E6" s="18">
        <f t="shared" ref="E6:E12" si="0">ROUND($C6/SUM($C$6:$C$12)*100,3)</f>
        <v>60.87</v>
      </c>
      <c r="G6" s="8"/>
      <c r="H6" s="8"/>
    </row>
    <row r="7" spans="1:12" x14ac:dyDescent="0.25">
      <c r="B7" s="7" t="s">
        <v>14</v>
      </c>
      <c r="C7" s="8">
        <f>COUNTIF(Resp[40],B7)</f>
        <v>6</v>
      </c>
      <c r="D7" s="8">
        <f t="shared" ref="D7:D12" si="1">ROUND($C7/C$13*100,2)</f>
        <v>26.09</v>
      </c>
      <c r="E7" s="18">
        <f t="shared" si="0"/>
        <v>26.087</v>
      </c>
      <c r="G7" s="8"/>
      <c r="H7" s="8"/>
    </row>
    <row r="8" spans="1:12" x14ac:dyDescent="0.25">
      <c r="B8" s="7" t="s">
        <v>16</v>
      </c>
      <c r="C8" s="8">
        <f>COUNTIF(Resp[40],B8)</f>
        <v>3</v>
      </c>
      <c r="D8" s="8">
        <f t="shared" si="1"/>
        <v>13.04</v>
      </c>
      <c r="E8" s="18">
        <f t="shared" si="0"/>
        <v>13.042999999999999</v>
      </c>
      <c r="G8" s="8"/>
      <c r="H8" s="8"/>
    </row>
    <row r="9" spans="1:12" x14ac:dyDescent="0.25">
      <c r="B9" s="7" t="s">
        <v>17</v>
      </c>
      <c r="C9" s="8">
        <f>COUNTIF(Resp[40],B9)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20</v>
      </c>
      <c r="E19" s="36">
        <f>ROUND(D19/SUM(D19:D22)*100,3)</f>
        <v>86.956999999999994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13.042999999999999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" style="7" customWidth="1"/>
    <col min="2" max="2" width="17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41</v>
      </c>
    </row>
    <row r="2" spans="1:12" x14ac:dyDescent="0.25">
      <c r="A2" s="8" t="str">
        <f>TEXT(A1,"00")</f>
        <v>41</v>
      </c>
      <c r="B2" s="8" t="str">
        <f>VLOOKUP(A$2, Pós[], 3, FALSE)</f>
        <v>Com relação ao seu curso de Pós-Graduação, como você avalia: [O regimento]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41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COUNTIF(Resp[41],B6)</f>
        <v>11</v>
      </c>
      <c r="D6" s="8">
        <f>ROUND($C6/C$13*100,2)</f>
        <v>47.83</v>
      </c>
      <c r="E6" s="18">
        <f t="shared" ref="E6:E12" si="0">ROUND($C6/SUM($C$6:$C$12)*100,3)</f>
        <v>47.826000000000001</v>
      </c>
      <c r="G6" s="8"/>
      <c r="H6" s="8"/>
    </row>
    <row r="7" spans="1:12" x14ac:dyDescent="0.25">
      <c r="B7" s="7" t="s">
        <v>14</v>
      </c>
      <c r="C7" s="8">
        <f>COUNTIF(Resp[41],B7)</f>
        <v>9</v>
      </c>
      <c r="D7" s="8">
        <f t="shared" ref="D7:D12" si="1">ROUND($C7/C$13*100,2)</f>
        <v>39.130000000000003</v>
      </c>
      <c r="E7" s="18">
        <f t="shared" si="0"/>
        <v>39.130000000000003</v>
      </c>
      <c r="G7" s="8"/>
      <c r="H7" s="8"/>
    </row>
    <row r="8" spans="1:12" x14ac:dyDescent="0.25">
      <c r="B8" s="7" t="s">
        <v>16</v>
      </c>
      <c r="C8" s="8">
        <f>COUNTIF(Resp[41],B8)</f>
        <v>1</v>
      </c>
      <c r="D8" s="8">
        <f t="shared" si="1"/>
        <v>4.3499999999999996</v>
      </c>
      <c r="E8" s="18">
        <f t="shared" si="0"/>
        <v>4.3479999999999999</v>
      </c>
      <c r="G8" s="8"/>
      <c r="H8" s="8"/>
    </row>
    <row r="9" spans="1:12" x14ac:dyDescent="0.25">
      <c r="B9" s="7" t="s">
        <v>17</v>
      </c>
      <c r="C9" s="8">
        <f>COUNTIF(Resp[41],B9)</f>
        <v>2</v>
      </c>
      <c r="D9" s="8">
        <f t="shared" si="1"/>
        <v>8.6999999999999993</v>
      </c>
      <c r="E9" s="18">
        <f t="shared" si="0"/>
        <v>8.6959999999999997</v>
      </c>
      <c r="G9" s="8"/>
      <c r="H9" s="8"/>
    </row>
    <row r="10" spans="1:12" x14ac:dyDescent="0.25">
      <c r="B10" s="7" t="s">
        <v>18</v>
      </c>
      <c r="C10" s="8">
        <f>COUNTIF(Resp[41],B10)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23</v>
      </c>
      <c r="D13" s="16">
        <f>SUM(D6:D12)</f>
        <v>100.01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20</v>
      </c>
      <c r="E19" s="36">
        <f>ROUND(D19/SUM(D19:D22)*100,3)</f>
        <v>86.956999999999994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4.3479999999999999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8.6959999999999997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8.42578125" style="7" customWidth="1"/>
    <col min="2" max="2" width="17" style="7" customWidth="1"/>
    <col min="3" max="3" width="33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42</v>
      </c>
    </row>
    <row r="2" spans="1:12" x14ac:dyDescent="0.25">
      <c r="A2" s="8" t="str">
        <f>TEXT(A1,"00")</f>
        <v>42</v>
      </c>
      <c r="B2" s="8" t="str">
        <f>VLOOKUP(A$2, Pós[], 3, FALSE)</f>
        <v>Com relação à oferta de bolsas para a pós-graduação, como você avalia: [A divulgação]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COUNTIF(Resp[42],B6)</f>
        <v>7</v>
      </c>
      <c r="D6" s="8">
        <f>ROUND($C6/C$13*100,2)</f>
        <v>30.43</v>
      </c>
      <c r="E6" s="18">
        <f t="shared" ref="E6:E12" si="0">ROUND($C6/SUM($C$6:$C$12)*100,3)</f>
        <v>30.434999999999999</v>
      </c>
    </row>
    <row r="7" spans="1:12" x14ac:dyDescent="0.25">
      <c r="B7" s="7" t="s">
        <v>14</v>
      </c>
      <c r="C7" s="8">
        <f>COUNTIF(Resp[42],B7)</f>
        <v>9</v>
      </c>
      <c r="D7" s="8">
        <f t="shared" ref="D7:D12" si="1">ROUND($C7/C$13*100,2)</f>
        <v>39.130000000000003</v>
      </c>
      <c r="E7" s="18">
        <f t="shared" si="0"/>
        <v>39.130000000000003</v>
      </c>
      <c r="G7" s="8"/>
      <c r="H7" s="8"/>
    </row>
    <row r="8" spans="1:12" x14ac:dyDescent="0.25">
      <c r="B8" s="7" t="s">
        <v>16</v>
      </c>
      <c r="C8" s="8">
        <f>COUNTIF(Resp[42],B8)</f>
        <v>6</v>
      </c>
      <c r="D8" s="8">
        <f t="shared" si="1"/>
        <v>26.09</v>
      </c>
      <c r="E8" s="18">
        <f t="shared" si="0"/>
        <v>26.087</v>
      </c>
      <c r="G8" s="8"/>
      <c r="H8" s="8"/>
    </row>
    <row r="9" spans="1:12" x14ac:dyDescent="0.25">
      <c r="B9" s="7" t="s">
        <v>17</v>
      </c>
      <c r="C9" s="8">
        <f>COUNTIF(Resp[42],B9)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COUNTIF(Resp[42],B12)</f>
        <v>1</v>
      </c>
      <c r="D12" s="14">
        <f t="shared" si="1"/>
        <v>4.3499999999999996</v>
      </c>
      <c r="E12" s="25">
        <f t="shared" si="0"/>
        <v>4.3479999999999999</v>
      </c>
      <c r="G12" s="8"/>
      <c r="H12" s="8"/>
    </row>
    <row r="13" spans="1:12" x14ac:dyDescent="0.25">
      <c r="B13" s="7" t="s">
        <v>228</v>
      </c>
      <c r="C13" s="7">
        <f>SUM(C6:C12)</f>
        <v>23</v>
      </c>
      <c r="D13" s="16">
        <f>SUM(D6:D12)</f>
        <v>100</v>
      </c>
      <c r="E13" s="16">
        <f>SUM(E6:E12)</f>
        <v>100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16</v>
      </c>
      <c r="E20" s="36">
        <f>ROUND(D20/SUM(D20:D23)*100,3)</f>
        <v>69.564999999999998</v>
      </c>
    </row>
    <row r="21" spans="2:5" x14ac:dyDescent="0.25">
      <c r="B21" s="33" t="s">
        <v>26</v>
      </c>
      <c r="C21" s="7" t="s">
        <v>16</v>
      </c>
      <c r="D21" s="7">
        <f>C8</f>
        <v>6</v>
      </c>
      <c r="E21" s="36">
        <f>ROUND(D21/SUM(D20:D23)*100,3)</f>
        <v>26.087</v>
      </c>
    </row>
    <row r="22" spans="2:5" x14ac:dyDescent="0.25">
      <c r="B22" s="34" t="s">
        <v>234</v>
      </c>
      <c r="C22" s="7" t="s">
        <v>235</v>
      </c>
      <c r="D22" s="7">
        <f>SUM(C11,C12)</f>
        <v>1</v>
      </c>
      <c r="E22" s="36">
        <f>ROUND(D22/SUM(D20:D23)*100,3)</f>
        <v>4.3479999999999999</v>
      </c>
    </row>
    <row r="23" spans="2:5" x14ac:dyDescent="0.25">
      <c r="B23" s="35" t="s">
        <v>24</v>
      </c>
      <c r="C23" s="13" t="s">
        <v>236</v>
      </c>
      <c r="D23" s="13">
        <f>SUM(C9:C10)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1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43</v>
      </c>
    </row>
    <row r="2" spans="1:12" x14ac:dyDescent="0.25">
      <c r="A2" s="8" t="str">
        <f>TEXT(A1,"00")</f>
        <v>43</v>
      </c>
      <c r="B2" s="8" t="str">
        <f>VLOOKUP(A$2, Pós[], 3, FALSE)</f>
        <v>Com relação à oferta de bolsas para a pós-graduação, como você avalia: [Os critérios de seleção]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COUNTIF(Resp[43],B6)</f>
        <v>9</v>
      </c>
      <c r="D6" s="8">
        <f>ROUND($C6/C$13*100,2)</f>
        <v>39.130000000000003</v>
      </c>
      <c r="E6" s="18">
        <f t="shared" ref="E6:E12" si="0">ROUND($C6/SUM($C$6:$C$12)*100,3)</f>
        <v>39.130000000000003</v>
      </c>
      <c r="G6" s="8"/>
      <c r="H6" s="8"/>
    </row>
    <row r="7" spans="1:12" x14ac:dyDescent="0.25">
      <c r="B7" s="7" t="s">
        <v>14</v>
      </c>
      <c r="C7" s="8">
        <f>COUNTIF(Resp[43],B7)</f>
        <v>9</v>
      </c>
      <c r="D7" s="8">
        <f t="shared" ref="D7:D12" si="1">ROUND($C7/C$13*100,2)</f>
        <v>39.130000000000003</v>
      </c>
      <c r="E7" s="18">
        <f t="shared" si="0"/>
        <v>39.130000000000003</v>
      </c>
      <c r="G7" s="8"/>
      <c r="H7" s="8"/>
    </row>
    <row r="8" spans="1:12" x14ac:dyDescent="0.25">
      <c r="B8" s="7" t="s">
        <v>16</v>
      </c>
      <c r="C8" s="8">
        <f>COUNTIF(Resp[43],B8)</f>
        <v>4</v>
      </c>
      <c r="D8" s="8">
        <f t="shared" si="1"/>
        <v>17.39</v>
      </c>
      <c r="E8" s="18">
        <f t="shared" si="0"/>
        <v>17.390999999999998</v>
      </c>
      <c r="G8" s="8"/>
      <c r="H8" s="8"/>
    </row>
    <row r="9" spans="1:12" x14ac:dyDescent="0.25">
      <c r="B9" s="7" t="s">
        <v>17</v>
      </c>
      <c r="C9" s="8">
        <f>COUNTIF(Resp[43],B9)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COUNTIF(Resp[43],B12)</f>
        <v>1</v>
      </c>
      <c r="D12" s="14">
        <f t="shared" si="1"/>
        <v>4.3499999999999996</v>
      </c>
      <c r="E12" s="25">
        <f t="shared" si="0"/>
        <v>4.3479999999999999</v>
      </c>
      <c r="G12" s="8"/>
      <c r="H12" s="8"/>
    </row>
    <row r="13" spans="1:12" x14ac:dyDescent="0.25">
      <c r="B13" s="7" t="s">
        <v>228</v>
      </c>
      <c r="C13" s="7">
        <f>SUM(C6:C12)</f>
        <v>23</v>
      </c>
      <c r="D13" s="16">
        <f>SUM(D6:D12)</f>
        <v>100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18</v>
      </c>
      <c r="E19" s="36">
        <f>ROUND(D19/SUM(D19:D22)*100,3)</f>
        <v>78.260999999999996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17.390999999999998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4.3479999999999999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0.85546875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44</v>
      </c>
    </row>
    <row r="2" spans="1:12" x14ac:dyDescent="0.25">
      <c r="A2" s="8" t="str">
        <f>TEXT(A1,"00")</f>
        <v>44</v>
      </c>
      <c r="B2" s="8" t="str">
        <f>VLOOKUP(A$2, Pós[], 3, FALSE)</f>
        <v>Com relação à oferta de bolsas para a pós-graduação, como você avalia: [A disponibilidade]</v>
      </c>
    </row>
    <row r="3" spans="1:12" x14ac:dyDescent="0.25">
      <c r="A3" s="7" t="s">
        <v>223</v>
      </c>
      <c r="B3" s="8" t="str">
        <f>VLOOKUP(A$2, Pós[], 4, FALSE)</f>
        <v>Alunos Pós-Graduação Stricto Sensu: Questão 44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COUNTIF(Resp[44],B6)</f>
        <v>4</v>
      </c>
      <c r="D6" s="8">
        <f>ROUND($C6/C$13*100,2)</f>
        <v>17.39</v>
      </c>
      <c r="E6" s="18">
        <f t="shared" ref="E6:E12" si="0">ROUND($C6/SUM($C$6:$C$12)*100,3)</f>
        <v>17.390999999999998</v>
      </c>
      <c r="G6" s="8"/>
      <c r="H6" s="8"/>
    </row>
    <row r="7" spans="1:12" x14ac:dyDescent="0.25">
      <c r="B7" s="7" t="s">
        <v>14</v>
      </c>
      <c r="C7" s="8">
        <f>COUNTIF(Resp[44],B7)</f>
        <v>6</v>
      </c>
      <c r="D7" s="8">
        <f t="shared" ref="D7:D12" si="1">ROUND($C7/C$13*100,2)</f>
        <v>26.09</v>
      </c>
      <c r="E7" s="18">
        <f t="shared" si="0"/>
        <v>26.087</v>
      </c>
      <c r="G7" s="8"/>
      <c r="H7" s="8"/>
    </row>
    <row r="8" spans="1:12" x14ac:dyDescent="0.25">
      <c r="B8" s="7" t="s">
        <v>16</v>
      </c>
      <c r="C8" s="8">
        <f>COUNTIF(Resp[44],B8)</f>
        <v>7</v>
      </c>
      <c r="D8" s="8">
        <f t="shared" si="1"/>
        <v>30.43</v>
      </c>
      <c r="E8" s="18">
        <f t="shared" si="0"/>
        <v>30.434999999999999</v>
      </c>
      <c r="G8" s="8"/>
      <c r="H8" s="8"/>
    </row>
    <row r="9" spans="1:12" x14ac:dyDescent="0.25">
      <c r="B9" s="7" t="s">
        <v>17</v>
      </c>
      <c r="C9" s="8">
        <f>COUNTIF(Resp[44],B9)</f>
        <v>3</v>
      </c>
      <c r="D9" s="8">
        <f t="shared" si="1"/>
        <v>13.04</v>
      </c>
      <c r="E9" s="18">
        <f t="shared" si="0"/>
        <v>13.042999999999999</v>
      </c>
      <c r="G9" s="8"/>
      <c r="H9" s="8"/>
    </row>
    <row r="10" spans="1:12" x14ac:dyDescent="0.25">
      <c r="B10" s="7" t="s">
        <v>18</v>
      </c>
      <c r="C10" s="8">
        <f>COUNTIF(Resp[44],B10)</f>
        <v>2</v>
      </c>
      <c r="D10" s="8">
        <f t="shared" si="1"/>
        <v>8.6999999999999993</v>
      </c>
      <c r="E10" s="18">
        <f t="shared" si="0"/>
        <v>8.6959999999999997</v>
      </c>
      <c r="G10" s="8"/>
      <c r="H10" s="8"/>
    </row>
    <row r="11" spans="1:12" x14ac:dyDescent="0.25">
      <c r="B11" s="7" t="s">
        <v>19</v>
      </c>
      <c r="C11" s="8">
        <f>COUNTIF(Resp[44],B11)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COUNTIF(Resp[44],B12)</f>
        <v>1</v>
      </c>
      <c r="D12" s="14">
        <f t="shared" si="1"/>
        <v>4.3499999999999996</v>
      </c>
      <c r="E12" s="25">
        <f t="shared" si="0"/>
        <v>4.3479999999999999</v>
      </c>
      <c r="G12" s="8"/>
      <c r="H12" s="8"/>
    </row>
    <row r="13" spans="1:12" x14ac:dyDescent="0.25">
      <c r="B13" s="7" t="s">
        <v>228</v>
      </c>
      <c r="C13" s="7">
        <f>SUM(C6:C12)</f>
        <v>23</v>
      </c>
      <c r="D13" s="16">
        <f>SUM(D6:D12)</f>
        <v>99.999999999999986</v>
      </c>
      <c r="E13" s="16">
        <f>SUM(E6:E12)</f>
        <v>99.999999999999986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10</v>
      </c>
      <c r="E19" s="36">
        <f>ROUND(D19/SUM(D19:D22)*100,3)</f>
        <v>43.478000000000002</v>
      </c>
    </row>
    <row r="20" spans="2:5" x14ac:dyDescent="0.25">
      <c r="B20" s="33" t="s">
        <v>26</v>
      </c>
      <c r="C20" s="7" t="s">
        <v>16</v>
      </c>
      <c r="D20" s="7">
        <f>C8</f>
        <v>7</v>
      </c>
      <c r="E20" s="36">
        <f>ROUND(D20/SUM(D19:D22)*100,3)</f>
        <v>30.434999999999999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4.3479999999999999</v>
      </c>
    </row>
    <row r="22" spans="2:5" x14ac:dyDescent="0.25">
      <c r="B22" s="35" t="s">
        <v>24</v>
      </c>
      <c r="C22" s="13" t="s">
        <v>236</v>
      </c>
      <c r="D22" s="13">
        <f>SUM(C9:C10)</f>
        <v>5</v>
      </c>
      <c r="E22" s="37">
        <f>ROUND(D22/SUM(D19:D22)*100,3)</f>
        <v>21.739000000000001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28515625" style="7" customWidth="1"/>
    <col min="2" max="2" width="17" style="7" customWidth="1"/>
    <col min="3" max="3" width="36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45</v>
      </c>
    </row>
    <row r="2" spans="1:12" x14ac:dyDescent="0.25">
      <c r="A2" s="8" t="str">
        <f>TEXT(A1,"00")</f>
        <v>45</v>
      </c>
      <c r="B2" s="8" t="str">
        <f>VLOOKUP(A$2, Pós[], 3, FALSE)</f>
        <v>Com relação à oferta de bolsas para a pós-graduação, como você avalia: [O valor]</v>
      </c>
    </row>
    <row r="3" spans="1:12" x14ac:dyDescent="0.25">
      <c r="A3" s="7" t="s">
        <v>223</v>
      </c>
      <c r="B3" s="8" t="str">
        <f>VLOOKUP(A$2, Pós[], 4, FALSE)</f>
        <v>Alunos Pós-Graduação Stricto Sensu: Questão 45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COUNTIF(Resp[45],B6)</f>
        <v>1</v>
      </c>
      <c r="D6" s="8">
        <f>ROUND($C6/C$13*100,2)</f>
        <v>4.3499999999999996</v>
      </c>
      <c r="E6" s="18">
        <f t="shared" ref="E6:E12" si="0">ROUND($C6/SUM($C$6:$C$12)*100,3)</f>
        <v>4.3479999999999999</v>
      </c>
      <c r="G6" s="8"/>
      <c r="H6" s="8"/>
    </row>
    <row r="7" spans="1:12" x14ac:dyDescent="0.25">
      <c r="B7" s="7" t="s">
        <v>14</v>
      </c>
      <c r="C7" s="8">
        <f>COUNTIF(Resp[45],B7)</f>
        <v>3</v>
      </c>
      <c r="D7" s="8">
        <f t="shared" ref="D7:D12" si="1">ROUND($C7/C$13*100,2)</f>
        <v>13.04</v>
      </c>
      <c r="E7" s="18">
        <f t="shared" si="0"/>
        <v>13.042999999999999</v>
      </c>
      <c r="G7" s="8"/>
      <c r="H7" s="8"/>
    </row>
    <row r="8" spans="1:12" x14ac:dyDescent="0.25">
      <c r="B8" s="7" t="s">
        <v>16</v>
      </c>
      <c r="C8" s="8">
        <f>COUNTIF(Resp[45],B8)</f>
        <v>8</v>
      </c>
      <c r="D8" s="8">
        <f t="shared" si="1"/>
        <v>34.78</v>
      </c>
      <c r="E8" s="18">
        <f t="shared" si="0"/>
        <v>34.783000000000001</v>
      </c>
      <c r="G8" s="8"/>
      <c r="H8" s="8"/>
    </row>
    <row r="9" spans="1:12" x14ac:dyDescent="0.25">
      <c r="B9" s="7" t="s">
        <v>17</v>
      </c>
      <c r="C9" s="8">
        <f>COUNTIF(Resp[45],B9)</f>
        <v>3</v>
      </c>
      <c r="D9" s="8">
        <f t="shared" si="1"/>
        <v>13.04</v>
      </c>
      <c r="E9" s="18">
        <f t="shared" si="0"/>
        <v>13.042999999999999</v>
      </c>
      <c r="G9" s="8"/>
      <c r="H9" s="8"/>
    </row>
    <row r="10" spans="1:12" x14ac:dyDescent="0.25">
      <c r="B10" s="7" t="s">
        <v>18</v>
      </c>
      <c r="C10" s="8">
        <f>COUNTIF(Resp[45],B10)</f>
        <v>6</v>
      </c>
      <c r="D10" s="8">
        <f t="shared" si="1"/>
        <v>26.09</v>
      </c>
      <c r="E10" s="18">
        <f t="shared" si="0"/>
        <v>26.087</v>
      </c>
      <c r="G10" s="8"/>
      <c r="H10" s="8"/>
    </row>
    <row r="11" spans="1:12" x14ac:dyDescent="0.25">
      <c r="B11" s="7" t="s">
        <v>19</v>
      </c>
      <c r="C11" s="8">
        <f>COUNTIF(Resp[45],B11)</f>
        <v>1</v>
      </c>
      <c r="D11" s="8">
        <f t="shared" si="1"/>
        <v>4.3499999999999996</v>
      </c>
      <c r="E11" s="18">
        <f t="shared" si="0"/>
        <v>4.3479999999999999</v>
      </c>
      <c r="G11" s="8"/>
      <c r="H11" s="8"/>
    </row>
    <row r="12" spans="1:12" x14ac:dyDescent="0.25">
      <c r="B12" s="13" t="s">
        <v>20</v>
      </c>
      <c r="C12" s="14">
        <f>COUNTIF(Resp[45],B12)</f>
        <v>1</v>
      </c>
      <c r="D12" s="14">
        <f t="shared" si="1"/>
        <v>4.3499999999999996</v>
      </c>
      <c r="E12" s="25">
        <f t="shared" si="0"/>
        <v>4.3479999999999999</v>
      </c>
      <c r="G12" s="8"/>
      <c r="H12" s="8"/>
    </row>
    <row r="13" spans="1:12" x14ac:dyDescent="0.25">
      <c r="B13" s="7" t="s">
        <v>228</v>
      </c>
      <c r="C13" s="7">
        <f>SUM(C6:C12)</f>
        <v>23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17.390999999999998</v>
      </c>
    </row>
    <row r="20" spans="2:5" x14ac:dyDescent="0.25">
      <c r="B20" s="33" t="s">
        <v>26</v>
      </c>
      <c r="C20" s="7" t="s">
        <v>16</v>
      </c>
      <c r="D20" s="7">
        <f>C8</f>
        <v>8</v>
      </c>
      <c r="E20" s="36">
        <f>ROUND(D20/SUM(D19:D22)*100,3)</f>
        <v>34.783000000000001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8.6959999999999997</v>
      </c>
    </row>
    <row r="22" spans="2:5" x14ac:dyDescent="0.25">
      <c r="B22" s="35" t="s">
        <v>24</v>
      </c>
      <c r="C22" s="13" t="s">
        <v>236</v>
      </c>
      <c r="D22" s="13">
        <f>SUM(C9:C10)</f>
        <v>9</v>
      </c>
      <c r="E22" s="37">
        <f>ROUND(D22/SUM(D19:D22)*100,3)</f>
        <v>39.130000000000003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46</v>
      </c>
    </row>
    <row r="2" spans="1:12" x14ac:dyDescent="0.25">
      <c r="A2" s="8" t="str">
        <f>TEXT(A1,"00")</f>
        <v>46</v>
      </c>
      <c r="B2" s="8" t="str">
        <f>VLOOKUP(A$2, Pós[], 3, FALSE)</f>
        <v>Com relação à oferta de bolsas para a pós-graduação, como você avalia: [A aplicação dos critérios de seleção para a distribuição de bolsas]</v>
      </c>
    </row>
    <row r="3" spans="1:12" x14ac:dyDescent="0.25">
      <c r="A3" s="7" t="s">
        <v>223</v>
      </c>
      <c r="B3" s="8" t="str">
        <f>VLOOKUP(A$2, Pós[], 4, FALSE)</f>
        <v>Alunos Pós-Graduação Stricto Sensu: Questão 46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COUNTIF(Resp[46],B6)</f>
        <v>5</v>
      </c>
      <c r="D6" s="8">
        <f>ROUND($C6/C$13*100,2)</f>
        <v>21.74</v>
      </c>
      <c r="E6" s="18">
        <f t="shared" ref="E6:E12" si="0">ROUND($C6/SUM($C$6:$C$12)*100,3)</f>
        <v>21.739000000000001</v>
      </c>
      <c r="G6" s="8"/>
      <c r="H6" s="8"/>
    </row>
    <row r="7" spans="1:12" x14ac:dyDescent="0.25">
      <c r="B7" s="7" t="s">
        <v>14</v>
      </c>
      <c r="C7" s="8">
        <f>COUNTIF(Resp[46],B7)</f>
        <v>14</v>
      </c>
      <c r="D7" s="8">
        <f t="shared" ref="D7:D12" si="1">ROUND($C7/C$13*100,2)</f>
        <v>60.87</v>
      </c>
      <c r="E7" s="18">
        <f t="shared" si="0"/>
        <v>60.87</v>
      </c>
      <c r="G7" s="8"/>
      <c r="H7" s="8"/>
    </row>
    <row r="8" spans="1:12" x14ac:dyDescent="0.25">
      <c r="B8" s="7" t="s">
        <v>16</v>
      </c>
      <c r="C8" s="8">
        <f>COUNTIF(Resp[46],B8)</f>
        <v>1</v>
      </c>
      <c r="D8" s="8">
        <f t="shared" si="1"/>
        <v>4.3499999999999996</v>
      </c>
      <c r="E8" s="18">
        <f t="shared" si="0"/>
        <v>4.3479999999999999</v>
      </c>
      <c r="G8" s="8"/>
      <c r="H8" s="8"/>
    </row>
    <row r="9" spans="1:12" x14ac:dyDescent="0.25">
      <c r="B9" s="7" t="s">
        <v>17</v>
      </c>
      <c r="C9" s="8">
        <f>COUNTIF(Resp[46],B9)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COUNTIF(Resp[46],B11)</f>
        <v>1</v>
      </c>
      <c r="D11" s="8">
        <f t="shared" si="1"/>
        <v>4.3499999999999996</v>
      </c>
      <c r="E11" s="18">
        <f t="shared" si="0"/>
        <v>4.3479999999999999</v>
      </c>
      <c r="G11" s="8"/>
      <c r="H11" s="8"/>
    </row>
    <row r="12" spans="1:12" x14ac:dyDescent="0.25">
      <c r="B12" s="13" t="s">
        <v>20</v>
      </c>
      <c r="C12" s="14">
        <f>COUNTIF(Resp[46],B12)</f>
        <v>2</v>
      </c>
      <c r="D12" s="14">
        <f t="shared" si="1"/>
        <v>8.6999999999999993</v>
      </c>
      <c r="E12" s="25">
        <f t="shared" si="0"/>
        <v>8.6959999999999997</v>
      </c>
      <c r="G12" s="8"/>
      <c r="H12" s="8"/>
    </row>
    <row r="13" spans="1:12" x14ac:dyDescent="0.25">
      <c r="B13" s="7" t="s">
        <v>228</v>
      </c>
      <c r="C13" s="7">
        <f>SUM(C6:C12)</f>
        <v>23</v>
      </c>
      <c r="D13" s="16">
        <f>SUM(D6:D12)</f>
        <v>100.00999999999999</v>
      </c>
      <c r="E13" s="16">
        <f>SUM(E6:E12)</f>
        <v>100.00099999999999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19</v>
      </c>
      <c r="E19" s="36">
        <f>ROUND(D19/SUM(D19:D22)*100,3)</f>
        <v>82.608999999999995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4.3479999999999999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13.042999999999999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7109375" style="7" customWidth="1"/>
    <col min="2" max="2" width="17" style="7" customWidth="1"/>
    <col min="3" max="3" width="30.28515625" style="7" customWidth="1"/>
    <col min="4" max="4" width="12.140625" style="7" customWidth="1"/>
    <col min="5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47</v>
      </c>
    </row>
    <row r="2" spans="1:12" x14ac:dyDescent="0.25">
      <c r="A2" s="8" t="str">
        <f>TEXT(A1,"00")</f>
        <v>47</v>
      </c>
      <c r="B2" s="8" t="str">
        <f>VLOOKUP(A$2, Pós[], 3, FALSE)</f>
        <v>Avalie a sua interação com outros docentes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47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COUNTIF(Resp[47],B6)</f>
        <v>9</v>
      </c>
      <c r="D6" s="8">
        <f>ROUND($C6/C$13*100,2)</f>
        <v>39.130000000000003</v>
      </c>
      <c r="E6" s="18">
        <f t="shared" ref="E6:E12" si="0">ROUND($C6/SUM($C$6:$C$12)*100,3)</f>
        <v>39.130000000000003</v>
      </c>
      <c r="G6" s="8"/>
      <c r="H6" s="8"/>
    </row>
    <row r="7" spans="1:12" x14ac:dyDescent="0.25">
      <c r="B7" s="7" t="s">
        <v>14</v>
      </c>
      <c r="C7" s="8">
        <f>COUNTIF(Resp[47],B7)</f>
        <v>7</v>
      </c>
      <c r="D7" s="8">
        <f t="shared" ref="D7:D12" si="1">ROUND($C7/C$13*100,2)</f>
        <v>30.43</v>
      </c>
      <c r="E7" s="18">
        <f t="shared" si="0"/>
        <v>30.434999999999999</v>
      </c>
      <c r="G7" s="8"/>
      <c r="H7" s="8"/>
    </row>
    <row r="8" spans="1:12" x14ac:dyDescent="0.25">
      <c r="B8" s="7" t="s">
        <v>16</v>
      </c>
      <c r="C8" s="8">
        <f>COUNTIF(Resp[47],B8)</f>
        <v>6</v>
      </c>
      <c r="D8" s="8">
        <f t="shared" si="1"/>
        <v>26.09</v>
      </c>
      <c r="E8" s="18">
        <f t="shared" si="0"/>
        <v>26.087</v>
      </c>
      <c r="G8" s="8"/>
      <c r="H8" s="8"/>
    </row>
    <row r="9" spans="1:12" x14ac:dyDescent="0.25">
      <c r="B9" s="7" t="s">
        <v>17</v>
      </c>
      <c r="C9" s="8">
        <f>COUNTIF(Resp[47],B9)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COUNTIF(Resp[47],B11)</f>
        <v>1</v>
      </c>
      <c r="D11" s="8">
        <f t="shared" si="1"/>
        <v>4.3499999999999996</v>
      </c>
      <c r="E11" s="18">
        <f t="shared" si="0"/>
        <v>4.3479999999999999</v>
      </c>
      <c r="G11" s="8"/>
      <c r="H11" s="8"/>
    </row>
    <row r="12" spans="1:12" x14ac:dyDescent="0.25">
      <c r="B12" s="13" t="s">
        <v>20</v>
      </c>
      <c r="C12" s="14">
        <f>COUNTIF(Resp[47],B12)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16</v>
      </c>
      <c r="E19" s="36">
        <f>ROUND(D19/SUM(D19:D22)*100,3)</f>
        <v>69.564999999999998</v>
      </c>
    </row>
    <row r="20" spans="2:5" x14ac:dyDescent="0.25">
      <c r="B20" s="33" t="s">
        <v>26</v>
      </c>
      <c r="C20" s="7" t="s">
        <v>16</v>
      </c>
      <c r="D20" s="7">
        <f>C8</f>
        <v>6</v>
      </c>
      <c r="E20" s="36">
        <f>ROUND(D20/SUM(D19:D22)*100,3)</f>
        <v>26.087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4.3479999999999999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"/>
  <sheetViews>
    <sheetView workbookViewId="0">
      <selection activeCell="Q13" sqref="Q13:Q14"/>
    </sheetView>
  </sheetViews>
  <sheetFormatPr defaultRowHeight="15" x14ac:dyDescent="0.25"/>
  <cols>
    <col min="1" max="1" width="16.710937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2</v>
      </c>
    </row>
    <row r="2" spans="1:5" x14ac:dyDescent="0.25">
      <c r="A2" s="8" t="str">
        <f>TEXT(A1,"00")</f>
        <v>02</v>
      </c>
      <c r="B2" s="8" t="str">
        <f>VLOOKUP(A$2, Pós[], 3, FALSE)</f>
        <v>Quanto a sua formação anterior: [Graduação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2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COUNTIF(Resp[02],B6)</f>
        <v>7</v>
      </c>
      <c r="D6" s="7">
        <f>ROUND($C6/C$8*100,2)</f>
        <v>30.43</v>
      </c>
      <c r="E6" s="18">
        <f>ROUND($C6/SUM($C$6:$C$7)*100,3)</f>
        <v>30.434999999999999</v>
      </c>
    </row>
    <row r="7" spans="1:5" x14ac:dyDescent="0.25">
      <c r="B7" s="7" t="s">
        <v>15</v>
      </c>
      <c r="C7" s="8">
        <f>COUNTIF(Resp[02],B7)</f>
        <v>16</v>
      </c>
      <c r="D7" s="7">
        <f>ROUND($C7/C$8*100,2)</f>
        <v>69.569999999999993</v>
      </c>
      <c r="E7" s="18">
        <f>ROUND($C7/SUM($C$6:$C$7)*100,3)</f>
        <v>69.564999999999998</v>
      </c>
    </row>
    <row r="8" spans="1:5" x14ac:dyDescent="0.25">
      <c r="B8" s="15" t="s">
        <v>228</v>
      </c>
      <c r="C8" s="15">
        <f>SUM(C6:C7)</f>
        <v>23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85546875" style="7" customWidth="1"/>
    <col min="2" max="2" width="23.140625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48</v>
      </c>
    </row>
    <row r="2" spans="1:12" x14ac:dyDescent="0.25">
      <c r="A2" s="8" t="str">
        <f>TEXT(A1,"00")</f>
        <v>48</v>
      </c>
      <c r="B2" s="8" t="str">
        <f>VLOOKUP(A$2, Pós[], 3, FALSE)</f>
        <v>Avalie a sua interação com outros docentes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48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COUNTIF(Resp[48],B6)</f>
        <v>2</v>
      </c>
      <c r="D6" s="8">
        <f>ROUND($C6/C$13*100,2)</f>
        <v>8.6999999999999993</v>
      </c>
      <c r="E6" s="18">
        <f t="shared" ref="E6:E12" si="0">ROUND($C6/SUM($C$6:$C$12)*100,3)</f>
        <v>8.6959999999999997</v>
      </c>
      <c r="G6" s="8"/>
      <c r="H6" s="8"/>
    </row>
    <row r="7" spans="1:12" x14ac:dyDescent="0.25">
      <c r="B7" s="7" t="s">
        <v>14</v>
      </c>
      <c r="C7" s="8">
        <f>COUNTIF(Resp[48],B7)</f>
        <v>5</v>
      </c>
      <c r="D7" s="8">
        <f t="shared" ref="D7:D12" si="1">ROUND($C7/C$13*100,2)</f>
        <v>21.74</v>
      </c>
      <c r="E7" s="18">
        <f t="shared" si="0"/>
        <v>21.739000000000001</v>
      </c>
      <c r="G7" s="8"/>
      <c r="H7" s="8"/>
    </row>
    <row r="8" spans="1:12" x14ac:dyDescent="0.25">
      <c r="B8" s="7" t="s">
        <v>16</v>
      </c>
      <c r="C8" s="8">
        <f>COUNTIF(Resp[48],B8)</f>
        <v>4</v>
      </c>
      <c r="D8" s="8">
        <f t="shared" si="1"/>
        <v>17.39</v>
      </c>
      <c r="E8" s="18">
        <f t="shared" si="0"/>
        <v>17.390999999999998</v>
      </c>
      <c r="G8" s="8"/>
      <c r="H8" s="8"/>
    </row>
    <row r="9" spans="1:12" x14ac:dyDescent="0.25">
      <c r="B9" s="7" t="s">
        <v>17</v>
      </c>
      <c r="C9" s="8">
        <f>COUNTIF(Resp[48],B9)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COUNTIF(Resp[48],B11)</f>
        <v>3</v>
      </c>
      <c r="D11" s="8">
        <f t="shared" si="1"/>
        <v>13.04</v>
      </c>
      <c r="E11" s="18">
        <f t="shared" si="0"/>
        <v>13.042999999999999</v>
      </c>
      <c r="G11" s="8"/>
      <c r="H11" s="8"/>
    </row>
    <row r="12" spans="1:12" x14ac:dyDescent="0.25">
      <c r="B12" s="13" t="s">
        <v>20</v>
      </c>
      <c r="C12" s="14">
        <f>COUNTIF(Resp[48],B12)</f>
        <v>9</v>
      </c>
      <c r="D12" s="14">
        <f t="shared" si="1"/>
        <v>39.130000000000003</v>
      </c>
      <c r="E12" s="25">
        <f t="shared" si="0"/>
        <v>39.130000000000003</v>
      </c>
      <c r="G12" s="8"/>
      <c r="H12" s="8"/>
    </row>
    <row r="13" spans="1:12" x14ac:dyDescent="0.25">
      <c r="B13" s="7" t="s">
        <v>228</v>
      </c>
      <c r="C13" s="7">
        <f>SUM(C6:C12)</f>
        <v>23</v>
      </c>
      <c r="D13" s="16">
        <f>SUM(D6:D12)</f>
        <v>100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30.434999999999999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17.390999999999998</v>
      </c>
    </row>
    <row r="21" spans="2:5" x14ac:dyDescent="0.25">
      <c r="B21" s="34" t="s">
        <v>234</v>
      </c>
      <c r="C21" s="7" t="s">
        <v>235</v>
      </c>
      <c r="D21" s="7">
        <f>SUM(C11,C12)</f>
        <v>12</v>
      </c>
      <c r="E21" s="36">
        <f>ROUND(D21/SUM(D19:D22)*100,3)</f>
        <v>52.173999999999999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4257812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49</v>
      </c>
    </row>
    <row r="2" spans="1:12" x14ac:dyDescent="0.25">
      <c r="A2" s="8" t="str">
        <f>TEXT(A1,"00")</f>
        <v>49</v>
      </c>
      <c r="B2" s="8" t="str">
        <f>VLOOKUP(A$2, Pós[], 3, FALSE)</f>
        <v>Avalie a sua interação com outros docentes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49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COUNTIF(Resp[49],B6)</f>
        <v>1</v>
      </c>
      <c r="D6" s="8">
        <f>ROUND($C6/C$13*100,2)</f>
        <v>4.3499999999999996</v>
      </c>
      <c r="E6" s="18">
        <f t="shared" ref="E6:E12" si="0">ROUND($C6/SUM($C$6:$C$12)*100,3)</f>
        <v>4.3479999999999999</v>
      </c>
      <c r="G6" s="8"/>
      <c r="H6" s="8"/>
    </row>
    <row r="7" spans="1:12" x14ac:dyDescent="0.25">
      <c r="B7" s="7" t="s">
        <v>14</v>
      </c>
      <c r="C7" s="8">
        <f>COUNTIF(Resp[49],B7)</f>
        <v>2</v>
      </c>
      <c r="D7" s="8">
        <f t="shared" ref="D7:D12" si="1">ROUND($C7/C$13*100,2)</f>
        <v>8.6999999999999993</v>
      </c>
      <c r="E7" s="18">
        <f t="shared" si="0"/>
        <v>8.6959999999999997</v>
      </c>
      <c r="G7" s="8"/>
      <c r="H7" s="8"/>
    </row>
    <row r="8" spans="1:12" x14ac:dyDescent="0.25">
      <c r="B8" s="7" t="s">
        <v>16</v>
      </c>
      <c r="C8" s="8">
        <f>COUNTIF(Resp[49],B8)</f>
        <v>2</v>
      </c>
      <c r="D8" s="8">
        <f t="shared" si="1"/>
        <v>8.6999999999999993</v>
      </c>
      <c r="E8" s="18">
        <f t="shared" si="0"/>
        <v>8.6959999999999997</v>
      </c>
      <c r="G8" s="8"/>
      <c r="H8" s="8"/>
    </row>
    <row r="9" spans="1:12" x14ac:dyDescent="0.25">
      <c r="B9" s="7" t="s">
        <v>17</v>
      </c>
      <c r="C9" s="8">
        <f>COUNTIF(Resp[49],B9)</f>
        <v>1</v>
      </c>
      <c r="D9" s="8">
        <f t="shared" si="1"/>
        <v>4.3499999999999996</v>
      </c>
      <c r="E9" s="18">
        <f t="shared" si="0"/>
        <v>4.3479999999999999</v>
      </c>
      <c r="G9" s="8"/>
      <c r="H9" s="8"/>
    </row>
    <row r="10" spans="1:12" x14ac:dyDescent="0.25">
      <c r="B10" s="7" t="s">
        <v>18</v>
      </c>
      <c r="C10" s="8">
        <f>COUNTIF(Resp[49],B10)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COUNTIF(Resp[49],B11)</f>
        <v>4</v>
      </c>
      <c r="D11" s="8">
        <f t="shared" si="1"/>
        <v>17.39</v>
      </c>
      <c r="E11" s="18">
        <f t="shared" si="0"/>
        <v>17.390999999999998</v>
      </c>
      <c r="G11" s="8"/>
      <c r="H11" s="8"/>
    </row>
    <row r="12" spans="1:12" x14ac:dyDescent="0.25">
      <c r="B12" s="13" t="s">
        <v>20</v>
      </c>
      <c r="C12" s="14">
        <f>COUNTIF(Resp[49],B12)</f>
        <v>13</v>
      </c>
      <c r="D12" s="14">
        <f t="shared" si="1"/>
        <v>56.52</v>
      </c>
      <c r="E12" s="25">
        <f t="shared" si="0"/>
        <v>56.521999999999998</v>
      </c>
      <c r="G12" s="8"/>
      <c r="H12" s="8"/>
    </row>
    <row r="13" spans="1:12" x14ac:dyDescent="0.25">
      <c r="B13" s="7" t="s">
        <v>228</v>
      </c>
      <c r="C13" s="7">
        <f>SUM(C6:C12)</f>
        <v>23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13.042999999999999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8.6959999999999997</v>
      </c>
    </row>
    <row r="21" spans="2:5" x14ac:dyDescent="0.25">
      <c r="B21" s="34" t="s">
        <v>234</v>
      </c>
      <c r="C21" s="7" t="s">
        <v>235</v>
      </c>
      <c r="D21" s="7">
        <f>SUM(C11,C12)</f>
        <v>17</v>
      </c>
      <c r="E21" s="36">
        <f>ROUND(D21/SUM(D19:D22)*100,3)</f>
        <v>73.912999999999997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4.3479999999999999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7109375" style="7" customWidth="1"/>
    <col min="2" max="2" width="17" style="7" customWidth="1"/>
    <col min="3" max="3" width="34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50</v>
      </c>
    </row>
    <row r="2" spans="1:12" x14ac:dyDescent="0.25">
      <c r="A2" s="8" t="str">
        <f>TEXT(A1,"00")</f>
        <v>50</v>
      </c>
      <c r="B2" s="8" t="str">
        <f>VLOOKUP(A$2, Pós[], 3, FALSE)</f>
        <v>Avalie a sua interação com outros discentes que desenvolvem pesquisa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50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COUNTIF(Resp[50],B6)</f>
        <v>10</v>
      </c>
      <c r="D6" s="8">
        <f>ROUND($C6/C$13*100,2)</f>
        <v>43.48</v>
      </c>
      <c r="E6" s="18">
        <f t="shared" ref="E6:E12" si="0">ROUND($C6/SUM($C$6:$C$12)*100,3)</f>
        <v>43.478000000000002</v>
      </c>
      <c r="G6" s="8"/>
      <c r="H6" s="8"/>
    </row>
    <row r="7" spans="1:12" x14ac:dyDescent="0.25">
      <c r="B7" s="7" t="s">
        <v>14</v>
      </c>
      <c r="C7" s="8">
        <f>COUNTIF(Resp[50],B7)</f>
        <v>7</v>
      </c>
      <c r="D7" s="8">
        <f t="shared" ref="D7:D12" si="1">ROUND($C7/C$13*100,2)</f>
        <v>30.43</v>
      </c>
      <c r="E7" s="18">
        <f t="shared" si="0"/>
        <v>30.434999999999999</v>
      </c>
      <c r="G7" s="8"/>
      <c r="H7" s="8"/>
    </row>
    <row r="8" spans="1:12" x14ac:dyDescent="0.25">
      <c r="B8" s="7" t="s">
        <v>16</v>
      </c>
      <c r="C8" s="8">
        <f>COUNTIF(Resp[50],B8)</f>
        <v>2</v>
      </c>
      <c r="D8" s="8">
        <f t="shared" si="1"/>
        <v>8.6999999999999993</v>
      </c>
      <c r="E8" s="18">
        <f t="shared" si="0"/>
        <v>8.6959999999999997</v>
      </c>
      <c r="G8" s="8"/>
      <c r="H8" s="8"/>
    </row>
    <row r="9" spans="1:12" x14ac:dyDescent="0.25">
      <c r="B9" s="7" t="s">
        <v>17</v>
      </c>
      <c r="C9" s="8">
        <f>COUNTIF(Resp[50],B9)</f>
        <v>2</v>
      </c>
      <c r="D9" s="8">
        <f t="shared" si="1"/>
        <v>8.6999999999999993</v>
      </c>
      <c r="E9" s="18">
        <f t="shared" si="0"/>
        <v>8.6959999999999997</v>
      </c>
      <c r="G9" s="8"/>
      <c r="H9" s="8"/>
    </row>
    <row r="10" spans="1:12" x14ac:dyDescent="0.25">
      <c r="B10" s="7" t="s">
        <v>18</v>
      </c>
      <c r="C10" s="8">
        <f>COUNTIF(Resp[50],B10)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COUNTIF(Resp[50],B11)</f>
        <v>1</v>
      </c>
      <c r="D11" s="8">
        <f t="shared" si="1"/>
        <v>4.3499999999999996</v>
      </c>
      <c r="E11" s="18">
        <f t="shared" si="0"/>
        <v>4.3479999999999999</v>
      </c>
      <c r="G11" s="8"/>
      <c r="H11" s="8"/>
    </row>
    <row r="12" spans="1:12" x14ac:dyDescent="0.25">
      <c r="B12" s="13" t="s">
        <v>20</v>
      </c>
      <c r="C12" s="14">
        <f>COUNTIF(Resp[50],B12)</f>
        <v>1</v>
      </c>
      <c r="D12" s="14">
        <f t="shared" si="1"/>
        <v>4.3499999999999996</v>
      </c>
      <c r="E12" s="25">
        <f t="shared" si="0"/>
        <v>4.3479999999999999</v>
      </c>
      <c r="G12" s="8"/>
      <c r="H12" s="8"/>
    </row>
    <row r="13" spans="1:12" x14ac:dyDescent="0.25">
      <c r="B13" s="7" t="s">
        <v>228</v>
      </c>
      <c r="C13" s="7">
        <f>SUM(C6:C12)</f>
        <v>23</v>
      </c>
      <c r="D13" s="16">
        <f>SUM(D6:D12)</f>
        <v>100.00999999999999</v>
      </c>
      <c r="E13" s="16">
        <f>SUM(E6:E12)</f>
        <v>100.00099999999999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17</v>
      </c>
      <c r="E19" s="36">
        <f>ROUND(D19/SUM(D19:D22)*100,3)</f>
        <v>73.912999999999997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8.6959999999999997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8.6959999999999997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8.6959999999999997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L57"/>
  <sheetViews>
    <sheetView workbookViewId="0">
      <selection activeCell="D19" sqref="D19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51</v>
      </c>
    </row>
    <row r="2" spans="1:12" x14ac:dyDescent="0.25">
      <c r="A2" s="8" t="str">
        <f>TEXT(A1,"00")</f>
        <v>51</v>
      </c>
      <c r="B2" s="8" t="str">
        <f>VLOOKUP(A$2, Pós[], 3, FALSE)</f>
        <v>Avalie a sua interação com outros discentes que desenvolvem pesquisa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51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COUNTIF(Resp[51],B6)</f>
        <v>1</v>
      </c>
      <c r="D6" s="8">
        <f>ROUND($C6/C$13*100,2)</f>
        <v>4.3499999999999996</v>
      </c>
      <c r="E6" s="18">
        <f t="shared" ref="E6:E12" si="0">ROUND($C6/SUM($C$6:$C$12)*100,3)</f>
        <v>4.3479999999999999</v>
      </c>
      <c r="G6" s="8"/>
      <c r="H6" s="8"/>
    </row>
    <row r="7" spans="1:12" x14ac:dyDescent="0.25">
      <c r="B7" s="7" t="s">
        <v>14</v>
      </c>
      <c r="C7" s="8">
        <f>COUNTIF(Resp[51],B7)</f>
        <v>6</v>
      </c>
      <c r="D7" s="8">
        <f t="shared" ref="D7:D12" si="1">ROUND($C7/C$13*100,2)</f>
        <v>26.09</v>
      </c>
      <c r="E7" s="18">
        <f t="shared" si="0"/>
        <v>26.087</v>
      </c>
      <c r="G7" s="8"/>
      <c r="H7" s="8"/>
    </row>
    <row r="8" spans="1:12" x14ac:dyDescent="0.25">
      <c r="B8" s="7" t="s">
        <v>16</v>
      </c>
      <c r="C8" s="8">
        <f>COUNTIF(Resp[51],B8)</f>
        <v>2</v>
      </c>
      <c r="D8" s="8">
        <f t="shared" si="1"/>
        <v>8.6999999999999993</v>
      </c>
      <c r="E8" s="18">
        <f t="shared" si="0"/>
        <v>8.6959999999999997</v>
      </c>
      <c r="G8" s="8"/>
      <c r="H8" s="8"/>
    </row>
    <row r="9" spans="1:12" x14ac:dyDescent="0.25">
      <c r="B9" s="7" t="s">
        <v>17</v>
      </c>
      <c r="C9" s="8">
        <f>COUNTIF(Resp[51],B9)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COUNTIF(Resp[51],B10)</f>
        <v>1</v>
      </c>
      <c r="D10" s="8">
        <f t="shared" si="1"/>
        <v>4.3499999999999996</v>
      </c>
      <c r="E10" s="18">
        <f t="shared" si="0"/>
        <v>4.3479999999999999</v>
      </c>
      <c r="G10" s="8"/>
      <c r="H10" s="8"/>
    </row>
    <row r="11" spans="1:12" x14ac:dyDescent="0.25">
      <c r="B11" s="7" t="s">
        <v>19</v>
      </c>
      <c r="C11" s="8">
        <f>COUNTIF(Resp[51],B11)</f>
        <v>3</v>
      </c>
      <c r="D11" s="8">
        <f t="shared" si="1"/>
        <v>13.04</v>
      </c>
      <c r="E11" s="18">
        <f t="shared" si="0"/>
        <v>13.042999999999999</v>
      </c>
      <c r="G11" s="8"/>
      <c r="H11" s="8"/>
    </row>
    <row r="12" spans="1:12" x14ac:dyDescent="0.25">
      <c r="B12" s="13" t="s">
        <v>20</v>
      </c>
      <c r="C12" s="14">
        <f>COUNTIF(Resp[51],B12)</f>
        <v>10</v>
      </c>
      <c r="D12" s="14">
        <f t="shared" si="1"/>
        <v>43.48</v>
      </c>
      <c r="E12" s="25">
        <f t="shared" si="0"/>
        <v>43.478000000000002</v>
      </c>
      <c r="G12" s="8"/>
      <c r="H12" s="8"/>
    </row>
    <row r="13" spans="1:12" x14ac:dyDescent="0.25">
      <c r="B13" s="7" t="s">
        <v>228</v>
      </c>
      <c r="C13" s="7">
        <f>SUM(C6:C12)</f>
        <v>23</v>
      </c>
      <c r="D13" s="16">
        <f>SUM(D6:D12)</f>
        <v>100.00999999999999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30.434999999999999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8.6959999999999997</v>
      </c>
    </row>
    <row r="21" spans="2:5" x14ac:dyDescent="0.25">
      <c r="B21" s="34" t="s">
        <v>234</v>
      </c>
      <c r="C21" s="7" t="s">
        <v>235</v>
      </c>
      <c r="D21" s="7">
        <f>SUM(C11,C12)</f>
        <v>13</v>
      </c>
      <c r="E21" s="36">
        <f>ROUND(D21/SUM(D19:D22)*100,3)</f>
        <v>56.521999999999998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4.3479999999999999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52</v>
      </c>
    </row>
    <row r="2" spans="1:12" x14ac:dyDescent="0.25">
      <c r="A2" s="8" t="str">
        <f>TEXT(A1,"00")</f>
        <v>52</v>
      </c>
      <c r="B2" s="8" t="str">
        <f>VLOOKUP(A$2, Pós[], 3, FALSE)</f>
        <v>Avalie a sua interação com outros discentes que desenvolvem pesquisa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52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COUNTIF(Resp[52],B6)</f>
        <v>1</v>
      </c>
      <c r="D6" s="8">
        <f>ROUND($C6/C$13*100,2)</f>
        <v>4.3499999999999996</v>
      </c>
      <c r="E6" s="18">
        <f t="shared" ref="E6:E12" si="0">ROUND($C6/SUM($C$6:$C$12)*100,3)</f>
        <v>4.3479999999999999</v>
      </c>
      <c r="G6" s="8"/>
      <c r="H6" s="8"/>
    </row>
    <row r="7" spans="1:12" x14ac:dyDescent="0.25">
      <c r="B7" s="7" t="s">
        <v>14</v>
      </c>
      <c r="C7" s="8">
        <f>COUNTIF(Resp[52],B7)</f>
        <v>2</v>
      </c>
      <c r="D7" s="8">
        <f t="shared" ref="D7:D12" si="1">ROUND($C7/C$13*100,2)</f>
        <v>8.6999999999999993</v>
      </c>
      <c r="E7" s="18">
        <f t="shared" si="0"/>
        <v>8.6959999999999997</v>
      </c>
      <c r="G7" s="8"/>
      <c r="H7" s="8"/>
    </row>
    <row r="8" spans="1:12" x14ac:dyDescent="0.25">
      <c r="B8" s="7" t="s">
        <v>16</v>
      </c>
      <c r="C8" s="8">
        <f>COUNTIF(Resp[52],B8)</f>
        <v>2</v>
      </c>
      <c r="D8" s="8">
        <f t="shared" si="1"/>
        <v>8.6999999999999993</v>
      </c>
      <c r="E8" s="18">
        <f t="shared" si="0"/>
        <v>8.6959999999999997</v>
      </c>
      <c r="G8" s="8"/>
      <c r="H8" s="8"/>
    </row>
    <row r="9" spans="1:12" x14ac:dyDescent="0.25">
      <c r="B9" s="7" t="s">
        <v>17</v>
      </c>
      <c r="C9" s="8">
        <f>COUNTIF(Resp[52],B9)</f>
        <v>1</v>
      </c>
      <c r="D9" s="8">
        <f t="shared" si="1"/>
        <v>4.3499999999999996</v>
      </c>
      <c r="E9" s="18">
        <f t="shared" si="0"/>
        <v>4.3479999999999999</v>
      </c>
      <c r="G9" s="8"/>
      <c r="H9" s="8"/>
    </row>
    <row r="10" spans="1:12" x14ac:dyDescent="0.25">
      <c r="B10" s="7" t="s">
        <v>18</v>
      </c>
      <c r="C10" s="8">
        <f>COUNTIF(Resp[52],B10)</f>
        <v>1</v>
      </c>
      <c r="D10" s="8">
        <f t="shared" si="1"/>
        <v>4.3499999999999996</v>
      </c>
      <c r="E10" s="18">
        <f t="shared" si="0"/>
        <v>4.3479999999999999</v>
      </c>
      <c r="G10" s="8"/>
      <c r="H10" s="8"/>
    </row>
    <row r="11" spans="1:12" x14ac:dyDescent="0.25">
      <c r="B11" s="7" t="s">
        <v>19</v>
      </c>
      <c r="C11" s="8">
        <f>COUNTIF(Resp[52],B11)</f>
        <v>4</v>
      </c>
      <c r="D11" s="8">
        <f t="shared" si="1"/>
        <v>17.39</v>
      </c>
      <c r="E11" s="18">
        <f t="shared" si="0"/>
        <v>17.390999999999998</v>
      </c>
      <c r="G11" s="8"/>
      <c r="H11" s="8"/>
    </row>
    <row r="12" spans="1:12" x14ac:dyDescent="0.25">
      <c r="B12" s="13" t="s">
        <v>20</v>
      </c>
      <c r="C12" s="14">
        <f>COUNTIF(Resp[52],B12)</f>
        <v>12</v>
      </c>
      <c r="D12" s="14">
        <f t="shared" si="1"/>
        <v>52.17</v>
      </c>
      <c r="E12" s="25">
        <f t="shared" si="0"/>
        <v>52.173999999999999</v>
      </c>
      <c r="G12" s="8"/>
      <c r="H12" s="8"/>
    </row>
    <row r="13" spans="1:12" x14ac:dyDescent="0.25">
      <c r="B13" s="7" t="s">
        <v>228</v>
      </c>
      <c r="C13" s="7">
        <f>SUM(C6:C12)</f>
        <v>23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13.042999999999999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8.6959999999999997</v>
      </c>
    </row>
    <row r="21" spans="2:5" x14ac:dyDescent="0.25">
      <c r="B21" s="34" t="s">
        <v>234</v>
      </c>
      <c r="C21" s="7" t="s">
        <v>235</v>
      </c>
      <c r="D21" s="7">
        <f>SUM(C11,C12)</f>
        <v>16</v>
      </c>
      <c r="E21" s="36">
        <f>ROUND(D21/SUM(D19:D22)*100,3)</f>
        <v>69.564999999999998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8.6959999999999997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L57"/>
  <sheetViews>
    <sheetView workbookViewId="0">
      <selection activeCell="C14" sqref="C14"/>
    </sheetView>
  </sheetViews>
  <sheetFormatPr defaultRowHeight="15" x14ac:dyDescent="0.25"/>
  <cols>
    <col min="1" max="1" width="15.71093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54</v>
      </c>
    </row>
    <row r="2" spans="1:12" x14ac:dyDescent="0.25">
      <c r="A2" s="8" t="str">
        <f>TEXT(A1,"00")</f>
        <v>54</v>
      </c>
      <c r="B2" s="8" t="str">
        <f>VLOOKUP(A$2, Pós[], 3, FALSE)</f>
        <v>Como você avalia o funcionamento da secretaria de pós-graduação em 2021 com relação aos temas a seguir? [Horário de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COUNTIF(Resp[54],B6)</f>
        <v>11</v>
      </c>
      <c r="D6" s="8">
        <f>ROUND($C6/C$13*100,2)</f>
        <v>47.83</v>
      </c>
      <c r="E6" s="18">
        <f t="shared" ref="E6:E12" si="0">ROUND($C6/SUM($C$6:$C$12)*100,3)</f>
        <v>47.826000000000001</v>
      </c>
      <c r="G6" s="8"/>
      <c r="H6" s="8"/>
    </row>
    <row r="7" spans="1:12" x14ac:dyDescent="0.25">
      <c r="B7" s="7" t="s">
        <v>14</v>
      </c>
      <c r="C7" s="8">
        <f>COUNTIF(Resp[54],B7)</f>
        <v>8</v>
      </c>
      <c r="D7" s="8">
        <f t="shared" ref="D7:D12" si="1">ROUND($C7/C$13*100,2)</f>
        <v>34.78</v>
      </c>
      <c r="E7" s="18">
        <f t="shared" si="0"/>
        <v>34.783000000000001</v>
      </c>
      <c r="G7" s="8"/>
      <c r="H7" s="8"/>
    </row>
    <row r="8" spans="1:12" x14ac:dyDescent="0.25">
      <c r="B8" s="7" t="s">
        <v>16</v>
      </c>
      <c r="C8" s="8">
        <f>COUNTIF(Resp[54],B8)</f>
        <v>1</v>
      </c>
      <c r="D8" s="8">
        <f t="shared" si="1"/>
        <v>4.3499999999999996</v>
      </c>
      <c r="E8" s="18">
        <f t="shared" si="0"/>
        <v>4.3479999999999999</v>
      </c>
      <c r="G8" s="8"/>
      <c r="H8" s="8"/>
    </row>
    <row r="9" spans="1:12" x14ac:dyDescent="0.25">
      <c r="B9" s="7" t="s">
        <v>17</v>
      </c>
      <c r="C9" s="8">
        <f>COUNTIF(Resp[54],B9)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COUNTIF(Resp[54],B11)</f>
        <v>2</v>
      </c>
      <c r="D11" s="8">
        <f t="shared" si="1"/>
        <v>8.6999999999999993</v>
      </c>
      <c r="E11" s="18">
        <f t="shared" si="0"/>
        <v>8.6959999999999997</v>
      </c>
      <c r="G11" s="8"/>
      <c r="H11" s="8"/>
    </row>
    <row r="12" spans="1:12" x14ac:dyDescent="0.25">
      <c r="B12" s="13" t="s">
        <v>20</v>
      </c>
      <c r="C12" s="8">
        <f>COUNTIF(Resp[54],B12)</f>
        <v>1</v>
      </c>
      <c r="D12" s="14">
        <f t="shared" si="1"/>
        <v>4.3499999999999996</v>
      </c>
      <c r="E12" s="25">
        <f t="shared" si="0"/>
        <v>4.3479999999999999</v>
      </c>
      <c r="G12" s="8"/>
      <c r="H12" s="8"/>
    </row>
    <row r="13" spans="1:12" x14ac:dyDescent="0.25">
      <c r="B13" s="7" t="s">
        <v>228</v>
      </c>
      <c r="C13" s="7">
        <f>SUM(C6:C12)</f>
        <v>23</v>
      </c>
      <c r="D13" s="16">
        <f>SUM(D6:D12)</f>
        <v>100.00999999999999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1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19</v>
      </c>
      <c r="E19" s="36">
        <f>ROUND(D19/SUM(D19:D22)*100,3)</f>
        <v>82.608999999999995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4.3479999999999999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13.042999999999999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L57"/>
  <sheetViews>
    <sheetView workbookViewId="0">
      <selection activeCell="G30" sqref="G30"/>
    </sheetView>
  </sheetViews>
  <sheetFormatPr defaultRowHeight="15" x14ac:dyDescent="0.25"/>
  <cols>
    <col min="1" max="1" width="13.42578125" style="7" customWidth="1"/>
    <col min="2" max="2" width="17" style="7" customWidth="1"/>
    <col min="3" max="3" width="16.85546875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55</v>
      </c>
    </row>
    <row r="2" spans="1:12" x14ac:dyDescent="0.25">
      <c r="A2" s="8" t="str">
        <f>TEXT(A1,"00")</f>
        <v>55</v>
      </c>
      <c r="B2" s="8" t="str">
        <f>VLOOKUP(A$2, Pós[], 3, FALSE)</f>
        <v>Como você avalia o funcionamento da secretaria de pós-graduação em 2021 com relação aos temas a seguir? [Qualidade do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COUNTIF(Resp[55],B6)</f>
        <v>13</v>
      </c>
      <c r="D6" s="8">
        <f>ROUND($C6/C$13*100,2)</f>
        <v>56.52</v>
      </c>
      <c r="E6" s="18">
        <f t="shared" ref="E6:E12" si="0">ROUND($C6/SUM($C$6:$C$12)*100,3)</f>
        <v>56.521999999999998</v>
      </c>
      <c r="G6" s="8"/>
      <c r="H6" s="8"/>
    </row>
    <row r="7" spans="1:12" x14ac:dyDescent="0.25">
      <c r="B7" s="7" t="s">
        <v>14</v>
      </c>
      <c r="C7" s="8">
        <f>COUNTIF(Resp[55],B7)</f>
        <v>7</v>
      </c>
      <c r="D7" s="8">
        <f t="shared" ref="D7:D12" si="1">ROUND($C7/C$13*100,2)</f>
        <v>30.43</v>
      </c>
      <c r="E7" s="18">
        <f t="shared" si="0"/>
        <v>30.434999999999999</v>
      </c>
      <c r="G7" s="8"/>
      <c r="H7" s="8"/>
    </row>
    <row r="8" spans="1:12" x14ac:dyDescent="0.25">
      <c r="B8" s="7" t="s">
        <v>16</v>
      </c>
      <c r="C8" s="8">
        <f>COUNTIF(Resp[55],B8)</f>
        <v>1</v>
      </c>
      <c r="D8" s="8">
        <f t="shared" si="1"/>
        <v>4.3499999999999996</v>
      </c>
      <c r="E8" s="18">
        <f t="shared" si="0"/>
        <v>4.3479999999999999</v>
      </c>
      <c r="G8" s="8"/>
      <c r="H8" s="8"/>
    </row>
    <row r="9" spans="1:12" x14ac:dyDescent="0.25">
      <c r="B9" s="7" t="s">
        <v>17</v>
      </c>
      <c r="C9" s="8">
        <f>COUNTIF(Resp[55],B9)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COUNTIF(Resp[55],B11)</f>
        <v>2</v>
      </c>
      <c r="D11" s="8">
        <f t="shared" si="1"/>
        <v>8.6999999999999993</v>
      </c>
      <c r="E11" s="18">
        <f t="shared" si="0"/>
        <v>8.6959999999999997</v>
      </c>
      <c r="G11" s="8"/>
      <c r="H11" s="8"/>
    </row>
    <row r="12" spans="1:12" x14ac:dyDescent="0.25">
      <c r="B12" s="13" t="s">
        <v>20</v>
      </c>
      <c r="C12" s="60">
        <f>COUNTIF(Resp[55],B12)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23</v>
      </c>
      <c r="D13" s="16">
        <f>SUM(D6:D12)</f>
        <v>100</v>
      </c>
      <c r="E13" s="16">
        <f>SUM(E6:E12)</f>
        <v>100.00099999999999</v>
      </c>
    </row>
    <row r="14" spans="1:12" x14ac:dyDescent="0.25">
      <c r="B14" s="27"/>
      <c r="K14" s="16"/>
      <c r="L14" s="16"/>
    </row>
    <row r="15" spans="1:12" x14ac:dyDescent="0.25">
      <c r="B15" s="24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20</v>
      </c>
      <c r="E19" s="36">
        <f>ROUND(D19/SUM(D19:D22)*100,3)</f>
        <v>86.956999999999994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4.3479999999999999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8.6959999999999997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4.28515625" style="7" customWidth="1"/>
    <col min="2" max="2" width="17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71093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56</v>
      </c>
    </row>
    <row r="2" spans="1:12" x14ac:dyDescent="0.25">
      <c r="A2" s="8" t="str">
        <f>TEXT(A1,"00")</f>
        <v>56</v>
      </c>
      <c r="B2" s="8" t="str">
        <f>VLOOKUP(A$2, Pós[], 3, FALSE)</f>
        <v>Como você avalia o funcionamento da secretaria de pós-graduação em 2021 com relação aos temas a seguir? [Efetividade do atendimento (supre as demandas dos docentes e discentes)]</v>
      </c>
    </row>
    <row r="3" spans="1:12" x14ac:dyDescent="0.25">
      <c r="A3" s="7" t="s">
        <v>223</v>
      </c>
      <c r="B3" s="8" t="str">
        <f>VLOOKUP(A$2, Pós[], 4, FALSE)</f>
        <v>Alunos Pós-Graduação Stricto Sensu: Questão 56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COUNTIF(Resp[56],B6)</f>
        <v>11</v>
      </c>
      <c r="D6" s="8">
        <f>ROUND($C6/C$13*100,2)</f>
        <v>47.83</v>
      </c>
      <c r="E6" s="18">
        <f t="shared" ref="E6:E12" si="0">ROUND($C6/SUM($C$6:$C$12)*100,3)</f>
        <v>47.826000000000001</v>
      </c>
      <c r="G6" s="8"/>
      <c r="H6" s="8"/>
    </row>
    <row r="7" spans="1:12" x14ac:dyDescent="0.25">
      <c r="B7" s="7" t="s">
        <v>14</v>
      </c>
      <c r="C7" s="8">
        <f>COUNTIF(Resp[56],B7)</f>
        <v>10</v>
      </c>
      <c r="D7" s="8">
        <f t="shared" ref="D7:D12" si="1">ROUND($C7/C$13*100,2)</f>
        <v>43.48</v>
      </c>
      <c r="E7" s="18">
        <f t="shared" si="0"/>
        <v>43.478000000000002</v>
      </c>
      <c r="G7" s="8"/>
      <c r="H7" s="8"/>
    </row>
    <row r="8" spans="1:12" x14ac:dyDescent="0.25">
      <c r="B8" s="7" t="s">
        <v>16</v>
      </c>
      <c r="C8" s="8">
        <f>COUNTIF(Resp[56],B8)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COUNTIF(Resp[56],B11)</f>
        <v>2</v>
      </c>
      <c r="D11" s="8">
        <f t="shared" si="1"/>
        <v>8.6999999999999993</v>
      </c>
      <c r="E11" s="18">
        <f t="shared" si="0"/>
        <v>8.6959999999999997</v>
      </c>
      <c r="G11" s="8"/>
      <c r="H11" s="8"/>
    </row>
    <row r="12" spans="1:12" x14ac:dyDescent="0.25">
      <c r="B12" s="13" t="s">
        <v>20</v>
      </c>
      <c r="C12" s="60">
        <f>COUNTIF(Resp[56],B12)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23</v>
      </c>
      <c r="D13" s="16">
        <f>SUM(D6:D12)</f>
        <v>100.01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1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21</v>
      </c>
      <c r="E19" s="36">
        <f>ROUND(D19/SUM(D19:D22)*100,3)</f>
        <v>91.304000000000002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8.6959999999999997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5.5703125" style="7" customWidth="1"/>
    <col min="2" max="2" width="23.42578125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57</v>
      </c>
    </row>
    <row r="2" spans="1:12" x14ac:dyDescent="0.25">
      <c r="A2" s="8" t="str">
        <f>TEXT(A1,"00")</f>
        <v>57</v>
      </c>
      <c r="B2" s="8" t="str">
        <f>VLOOKUP(A$2, Pós[], 3, FALSE)</f>
        <v>Avalie a qualidade do atendimento durante o ano de 2021 da: [PRPPG]</v>
      </c>
    </row>
    <row r="3" spans="1:12" x14ac:dyDescent="0.25">
      <c r="A3" s="7" t="s">
        <v>223</v>
      </c>
      <c r="B3" s="8" t="str">
        <f>VLOOKUP(A$2, Pós[], 4, FALSE)</f>
        <v>Alunos Pós-Graduação Stricto Sensu: Questão 57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238</v>
      </c>
      <c r="C6" s="8">
        <f>COUNTIF(Resp[57],B16)</f>
        <v>0</v>
      </c>
      <c r="D6" s="8">
        <f>ROUND($C6/C$14*100,2)</f>
        <v>0</v>
      </c>
      <c r="E6" s="12"/>
    </row>
    <row r="7" spans="1:12" x14ac:dyDescent="0.25">
      <c r="B7" s="7" t="s">
        <v>12</v>
      </c>
      <c r="C7" s="8">
        <f>COUNTIF(Resp[57],B7)</f>
        <v>9</v>
      </c>
      <c r="D7" s="8">
        <f>ROUND($C7/C$14*100,2)</f>
        <v>39.130000000000003</v>
      </c>
      <c r="E7" s="18">
        <f t="shared" ref="E7:E13" si="0">ROUND($C7/SUM($C$7:$C$13)*100,3)</f>
        <v>39.130000000000003</v>
      </c>
      <c r="G7" s="8"/>
      <c r="H7" s="8"/>
    </row>
    <row r="8" spans="1:12" x14ac:dyDescent="0.25">
      <c r="B8" s="7" t="s">
        <v>14</v>
      </c>
      <c r="C8" s="8">
        <f>COUNTIF(Resp[57],B8)</f>
        <v>5</v>
      </c>
      <c r="D8" s="8">
        <f t="shared" ref="D8:D13" si="1">ROUND($C8/C$14*100,2)</f>
        <v>21.74</v>
      </c>
      <c r="E8" s="18">
        <f t="shared" si="0"/>
        <v>21.739000000000001</v>
      </c>
      <c r="G8" s="8"/>
      <c r="H8" s="8"/>
    </row>
    <row r="9" spans="1:12" x14ac:dyDescent="0.25">
      <c r="B9" s="7" t="s">
        <v>16</v>
      </c>
      <c r="C9" s="8">
        <f>COUNTIF(Resp[57],B9)</f>
        <v>2</v>
      </c>
      <c r="D9" s="8">
        <f t="shared" si="1"/>
        <v>8.6999999999999993</v>
      </c>
      <c r="E9" s="18">
        <f t="shared" si="0"/>
        <v>8.6959999999999997</v>
      </c>
      <c r="G9" s="8"/>
      <c r="H9" s="8"/>
    </row>
    <row r="10" spans="1:12" x14ac:dyDescent="0.25">
      <c r="B10" s="7" t="s">
        <v>17</v>
      </c>
      <c r="C10" s="8">
        <f>COUNTIF(Resp[57],B10)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18</v>
      </c>
      <c r="C11" s="8">
        <f>COUNTIF(Resp[57],B11)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7" t="s">
        <v>19</v>
      </c>
      <c r="C12" s="8">
        <f>COUNTIF(Resp[57],B12)</f>
        <v>5</v>
      </c>
      <c r="D12" s="8">
        <f t="shared" si="1"/>
        <v>21.74</v>
      </c>
      <c r="E12" s="18">
        <f t="shared" si="0"/>
        <v>21.739000000000001</v>
      </c>
      <c r="G12" s="8"/>
      <c r="H12" s="8"/>
    </row>
    <row r="13" spans="1:12" x14ac:dyDescent="0.25">
      <c r="B13" s="13" t="s">
        <v>20</v>
      </c>
      <c r="C13" s="14">
        <f>COUNTIF(Resp[57],B13)</f>
        <v>2</v>
      </c>
      <c r="D13" s="14">
        <f t="shared" si="1"/>
        <v>8.6999999999999993</v>
      </c>
      <c r="E13" s="25">
        <f t="shared" si="0"/>
        <v>8.6959999999999997</v>
      </c>
      <c r="G13" s="8"/>
      <c r="H13" s="8"/>
    </row>
    <row r="14" spans="1:12" x14ac:dyDescent="0.25">
      <c r="B14" s="7" t="s">
        <v>228</v>
      </c>
      <c r="C14" s="7">
        <f>SUM(C6:C13)</f>
        <v>23</v>
      </c>
      <c r="D14" s="16">
        <f>SUM(D6:D13)</f>
        <v>100.01</v>
      </c>
      <c r="E14" s="16">
        <f>SUM(E7:E13)</f>
        <v>100</v>
      </c>
    </row>
    <row r="15" spans="1:12" x14ac:dyDescent="0.25">
      <c r="K15" s="16"/>
      <c r="L15" s="16"/>
    </row>
    <row r="16" spans="1:12" x14ac:dyDescent="0.25">
      <c r="B16" s="62" t="s">
        <v>237</v>
      </c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SUM(C7,C8)</f>
        <v>14</v>
      </c>
      <c r="E20" s="36">
        <f>ROUND(D20/SUM(D20:D23)*100,3)</f>
        <v>60.87</v>
      </c>
    </row>
    <row r="21" spans="2:5" x14ac:dyDescent="0.25">
      <c r="B21" s="33" t="s">
        <v>26</v>
      </c>
      <c r="C21" s="7" t="s">
        <v>16</v>
      </c>
      <c r="D21" s="7">
        <f>C9</f>
        <v>2</v>
      </c>
      <c r="E21" s="36">
        <f>ROUND(D21/SUM(D20:D23)*100,3)</f>
        <v>8.6959999999999997</v>
      </c>
    </row>
    <row r="22" spans="2:5" x14ac:dyDescent="0.25">
      <c r="B22" s="34" t="s">
        <v>234</v>
      </c>
      <c r="C22" s="7" t="s">
        <v>235</v>
      </c>
      <c r="D22" s="7">
        <f>SUM(C12,C13)</f>
        <v>7</v>
      </c>
      <c r="E22" s="36">
        <f>ROUND(D22/SUM(D20:D23)*100,3)</f>
        <v>30.434999999999999</v>
      </c>
    </row>
    <row r="23" spans="2:5" x14ac:dyDescent="0.25">
      <c r="B23" s="35" t="s">
        <v>24</v>
      </c>
      <c r="C23" s="13" t="s">
        <v>236</v>
      </c>
      <c r="D23" s="13">
        <f>SUM(C10:C11)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7"/>
  <sheetViews>
    <sheetView workbookViewId="0">
      <selection activeCell="B15" sqref="B15"/>
    </sheetView>
  </sheetViews>
  <sheetFormatPr defaultRowHeight="15" x14ac:dyDescent="0.25"/>
  <cols>
    <col min="1" max="1" width="10.5703125" style="7" customWidth="1"/>
    <col min="2" max="2" width="17" style="7" customWidth="1"/>
    <col min="3" max="3" width="32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58</v>
      </c>
    </row>
    <row r="2" spans="1:12" x14ac:dyDescent="0.25">
      <c r="A2" s="8" t="str">
        <f>TEXT(A1,"00")</f>
        <v>58</v>
      </c>
      <c r="B2" s="8" t="str">
        <f>VLOOKUP(A$2, Pós[], 3, FALSE)</f>
        <v>Avalie a qualidade do atendimento durante o ano de 2021 da: [Biblioteca]</v>
      </c>
    </row>
    <row r="3" spans="1:12" x14ac:dyDescent="0.25">
      <c r="A3" s="7" t="s">
        <v>223</v>
      </c>
      <c r="B3" s="8" t="str">
        <f>VLOOKUP(A$2, Pós[], 4, FALSE)</f>
        <v>Alunos Pós-Graduação Stricto Sensu: Questão 58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COUNTIF(Resp[58],B6)</f>
        <v>5</v>
      </c>
      <c r="D6" s="8">
        <f>ROUND($C6/C$13*100,2)</f>
        <v>21.74</v>
      </c>
      <c r="E6" s="18">
        <f t="shared" ref="E6:E12" si="0">ROUND($C6/SUM($C$6:$C$12)*100,3)</f>
        <v>21.739000000000001</v>
      </c>
      <c r="G6" s="8"/>
      <c r="H6" s="8"/>
    </row>
    <row r="7" spans="1:12" x14ac:dyDescent="0.25">
      <c r="B7" s="7" t="s">
        <v>14</v>
      </c>
      <c r="C7" s="8">
        <f>COUNTIF(Resp[58],B7)</f>
        <v>2</v>
      </c>
      <c r="D7" s="8">
        <f t="shared" ref="D7:D12" si="1">ROUND($C7/C$13*100,2)</f>
        <v>8.6999999999999993</v>
      </c>
      <c r="E7" s="18">
        <f t="shared" si="0"/>
        <v>8.6959999999999997</v>
      </c>
      <c r="G7" s="8"/>
      <c r="H7" s="8"/>
    </row>
    <row r="8" spans="1:12" x14ac:dyDescent="0.25">
      <c r="B8" s="7" t="s">
        <v>16</v>
      </c>
      <c r="C8" s="8">
        <f>COUNTIF(Resp[58],B8)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COUNTIF(Resp[58],B9)</f>
        <v>1</v>
      </c>
      <c r="D9" s="8">
        <f t="shared" si="1"/>
        <v>4.3499999999999996</v>
      </c>
      <c r="E9" s="18">
        <f t="shared" si="0"/>
        <v>4.3479999999999999</v>
      </c>
      <c r="G9" s="8"/>
      <c r="H9" s="8"/>
    </row>
    <row r="10" spans="1:12" x14ac:dyDescent="0.25">
      <c r="B10" s="7" t="s">
        <v>18</v>
      </c>
      <c r="C10" s="8">
        <f>COUNTIF(Resp[58],B10)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COUNTIF(Resp[58],B11)</f>
        <v>6</v>
      </c>
      <c r="D11" s="8">
        <f t="shared" si="1"/>
        <v>26.09</v>
      </c>
      <c r="E11" s="18">
        <f t="shared" si="0"/>
        <v>26.087</v>
      </c>
      <c r="G11" s="8"/>
      <c r="H11" s="8"/>
    </row>
    <row r="12" spans="1:12" x14ac:dyDescent="0.25">
      <c r="B12" s="13" t="s">
        <v>20</v>
      </c>
      <c r="C12" s="14">
        <f>COUNTIF(Resp[58],B12)</f>
        <v>9</v>
      </c>
      <c r="D12" s="14">
        <f t="shared" si="1"/>
        <v>39.130000000000003</v>
      </c>
      <c r="E12" s="25">
        <f t="shared" si="0"/>
        <v>39.130000000000003</v>
      </c>
      <c r="G12" s="8"/>
      <c r="H12" s="8"/>
    </row>
    <row r="13" spans="1:12" x14ac:dyDescent="0.25">
      <c r="B13" s="7" t="s">
        <v>228</v>
      </c>
      <c r="C13" s="7">
        <f>SUM(C6:C12)</f>
        <v>23</v>
      </c>
      <c r="D13" s="16">
        <f>SUM(D6:D12)</f>
        <v>100.00999999999999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30.434999999999999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15</v>
      </c>
      <c r="E21" s="36">
        <f>ROUND(D21/SUM(D19:D22)*100,3)</f>
        <v>65.216999999999999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4.3479999999999999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"/>
  <sheetViews>
    <sheetView workbookViewId="0">
      <selection activeCell="M21" sqref="M21"/>
    </sheetView>
  </sheetViews>
  <sheetFormatPr defaultRowHeight="15" x14ac:dyDescent="0.25"/>
  <cols>
    <col min="1" max="1" width="11.14062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3</v>
      </c>
    </row>
    <row r="2" spans="1:5" x14ac:dyDescent="0.25">
      <c r="A2" s="8" t="str">
        <f>TEXT(A1,"00")</f>
        <v>03</v>
      </c>
      <c r="B2" s="8" t="str">
        <f>VLOOKUP(A$2, Pós[], 3, FALSE)</f>
        <v>Quanto a sua formação anterior: [Curso Técnico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3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COUNTIF(Resp[03],B6)</f>
        <v>0</v>
      </c>
      <c r="D6" s="7">
        <f>ROUND($C6/C$8*100,2)</f>
        <v>0</v>
      </c>
      <c r="E6" s="18">
        <f>ROUND($C6/SUM($C$6:$C$7)*100,3)</f>
        <v>0</v>
      </c>
    </row>
    <row r="7" spans="1:5" x14ac:dyDescent="0.25">
      <c r="B7" s="7" t="s">
        <v>15</v>
      </c>
      <c r="C7" s="8">
        <f>COUNTIF(Resp[03],B7)</f>
        <v>23</v>
      </c>
      <c r="D7" s="7">
        <f>ROUND($C7/C$8*100,2)</f>
        <v>100</v>
      </c>
      <c r="E7" s="18">
        <f>ROUND($C7/SUM($C$6:$C$7)*100,3)</f>
        <v>100</v>
      </c>
    </row>
    <row r="8" spans="1:5" x14ac:dyDescent="0.25">
      <c r="B8" s="15" t="s">
        <v>228</v>
      </c>
      <c r="C8" s="15">
        <f>SUM(C6:C7)</f>
        <v>23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14.85546875" style="7" customWidth="1"/>
    <col min="2" max="2" width="17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59</v>
      </c>
    </row>
    <row r="2" spans="1:12" x14ac:dyDescent="0.25">
      <c r="A2" s="8" t="str">
        <f>TEXT(A1,"00")</f>
        <v>59</v>
      </c>
      <c r="B2" s="8" t="str">
        <f>VLOOKUP(A$2, Pós[], 3, FALSE)</f>
        <v>Avalie este instrumento de pesquisa: [Abrangência dos temas]</v>
      </c>
    </row>
    <row r="3" spans="1:12" x14ac:dyDescent="0.25">
      <c r="A3" s="7" t="s">
        <v>223</v>
      </c>
      <c r="B3" s="8" t="str">
        <f>VLOOKUP(A$2, Pós[], 4, FALSE)</f>
        <v>Alunos Pós-Graduação Stricto Sensu: Questão 59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COUNTIF(Resp[59],B6)</f>
        <v>5</v>
      </c>
      <c r="D6" s="8">
        <f>ROUND($C6/C$13*100,2)</f>
        <v>21.74</v>
      </c>
      <c r="E6" s="18">
        <f t="shared" ref="E6:E12" si="0">ROUND($C6/SUM($C$6:$C$12)*100,3)</f>
        <v>21.739000000000001</v>
      </c>
      <c r="G6" s="8"/>
      <c r="H6" s="8"/>
    </row>
    <row r="7" spans="1:12" x14ac:dyDescent="0.25">
      <c r="B7" s="7" t="s">
        <v>14</v>
      </c>
      <c r="C7" s="8">
        <f>COUNTIF(Resp[59],B7)</f>
        <v>13</v>
      </c>
      <c r="D7" s="8">
        <f t="shared" ref="D7:D12" si="1">ROUND($C7/C$13*100,2)</f>
        <v>56.52</v>
      </c>
      <c r="E7" s="18">
        <f t="shared" si="0"/>
        <v>56.521999999999998</v>
      </c>
      <c r="G7" s="8"/>
      <c r="H7" s="8"/>
    </row>
    <row r="8" spans="1:12" x14ac:dyDescent="0.25">
      <c r="B8" s="7" t="s">
        <v>16</v>
      </c>
      <c r="C8" s="8">
        <f>COUNTIF(Resp[59],B8)</f>
        <v>3</v>
      </c>
      <c r="D8" s="8">
        <f t="shared" si="1"/>
        <v>13.04</v>
      </c>
      <c r="E8" s="18">
        <f t="shared" si="0"/>
        <v>13.042999999999999</v>
      </c>
      <c r="G8" s="8"/>
      <c r="H8" s="8"/>
    </row>
    <row r="9" spans="1:12" x14ac:dyDescent="0.25">
      <c r="B9" s="7" t="s">
        <v>17</v>
      </c>
      <c r="C9" s="8">
        <f>COUNTIF(Resp[59],B9)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COUNTIF(Resp[59],B11)</f>
        <v>2</v>
      </c>
      <c r="D11" s="8">
        <f t="shared" si="1"/>
        <v>8.6999999999999993</v>
      </c>
      <c r="E11" s="18">
        <f t="shared" si="0"/>
        <v>8.6959999999999997</v>
      </c>
      <c r="G11" s="8"/>
      <c r="H11" s="8"/>
    </row>
    <row r="12" spans="1:12" x14ac:dyDescent="0.25">
      <c r="B12" s="13" t="s">
        <v>20</v>
      </c>
      <c r="C12" s="60">
        <f>COUNTIF(Resp[59],B12)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23</v>
      </c>
      <c r="D13" s="16">
        <f>SUM(D6:D12)</f>
        <v>100.00000000000001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18</v>
      </c>
      <c r="E19" s="36">
        <f>ROUND(D19/SUM(D19:D22)*100,3)</f>
        <v>78.260999999999996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13.042999999999999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8.6959999999999997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L57"/>
  <sheetViews>
    <sheetView workbookViewId="0">
      <selection activeCell="U19" sqref="U19"/>
    </sheetView>
  </sheetViews>
  <sheetFormatPr defaultRowHeight="15" x14ac:dyDescent="0.25"/>
  <cols>
    <col min="1" max="1" width="8.28515625" style="7" customWidth="1"/>
    <col min="2" max="2" width="17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60</v>
      </c>
    </row>
    <row r="2" spans="1:12" x14ac:dyDescent="0.25">
      <c r="A2" s="8" t="str">
        <f>TEXT(A1,"00")</f>
        <v>60</v>
      </c>
      <c r="B2" s="8" t="str">
        <f>VLOOKUP(A$2, Pós[], 3, FALSE)</f>
        <v>Avalie este instrumento de pesquisa: [Objetividade e clareza]</v>
      </c>
    </row>
    <row r="3" spans="1:12" x14ac:dyDescent="0.25">
      <c r="A3" s="7" t="s">
        <v>223</v>
      </c>
      <c r="B3" s="8" t="str">
        <f>VLOOKUP(A$2, Pós[], 4, FALSE)</f>
        <v>Alunos Pós-Graduação Stricto Sensu: Questão 60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COUNTIF(Resp[60],B6)</f>
        <v>7</v>
      </c>
      <c r="D6" s="8">
        <f>ROUND($C6/C$13*100,2)</f>
        <v>30.43</v>
      </c>
      <c r="E6" s="18">
        <f t="shared" ref="E6:E12" si="0">ROUND($C6/SUM($C$6:$C$12)*100,3)</f>
        <v>30.434999999999999</v>
      </c>
      <c r="G6" s="8"/>
      <c r="H6" s="8"/>
    </row>
    <row r="7" spans="1:12" x14ac:dyDescent="0.25">
      <c r="B7" s="7" t="s">
        <v>14</v>
      </c>
      <c r="C7" s="8">
        <f>COUNTIF(Resp[60],B7)</f>
        <v>14</v>
      </c>
      <c r="D7" s="8">
        <f t="shared" ref="D7:D12" si="1">ROUND($C7/C$13*100,2)</f>
        <v>60.87</v>
      </c>
      <c r="E7" s="18">
        <f t="shared" si="0"/>
        <v>60.87</v>
      </c>
      <c r="G7" s="8"/>
      <c r="H7" s="8"/>
    </row>
    <row r="8" spans="1:12" x14ac:dyDescent="0.25">
      <c r="B8" s="7" t="s">
        <v>16</v>
      </c>
      <c r="C8" s="8">
        <f>COUNTIF(Resp[60],B8)</f>
        <v>1</v>
      </c>
      <c r="D8" s="8">
        <f t="shared" si="1"/>
        <v>4.3499999999999996</v>
      </c>
      <c r="E8" s="18">
        <f t="shared" si="0"/>
        <v>4.3479999999999999</v>
      </c>
      <c r="G8" s="8"/>
      <c r="H8" s="8"/>
    </row>
    <row r="9" spans="1:12" x14ac:dyDescent="0.25">
      <c r="B9" s="7" t="s">
        <v>17</v>
      </c>
      <c r="C9" s="8">
        <f>COUNTIF(Resp[60],B9)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COUNTIF(Resp[60],B10)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COUNTIF(Resp[60],B11)</f>
        <v>1</v>
      </c>
      <c r="D11" s="8">
        <f t="shared" si="1"/>
        <v>4.3499999999999996</v>
      </c>
      <c r="E11" s="18">
        <f t="shared" si="0"/>
        <v>4.3479999999999999</v>
      </c>
      <c r="G11" s="8"/>
      <c r="H11" s="8"/>
    </row>
    <row r="12" spans="1:12" x14ac:dyDescent="0.25">
      <c r="B12" s="13" t="s">
        <v>20</v>
      </c>
      <c r="C12" s="8">
        <f>COUNTIF(Resp[60],B12)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23</v>
      </c>
      <c r="D13" s="16">
        <f>SUM(D6:D12)</f>
        <v>99.999999999999986</v>
      </c>
      <c r="E13" s="16">
        <f>SUM(E6:E12)</f>
        <v>100.00099999999999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21</v>
      </c>
      <c r="E19" s="36">
        <f>ROUND(D19/SUM(D19:D22)*100,3)</f>
        <v>91.304000000000002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4.3479999999999999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4.3479999999999999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5"/>
  <sheetViews>
    <sheetView workbookViewId="0">
      <selection activeCell="O26" sqref="O26"/>
    </sheetView>
  </sheetViews>
  <sheetFormatPr defaultRowHeight="15" x14ac:dyDescent="0.25"/>
  <cols>
    <col min="1" max="1" width="11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4</v>
      </c>
    </row>
    <row r="2" spans="1:5" x14ac:dyDescent="0.25">
      <c r="A2" s="8" t="str">
        <f>TEXT(A1,"00")</f>
        <v>04</v>
      </c>
      <c r="B2" s="8" t="str">
        <f>VLOOKUP(A$2, Pós[], 3, FALSE)</f>
        <v>Quanto a sua formação anterior: [Não tenho formação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4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COUNTIF(Resp[04],B6)</f>
        <v>9</v>
      </c>
      <c r="D6" s="7">
        <f>ROUND($C6/C$8*100,2)</f>
        <v>39.130000000000003</v>
      </c>
      <c r="E6" s="18">
        <f>ROUND($C6/SUM($C$6:$C$7)*100,3)</f>
        <v>39.130000000000003</v>
      </c>
    </row>
    <row r="7" spans="1:5" x14ac:dyDescent="0.25">
      <c r="B7" s="7" t="s">
        <v>15</v>
      </c>
      <c r="C7" s="8">
        <f>COUNTIF(Resp[04],B7)</f>
        <v>14</v>
      </c>
      <c r="D7" s="7">
        <f>ROUND($C7/C$8*100,2)</f>
        <v>60.87</v>
      </c>
      <c r="E7" s="18">
        <f>ROUND($C7/SUM($C$6:$C$7)*100,3)</f>
        <v>60.87</v>
      </c>
    </row>
    <row r="8" spans="1:5" x14ac:dyDescent="0.25">
      <c r="B8" s="15" t="s">
        <v>228</v>
      </c>
      <c r="C8" s="15">
        <f>SUM(C6:C7)</f>
        <v>23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7"/>
  <sheetViews>
    <sheetView zoomScale="110" zoomScaleNormal="110" workbookViewId="0">
      <selection activeCell="R12" sqref="R12"/>
    </sheetView>
  </sheetViews>
  <sheetFormatPr defaultRowHeight="15" x14ac:dyDescent="0.25"/>
  <cols>
    <col min="1" max="1" width="20.7109375" style="7" customWidth="1"/>
    <col min="2" max="2" width="21.28515625" style="7" customWidth="1"/>
    <col min="3" max="3" width="30.85546875" style="7" customWidth="1"/>
    <col min="4" max="5" width="8.5703125" style="7" customWidth="1"/>
    <col min="6" max="6" width="3.4257812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42578125" style="7" customWidth="1"/>
    <col min="17" max="17" width="31.42578125" style="7" bestFit="1" customWidth="1"/>
    <col min="18" max="18" width="7.140625" style="7" bestFit="1" customWidth="1"/>
    <col min="19" max="19" width="29.140625" style="7" customWidth="1"/>
    <col min="20" max="21" width="9.140625" style="7"/>
    <col min="22" max="22" width="11.42578125" style="7" customWidth="1"/>
    <col min="23" max="16384" width="9.140625" style="7"/>
  </cols>
  <sheetData>
    <row r="1" spans="1:12" x14ac:dyDescent="0.25">
      <c r="A1" s="7">
        <v>6</v>
      </c>
    </row>
    <row r="2" spans="1:12" x14ac:dyDescent="0.25">
      <c r="A2" s="8" t="str">
        <f>TEXT(A1,"00")</f>
        <v>06</v>
      </c>
      <c r="B2" s="8" t="str">
        <f>VLOOKUP(A$2, Pós[], 3, FALSE)</f>
        <v>Como você avalia o conjunto de disciplinas do seu programa de pós-graduação ofertado em 2021?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COUNTIF(Resp[06],B6)</f>
        <v>10</v>
      </c>
      <c r="D6" s="8">
        <f>ROUND($C6/C$13*100,2)</f>
        <v>43.48</v>
      </c>
      <c r="E6" s="18">
        <f t="shared" ref="E6:E12" si="0">ROUND($C6/SUM($C$6:$C$12)*100,3)</f>
        <v>43.478000000000002</v>
      </c>
      <c r="G6" s="8"/>
      <c r="H6" s="8"/>
    </row>
    <row r="7" spans="1:12" x14ac:dyDescent="0.25">
      <c r="B7" s="7" t="s">
        <v>14</v>
      </c>
      <c r="C7" s="8">
        <f>COUNTIF(Resp[06],B7)</f>
        <v>11</v>
      </c>
      <c r="D7" s="8">
        <f t="shared" ref="D7:D12" si="1">ROUND($C7/C$13*100,2)</f>
        <v>47.83</v>
      </c>
      <c r="E7" s="18">
        <f t="shared" si="0"/>
        <v>47.826000000000001</v>
      </c>
      <c r="G7" s="8"/>
      <c r="H7" s="8"/>
    </row>
    <row r="8" spans="1:12" x14ac:dyDescent="0.25">
      <c r="B8" s="7" t="s">
        <v>16</v>
      </c>
      <c r="C8" s="8">
        <f>COUNTIF(Resp[06],B8)</f>
        <v>2</v>
      </c>
      <c r="D8" s="8">
        <f t="shared" si="1"/>
        <v>8.6999999999999993</v>
      </c>
      <c r="E8" s="18">
        <f t="shared" si="0"/>
        <v>8.6959999999999997</v>
      </c>
      <c r="G8" s="8"/>
      <c r="H8" s="8"/>
    </row>
    <row r="9" spans="1:12" x14ac:dyDescent="0.25">
      <c r="B9" s="7" t="s">
        <v>17</v>
      </c>
      <c r="C9" s="8">
        <f>COUNTIF(Resp[06],B9)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COUNTIF(Resp[06],B10)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23</v>
      </c>
      <c r="D13" s="16">
        <f>SUM(D6:D12)</f>
        <v>100.01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21</v>
      </c>
      <c r="E19" s="36">
        <f>ROUND(D19/SUM(D19:D22)*100,3)</f>
        <v>91.304000000000002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8.6959999999999997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7109375" style="7" customWidth="1"/>
    <col min="2" max="2" width="25.7109375" style="7" customWidth="1"/>
    <col min="3" max="3" width="37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18" width="6.42578125" style="7" customWidth="1"/>
    <col min="19" max="19" width="9.140625" style="7"/>
    <col min="20" max="20" width="11.42578125" style="7" customWidth="1"/>
    <col min="21" max="16384" width="9.140625" style="7"/>
  </cols>
  <sheetData>
    <row r="1" spans="1:12" x14ac:dyDescent="0.25">
      <c r="A1" s="7">
        <v>7</v>
      </c>
    </row>
    <row r="2" spans="1:12" x14ac:dyDescent="0.25">
      <c r="A2" s="8" t="str">
        <f>TEXT(A1,"00")</f>
        <v>07</v>
      </c>
      <c r="B2" s="8" t="str">
        <f>VLOOKUP(A$2, Pós[], 3, FALSE)</f>
        <v>Como você avalia o conjunto de disciplinas do seu programa de pós-graduação ofertado em 2021? [Pertinência com a área do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COUNTIF(Resp[07],B6)</f>
        <v>15</v>
      </c>
      <c r="D6" s="8">
        <f>ROUND($C6/C$13*100,2)</f>
        <v>65.22</v>
      </c>
      <c r="E6" s="18">
        <f t="shared" ref="E6:E12" si="0">ROUND($C6/SUM($C$6:$C$12)*100,3)</f>
        <v>65.216999999999999</v>
      </c>
      <c r="G6" s="8"/>
      <c r="H6" s="8"/>
    </row>
    <row r="7" spans="1:12" x14ac:dyDescent="0.25">
      <c r="B7" s="7" t="s">
        <v>14</v>
      </c>
      <c r="C7" s="8">
        <f>COUNTIF(Resp[07],B7)</f>
        <v>6</v>
      </c>
      <c r="D7" s="8">
        <f t="shared" ref="D7:D12" si="1">ROUND($C7/C$13*100,2)</f>
        <v>26.09</v>
      </c>
      <c r="E7" s="18">
        <f t="shared" si="0"/>
        <v>26.087</v>
      </c>
      <c r="G7" s="8"/>
      <c r="H7" s="8"/>
    </row>
    <row r="8" spans="1:12" x14ac:dyDescent="0.25">
      <c r="B8" s="7" t="s">
        <v>16</v>
      </c>
      <c r="C8" s="8">
        <f>COUNTIF(Resp[07],B8)</f>
        <v>2</v>
      </c>
      <c r="D8" s="8">
        <f t="shared" si="1"/>
        <v>8.6999999999999993</v>
      </c>
      <c r="E8" s="18">
        <f t="shared" si="0"/>
        <v>8.6959999999999997</v>
      </c>
      <c r="G8" s="8"/>
      <c r="H8" s="8"/>
    </row>
    <row r="9" spans="1:12" x14ac:dyDescent="0.25">
      <c r="B9" s="7" t="s">
        <v>17</v>
      </c>
      <c r="C9" s="8">
        <f>COUNTIF(Resp[07],B9)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COUNTIF(Resp[07],B10)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23</v>
      </c>
      <c r="D13" s="16">
        <f>SUM(D6:D12)</f>
        <v>100.01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21</v>
      </c>
      <c r="E19" s="36">
        <f>ROUND(D19/SUM(D19:D22)*100,3)</f>
        <v>91.304000000000002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8.6959999999999997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61</vt:i4>
      </vt:variant>
    </vt:vector>
  </HeadingPairs>
  <TitlesOfParts>
    <vt:vector size="61" baseType="lpstr">
      <vt:lpstr>OrientaçõesInformações</vt:lpstr>
      <vt:lpstr>Pós-Graduação</vt:lpstr>
      <vt:lpstr>TítuloQuestões</vt:lpstr>
      <vt:lpstr>Q01</vt:lpstr>
      <vt:lpstr>Q02</vt:lpstr>
      <vt:lpstr>Q03</vt:lpstr>
      <vt:lpstr>Q04</vt:lpstr>
      <vt:lpstr>Q06</vt:lpstr>
      <vt:lpstr>Q07</vt:lpstr>
      <vt:lpstr>Q08</vt:lpstr>
      <vt:lpstr>Q09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Q54</vt:lpstr>
      <vt:lpstr>Q55</vt:lpstr>
      <vt:lpstr>Q56</vt:lpstr>
      <vt:lpstr>Q57</vt:lpstr>
      <vt:lpstr>Q58</vt:lpstr>
      <vt:lpstr>Q59</vt:lpstr>
      <vt:lpstr>Q60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Miyake</dc:creator>
  <cp:keywords/>
  <dc:description/>
  <cp:lastModifiedBy>Salete Aparecida Franco Miyake</cp:lastModifiedBy>
  <cp:revision/>
  <dcterms:created xsi:type="dcterms:W3CDTF">2022-01-12T15:59:15Z</dcterms:created>
  <dcterms:modified xsi:type="dcterms:W3CDTF">2022-02-25T19:09:09Z</dcterms:modified>
  <cp:category/>
  <cp:contentStatus/>
</cp:coreProperties>
</file>