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EB133812-5111-4ADA-97CC-A819A3BF0191}" xr6:coauthVersionLast="47" xr6:coauthVersionMax="47" xr10:uidLastSave="{D467625B-2244-4711-BD80-D7B02CD975A5}"/>
  <bookViews>
    <workbookView xWindow="22575" yWindow="330" windowWidth="23595" windowHeight="13890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<sst xmlns="http://schemas.openxmlformats.org/spreadsheetml/2006/main" count="2463" uniqueCount="239">
  <si>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</si>
  <si>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</si>
  <si>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</si>
  <si>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</si>
  <si>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</si>
  <si>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</si>
  <si>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</si>
  <si>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</si>
  <si>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</si>
  <si>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</si>
  <si>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</si>
  <si>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</si>
  <si>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</si>
  <si>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</si>
  <si>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</si>
  <si>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</si>
  <si>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</si>
  <si>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</si>
  <si>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</si>
  <si>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</si>
  <si>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</si>
  <si>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</si>
  <si>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</si>
  <si>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</si>
  <si>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</si>
  <si>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</si>
  <si>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</si>
  <si>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</si>
  <si>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</si>
  <si>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</si>
  <si>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</si>
  <si>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</si>
  <si>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</si>
  <si>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</si>
  <si>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</si>
  <si>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</si>
  <si>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</si>
  <si>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</si>
  <si>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</si>
  <si>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</si>
  <si>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</si>
  <si>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</si>
  <si>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</si>
  <si>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</si>
  <si>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</si>
  <si>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</si>
  <si>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</si>
  <si>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</si>
  <si>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</si>
  <si>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</si>
  <si>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</si>
  <si>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</si>
  <si>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</si>
  <si>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</si>
  <si>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</si>
  <si>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</si>
  <si>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</si>
  <si>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</si>
  <si>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</si>
  <si>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</si>
  <si>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</si>
  <si>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</si>
  <si>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</si>
  <si>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</si>
  <si>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</si>
  <si>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</si>
  <si>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</si>
  <si>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</si>
  <si>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</si>
  <si>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</si>
  <si>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</si>
  <si>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</si>
  <si>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</si>
  <si>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</si>
  <si>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</si>
  <si>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</si>
  <si>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</si>
  <si>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</si>
  <si>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</si>
  <si>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</si>
  <si>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</si>
  <si>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</si>
  <si>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</si>
  <si>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</si>
  <si>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</si>
  <si>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</si>
  <si>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</si>
  <si>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</si>
  <si>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</si>
  <si>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SETOR PALOTINA</t>
  </si>
  <si>
    <t>BIOTECNOLOGIA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</si>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</sst>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49" fontId="2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numFmt numFmtId="30" formatCode="@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14.29</c:v>
                </c:pt>
                <c:pt idx="1">
                  <c:v>85.71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35.71</c:v>
                </c:pt>
                <c:pt idx="1">
                  <c:v>64.290000000000006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7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7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7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7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11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6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13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7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11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11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11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57.14</c:v>
                </c:pt>
                <c:pt idx="1">
                  <c:v>42.86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13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9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8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13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7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9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9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13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9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11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11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10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9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10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8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9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13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10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13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10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16" totalsRowShown="0" headerRowDxfId="66" dataDxfId="65">
  <autoFilter ref="A1:BH16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39" customWidth="1"/>
    <col min="2" max="4" width="19.42578125" style="39" customWidth="1"/>
    <col min="5" max="5" width="15.5703125" style="39" customWidth="1"/>
    <col min="6" max="6" width="29.85546875" style="39" customWidth="1"/>
    <col min="7" max="7" width="9.140625" style="39"/>
    <col min="8" max="8" width="15.85546875" style="39" customWidth="1"/>
    <col min="9" max="9" width="31.85546875" style="39" customWidth="1"/>
    <col min="10" max="16384" width="9.140625" style="39"/>
  </cols>
  <sheetData>
    <row r="1" spans="2:35" ht="15" x14ac:dyDescent="0.25">
      <c r="B1" s="37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2:35" ht="15" x14ac:dyDescent="0.25">
      <c r="B2" s="38"/>
      <c r="C2" s="38"/>
      <c r="D2" s="38"/>
      <c r="E2" s="38"/>
      <c r="F2" s="38"/>
      <c r="G2" s="38"/>
      <c r="H2" s="38"/>
      <c r="I2" s="40"/>
      <c r="J2" s="40"/>
      <c r="K2" s="40"/>
      <c r="L2" s="40"/>
      <c r="M2" s="41"/>
      <c r="N2" s="41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2:35" x14ac:dyDescent="0.2">
      <c r="B3" s="38" t="s">
        <v>1</v>
      </c>
      <c r="C3" s="38"/>
      <c r="D3" s="38"/>
      <c r="E3" s="38"/>
      <c r="F3" s="38"/>
      <c r="G3" s="38"/>
      <c r="H3" s="38"/>
      <c r="I3" s="42"/>
      <c r="J3" s="38"/>
      <c r="K3" s="38"/>
      <c r="L3" s="38"/>
      <c r="M3" s="43"/>
      <c r="N3" s="43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4" spans="2:35" x14ac:dyDescent="0.2">
      <c r="B4" s="44" t="s">
        <v>2</v>
      </c>
      <c r="C4" s="38"/>
      <c r="D4" s="38"/>
      <c r="E4" s="38"/>
      <c r="F4" s="38"/>
      <c r="G4" s="42"/>
      <c r="H4" s="38"/>
      <c r="I4" s="38"/>
      <c r="J4" s="38"/>
      <c r="K4" s="43"/>
      <c r="L4" s="43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</row>
    <row r="5" spans="2:35" x14ac:dyDescent="0.2">
      <c r="B5" s="44" t="s">
        <v>3</v>
      </c>
      <c r="C5" s="38"/>
      <c r="D5" s="38"/>
      <c r="E5" s="38"/>
      <c r="F5" s="38"/>
      <c r="G5" s="42"/>
      <c r="H5" s="38"/>
      <c r="I5" s="38"/>
      <c r="J5" s="38"/>
      <c r="K5" s="43"/>
      <c r="L5" s="43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</row>
    <row r="6" spans="2:35" x14ac:dyDescent="0.2">
      <c r="B6" s="44" t="s">
        <v>4</v>
      </c>
      <c r="C6" s="38"/>
      <c r="D6" s="38"/>
      <c r="E6" s="38"/>
      <c r="F6" s="38"/>
      <c r="G6" s="42"/>
      <c r="H6" s="38"/>
      <c r="I6" s="38"/>
      <c r="J6" s="38"/>
      <c r="K6" s="43"/>
      <c r="L6" s="43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2:35" x14ac:dyDescent="0.2">
      <c r="B7" s="45"/>
      <c r="C7" s="45"/>
      <c r="D7" s="45"/>
      <c r="E7" s="38"/>
      <c r="F7" s="38"/>
      <c r="G7" s="38"/>
      <c r="H7" s="38"/>
      <c r="I7" s="42"/>
      <c r="J7" s="38"/>
      <c r="K7" s="38"/>
      <c r="L7" s="38"/>
      <c r="M7" s="43"/>
      <c r="N7" s="43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2:35" x14ac:dyDescent="0.2">
      <c r="B8" s="38" t="s">
        <v>5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2:35" x14ac:dyDescent="0.2">
      <c r="B9" s="38" t="s">
        <v>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</row>
    <row r="10" spans="2:35" x14ac:dyDescent="0.2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</row>
    <row r="11" spans="2:35" x14ac:dyDescent="0.2">
      <c r="B11" s="38" t="s">
        <v>7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</row>
    <row r="12" spans="2:35" x14ac:dyDescent="0.2">
      <c r="B12" s="38" t="s">
        <v>8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</row>
    <row r="13" spans="2:35" x14ac:dyDescent="0.2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</row>
    <row r="14" spans="2:35" ht="15" x14ac:dyDescent="0.2">
      <c r="B14" s="46" t="s">
        <v>9</v>
      </c>
      <c r="C14" s="46"/>
      <c r="D14" s="46"/>
      <c r="E14" s="46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</row>
    <row r="15" spans="2:35" ht="15" x14ac:dyDescent="0.2">
      <c r="B15" s="47" t="s">
        <v>10</v>
      </c>
      <c r="C15" s="47" t="s">
        <v>11</v>
      </c>
      <c r="D15" s="54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</row>
    <row r="16" spans="2:35" x14ac:dyDescent="0.2">
      <c r="B16" s="48" t="s">
        <v>12</v>
      </c>
      <c r="C16" s="48" t="s">
        <v>13</v>
      </c>
      <c r="D16" s="50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</row>
    <row r="17" spans="2:35" x14ac:dyDescent="0.2">
      <c r="B17" s="48" t="s">
        <v>14</v>
      </c>
      <c r="C17" s="48" t="s">
        <v>15</v>
      </c>
      <c r="D17" s="50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</row>
    <row r="18" spans="2:35" x14ac:dyDescent="0.2">
      <c r="B18" s="48" t="s">
        <v>16</v>
      </c>
      <c r="C18" s="48"/>
      <c r="D18" s="50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</row>
    <row r="19" spans="2:35" x14ac:dyDescent="0.2">
      <c r="B19" s="48" t="s">
        <v>17</v>
      </c>
      <c r="C19" s="48"/>
      <c r="D19" s="50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</row>
    <row r="20" spans="2:35" x14ac:dyDescent="0.2">
      <c r="B20" s="48" t="s">
        <v>18</v>
      </c>
      <c r="C20" s="48"/>
      <c r="D20" s="50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</row>
    <row r="21" spans="2:35" x14ac:dyDescent="0.2">
      <c r="B21" s="48" t="s">
        <v>19</v>
      </c>
      <c r="C21" s="48"/>
      <c r="D21" s="50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</row>
    <row r="22" spans="2:35" x14ac:dyDescent="0.2">
      <c r="B22" s="48" t="s">
        <v>20</v>
      </c>
      <c r="C22" s="48"/>
      <c r="D22" s="50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</row>
    <row r="23" spans="2:35" x14ac:dyDescent="0.2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</row>
    <row r="24" spans="2:35" ht="15" x14ac:dyDescent="0.2">
      <c r="B24" s="46" t="s">
        <v>21</v>
      </c>
      <c r="C24" s="46"/>
      <c r="D24" s="46"/>
      <c r="E24" s="46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</row>
    <row r="25" spans="2:35" x14ac:dyDescent="0.2">
      <c r="B25" s="49" t="s">
        <v>22</v>
      </c>
      <c r="C25" s="71" t="s">
        <v>23</v>
      </c>
      <c r="D25" s="71"/>
      <c r="E25" s="50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</row>
    <row r="26" spans="2:35" x14ac:dyDescent="0.2">
      <c r="B26" s="51" t="s">
        <v>24</v>
      </c>
      <c r="C26" s="71" t="s">
        <v>25</v>
      </c>
      <c r="D26" s="71"/>
      <c r="E26" s="50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</row>
    <row r="27" spans="2:35" x14ac:dyDescent="0.2">
      <c r="B27" s="52" t="s">
        <v>26</v>
      </c>
      <c r="C27" s="71" t="s">
        <v>16</v>
      </c>
      <c r="D27" s="71"/>
      <c r="E27" s="50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</row>
    <row r="28" spans="2:35" x14ac:dyDescent="0.2">
      <c r="B28" s="53" t="s">
        <v>27</v>
      </c>
      <c r="C28" s="71" t="s">
        <v>28</v>
      </c>
      <c r="D28" s="71"/>
      <c r="E28" s="50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</row>
    <row r="29" spans="2:35" x14ac:dyDescent="0.2">
      <c r="B29" s="38"/>
      <c r="C29" s="38"/>
      <c r="D29" s="38"/>
      <c r="E29" s="38"/>
      <c r="F29" s="38"/>
      <c r="G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</row>
    <row r="30" spans="2:35" x14ac:dyDescent="0.2">
      <c r="B30" s="38"/>
      <c r="C30" s="38"/>
      <c r="D30" s="38"/>
      <c r="E30" s="38"/>
      <c r="F30" s="38"/>
      <c r="G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</row>
    <row r="31" spans="2:35" x14ac:dyDescent="0.2">
      <c r="B31" s="38"/>
      <c r="C31" s="38"/>
      <c r="D31" s="38"/>
      <c r="E31" s="38"/>
      <c r="F31" s="38"/>
      <c r="G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</row>
    <row r="32" spans="2:35" x14ac:dyDescent="0.2">
      <c r="B32" s="38"/>
      <c r="C32" s="38"/>
      <c r="D32" s="38"/>
      <c r="E32" s="38"/>
      <c r="F32" s="38"/>
      <c r="G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</row>
    <row r="33" spans="2:35" x14ac:dyDescent="0.2">
      <c r="B33" s="38"/>
      <c r="C33" s="38"/>
      <c r="D33" s="38"/>
      <c r="E33" s="38"/>
      <c r="F33" s="38"/>
      <c r="G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</row>
    <row r="34" spans="2:35" x14ac:dyDescent="0.2">
      <c r="B34" s="38"/>
      <c r="C34" s="38"/>
      <c r="D34" s="38"/>
      <c r="E34" s="38"/>
      <c r="F34" s="38"/>
      <c r="G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</row>
    <row r="35" spans="2:35" x14ac:dyDescent="0.2">
      <c r="B35" s="38"/>
      <c r="C35" s="38"/>
      <c r="D35" s="38"/>
      <c r="F35" s="38"/>
      <c r="G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</row>
    <row r="36" spans="2:35" x14ac:dyDescent="0.2">
      <c r="B36" s="38"/>
      <c r="C36" s="38"/>
      <c r="F36" s="38"/>
      <c r="G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</row>
    <row r="37" spans="2:35" x14ac:dyDescent="0.2">
      <c r="B37" s="38"/>
      <c r="C37" s="38"/>
      <c r="F37" s="38"/>
      <c r="G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</row>
    <row r="38" spans="2:35" x14ac:dyDescent="0.2">
      <c r="B38" s="38"/>
      <c r="C38" s="38"/>
      <c r="F38" s="38"/>
      <c r="G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</row>
    <row r="39" spans="2:35" x14ac:dyDescent="0.2">
      <c r="B39" s="38"/>
      <c r="C39" s="38"/>
      <c r="F39" s="38"/>
      <c r="G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</row>
    <row r="40" spans="2:35" x14ac:dyDescent="0.2">
      <c r="B40" s="38"/>
      <c r="C40" s="38"/>
      <c r="F40" s="38"/>
      <c r="G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</row>
    <row r="41" spans="2:35" x14ac:dyDescent="0.2">
      <c r="B41" s="38"/>
      <c r="C41" s="38"/>
      <c r="F41" s="38"/>
      <c r="G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2:35" x14ac:dyDescent="0.2">
      <c r="B42" s="38"/>
      <c r="C42" s="38"/>
      <c r="G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8"/>
  <sheetViews>
    <sheetView zoomScale="90" zoomScaleNormal="90" workbookViewId="0">
      <selection activeCell="D17" sqref="D17"/>
    </sheetView>
  </sheetViews>
  <sheetFormatPr defaultColWidth="27.28515625" defaultRowHeight="32.25" customHeight="1" x14ac:dyDescent="0.25"/>
  <cols>
    <col min="1" max="1" width="46.42578125" style="69" customWidth="1"/>
    <col min="2" max="16384" width="27.28515625" style="69"/>
  </cols>
  <sheetData>
    <row r="1" spans="1:65" ht="32.25" customHeight="1" x14ac:dyDescent="0.25">
      <c r="A1" s="67" t="s">
        <v>29</v>
      </c>
      <c r="B1" s="67" t="s">
        <v>30</v>
      </c>
      <c r="C1" s="68" t="s">
        <v>31</v>
      </c>
      <c r="D1" s="68" t="s">
        <v>32</v>
      </c>
      <c r="E1" s="68" t="s">
        <v>33</v>
      </c>
      <c r="F1" s="68" t="s">
        <v>34</v>
      </c>
      <c r="G1" s="68" t="s">
        <v>35</v>
      </c>
      <c r="H1" s="68" t="s">
        <v>36</v>
      </c>
      <c r="I1" s="68" t="s">
        <v>37</v>
      </c>
      <c r="J1" s="68" t="s">
        <v>38</v>
      </c>
      <c r="K1" s="68" t="s">
        <v>39</v>
      </c>
      <c r="L1" s="68" t="s">
        <v>40</v>
      </c>
      <c r="M1" s="68" t="s">
        <v>41</v>
      </c>
      <c r="N1" s="68" t="s">
        <v>42</v>
      </c>
      <c r="O1" s="68" t="s">
        <v>43</v>
      </c>
      <c r="P1" s="68" t="s">
        <v>44</v>
      </c>
      <c r="Q1" s="68" t="s">
        <v>45</v>
      </c>
      <c r="R1" s="68" t="s">
        <v>46</v>
      </c>
      <c r="S1" s="68" t="s">
        <v>47</v>
      </c>
      <c r="T1" s="68" t="s">
        <v>48</v>
      </c>
      <c r="U1" s="68" t="s">
        <v>49</v>
      </c>
      <c r="V1" s="68" t="s">
        <v>50</v>
      </c>
      <c r="W1" s="68" t="s">
        <v>51</v>
      </c>
      <c r="X1" s="68" t="s">
        <v>52</v>
      </c>
      <c r="Y1" s="68" t="s">
        <v>53</v>
      </c>
      <c r="Z1" s="68" t="s">
        <v>54</v>
      </c>
      <c r="AA1" s="68" t="s">
        <v>55</v>
      </c>
      <c r="AB1" s="68" t="s">
        <v>56</v>
      </c>
      <c r="AC1" s="68" t="s">
        <v>57</v>
      </c>
      <c r="AD1" s="68" t="s">
        <v>58</v>
      </c>
      <c r="AE1" s="68" t="s">
        <v>59</v>
      </c>
      <c r="AF1" s="68" t="s">
        <v>60</v>
      </c>
      <c r="AG1" s="68" t="s">
        <v>61</v>
      </c>
      <c r="AH1" s="68" t="s">
        <v>62</v>
      </c>
      <c r="AI1" s="68" t="s">
        <v>63</v>
      </c>
      <c r="AJ1" s="68" t="s">
        <v>64</v>
      </c>
      <c r="AK1" s="68" t="s">
        <v>65</v>
      </c>
      <c r="AL1" s="68" t="s">
        <v>66</v>
      </c>
      <c r="AM1" s="68" t="s">
        <v>67</v>
      </c>
      <c r="AN1" s="68" t="s">
        <v>68</v>
      </c>
      <c r="AO1" s="68" t="s">
        <v>69</v>
      </c>
      <c r="AP1" s="68" t="s">
        <v>70</v>
      </c>
      <c r="AQ1" s="68" t="s">
        <v>71</v>
      </c>
      <c r="AR1" s="68" t="s">
        <v>72</v>
      </c>
      <c r="AS1" s="68" t="s">
        <v>73</v>
      </c>
      <c r="AT1" s="68" t="s">
        <v>74</v>
      </c>
      <c r="AU1" s="68" t="s">
        <v>75</v>
      </c>
      <c r="AV1" s="68" t="s">
        <v>76</v>
      </c>
      <c r="AW1" s="68" t="s">
        <v>77</v>
      </c>
      <c r="AX1" s="68" t="s">
        <v>78</v>
      </c>
      <c r="AY1" s="68" t="s">
        <v>79</v>
      </c>
      <c r="AZ1" s="68" t="s">
        <v>80</v>
      </c>
      <c r="BA1" s="68" t="s">
        <v>81</v>
      </c>
      <c r="BB1" s="68" t="s">
        <v>82</v>
      </c>
      <c r="BC1" s="68" t="s">
        <v>83</v>
      </c>
      <c r="BD1" s="68" t="s">
        <v>84</v>
      </c>
      <c r="BE1" s="68" t="s">
        <v>85</v>
      </c>
      <c r="BF1" s="68" t="s">
        <v>86</v>
      </c>
      <c r="BG1" s="68" t="s">
        <v>87</v>
      </c>
      <c r="BH1" s="68" t="s">
        <v>88</v>
      </c>
      <c r="BI1" s="68"/>
      <c r="BJ1" s="68"/>
      <c r="BK1" s="68"/>
      <c r="BL1" s="68"/>
      <c r="BM1" s="68"/>
    </row>
    <row r="2" spans="1:65" ht="24.75" customHeight="1" x14ac:dyDescent="0.25">
      <c r="A2" s="69" t="s">
        <v>90</v>
      </c>
      <c r="B2" s="69" t="s">
        <v>89</v>
      </c>
      <c r="C2" s="69" t="s">
        <v>13</v>
      </c>
      <c r="D2" s="69" t="s">
        <v>15</v>
      </c>
      <c r="E2" s="69" t="s">
        <v>15</v>
      </c>
      <c r="F2" s="69" t="s">
        <v>15</v>
      </c>
      <c r="G2" s="69" t="s">
        <v>14</v>
      </c>
      <c r="H2" s="69" t="s">
        <v>14</v>
      </c>
      <c r="I2" s="69" t="s">
        <v>14</v>
      </c>
      <c r="J2" s="69" t="s">
        <v>14</v>
      </c>
      <c r="K2" s="69" t="s">
        <v>14</v>
      </c>
      <c r="L2" s="69" t="s">
        <v>14</v>
      </c>
      <c r="M2" s="69" t="s">
        <v>16</v>
      </c>
      <c r="N2" s="69" t="s">
        <v>14</v>
      </c>
      <c r="O2" s="69" t="s">
        <v>14</v>
      </c>
      <c r="P2" s="69" t="s">
        <v>14</v>
      </c>
      <c r="Q2" s="69" t="s">
        <v>14</v>
      </c>
      <c r="R2" s="69" t="s">
        <v>14</v>
      </c>
      <c r="S2" s="69" t="s">
        <v>14</v>
      </c>
      <c r="T2" s="69" t="s">
        <v>14</v>
      </c>
      <c r="U2" s="69" t="s">
        <v>13</v>
      </c>
      <c r="V2" s="69" t="s">
        <v>14</v>
      </c>
      <c r="W2" s="69" t="s">
        <v>16</v>
      </c>
      <c r="X2" s="69" t="s">
        <v>14</v>
      </c>
      <c r="Y2" s="69" t="s">
        <v>14</v>
      </c>
      <c r="Z2" s="69" t="s">
        <v>16</v>
      </c>
      <c r="AA2" s="69" t="s">
        <v>14</v>
      </c>
      <c r="AB2" s="69" t="s">
        <v>16</v>
      </c>
      <c r="AC2" s="69" t="s">
        <v>14</v>
      </c>
      <c r="AD2" s="69" t="s">
        <v>14</v>
      </c>
      <c r="AE2" s="69" t="s">
        <v>14</v>
      </c>
      <c r="AF2" s="69" t="s">
        <v>14</v>
      </c>
      <c r="AG2" s="69" t="s">
        <v>14</v>
      </c>
      <c r="AH2" s="69" t="s">
        <v>14</v>
      </c>
      <c r="AI2" s="69" t="s">
        <v>14</v>
      </c>
      <c r="AJ2" s="69" t="s">
        <v>14</v>
      </c>
      <c r="AK2" s="69" t="s">
        <v>14</v>
      </c>
      <c r="AL2" s="69" t="s">
        <v>14</v>
      </c>
      <c r="AM2" s="69" t="s">
        <v>14</v>
      </c>
      <c r="AN2" s="69" t="s">
        <v>14</v>
      </c>
      <c r="AO2" s="69" t="s">
        <v>12</v>
      </c>
      <c r="AP2" s="69" t="s">
        <v>14</v>
      </c>
      <c r="AQ2" s="69" t="s">
        <v>14</v>
      </c>
      <c r="AR2" s="69" t="s">
        <v>14</v>
      </c>
      <c r="AS2" s="69" t="s">
        <v>14</v>
      </c>
      <c r="AT2" s="69" t="s">
        <v>14</v>
      </c>
      <c r="AU2" s="69" t="s">
        <v>14</v>
      </c>
      <c r="AV2" s="69" t="s">
        <v>14</v>
      </c>
      <c r="AW2" s="69" t="s">
        <v>20</v>
      </c>
      <c r="AX2" s="69" t="s">
        <v>20</v>
      </c>
      <c r="AY2" s="69" t="s">
        <v>14</v>
      </c>
      <c r="AZ2" s="69" t="s">
        <v>20</v>
      </c>
      <c r="BA2" s="69" t="s">
        <v>20</v>
      </c>
      <c r="BB2" s="69" t="s">
        <v>14</v>
      </c>
      <c r="BC2" s="69" t="s">
        <v>14</v>
      </c>
      <c r="BD2" s="69" t="s">
        <v>14</v>
      </c>
      <c r="BE2" s="69" t="s">
        <v>14</v>
      </c>
      <c r="BF2" s="69" t="s">
        <v>19</v>
      </c>
      <c r="BG2" s="69" t="s">
        <v>14</v>
      </c>
      <c r="BH2" s="69" t="s">
        <v>14</v>
      </c>
    </row>
    <row r="3" spans="1:65" ht="32.25" customHeight="1" x14ac:dyDescent="0.25">
      <c r="A3" s="69" t="s">
        <v>90</v>
      </c>
      <c r="B3" s="69" t="s">
        <v>89</v>
      </c>
      <c r="C3" s="69" t="s">
        <v>15</v>
      </c>
      <c r="D3" s="69" t="s">
        <v>13</v>
      </c>
      <c r="E3" s="69" t="s">
        <v>15</v>
      </c>
      <c r="F3" s="69" t="s">
        <v>15</v>
      </c>
      <c r="G3" s="69" t="s">
        <v>14</v>
      </c>
      <c r="H3" s="69" t="s">
        <v>14</v>
      </c>
      <c r="I3" s="69" t="s">
        <v>14</v>
      </c>
      <c r="J3" s="69" t="s">
        <v>16</v>
      </c>
      <c r="K3" s="69" t="s">
        <v>14</v>
      </c>
      <c r="L3" s="69" t="s">
        <v>16</v>
      </c>
      <c r="M3" s="69" t="s">
        <v>20</v>
      </c>
      <c r="N3" s="69" t="s">
        <v>14</v>
      </c>
      <c r="O3" s="69" t="s">
        <v>14</v>
      </c>
      <c r="P3" s="69" t="s">
        <v>14</v>
      </c>
      <c r="Q3" s="69" t="s">
        <v>12</v>
      </c>
      <c r="R3" s="69" t="s">
        <v>14</v>
      </c>
      <c r="S3" s="69" t="s">
        <v>14</v>
      </c>
      <c r="T3" s="69" t="s">
        <v>14</v>
      </c>
      <c r="U3" s="69" t="s">
        <v>15</v>
      </c>
      <c r="AJ3" s="69" t="s">
        <v>14</v>
      </c>
      <c r="AK3" s="69" t="s">
        <v>14</v>
      </c>
      <c r="AL3" s="69" t="s">
        <v>14</v>
      </c>
      <c r="AM3" s="69" t="s">
        <v>14</v>
      </c>
      <c r="AN3" s="69" t="s">
        <v>14</v>
      </c>
      <c r="AO3" s="69" t="s">
        <v>14</v>
      </c>
      <c r="AP3" s="69" t="s">
        <v>14</v>
      </c>
      <c r="AQ3" s="69" t="s">
        <v>16</v>
      </c>
      <c r="AR3" s="69" t="s">
        <v>16</v>
      </c>
      <c r="AS3" s="69" t="s">
        <v>16</v>
      </c>
      <c r="AT3" s="69" t="s">
        <v>16</v>
      </c>
      <c r="AU3" s="69" t="s">
        <v>16</v>
      </c>
      <c r="AV3" s="69" t="s">
        <v>16</v>
      </c>
      <c r="AW3" s="69" t="s">
        <v>16</v>
      </c>
      <c r="AX3" s="69" t="s">
        <v>16</v>
      </c>
      <c r="AY3" s="69" t="s">
        <v>17</v>
      </c>
      <c r="AZ3" s="69" t="s">
        <v>17</v>
      </c>
      <c r="BA3" s="69" t="s">
        <v>17</v>
      </c>
      <c r="BB3" s="69" t="s">
        <v>12</v>
      </c>
      <c r="BC3" s="69" t="s">
        <v>12</v>
      </c>
      <c r="BD3" s="69" t="s">
        <v>12</v>
      </c>
      <c r="BE3" s="69" t="s">
        <v>12</v>
      </c>
      <c r="BF3" s="69" t="s">
        <v>16</v>
      </c>
      <c r="BG3" s="69" t="s">
        <v>12</v>
      </c>
      <c r="BH3" s="69" t="s">
        <v>12</v>
      </c>
    </row>
    <row r="4" spans="1:65" ht="24.75" customHeight="1" x14ac:dyDescent="0.25">
      <c r="A4" s="69" t="s">
        <v>90</v>
      </c>
      <c r="B4" s="69" t="s">
        <v>89</v>
      </c>
      <c r="C4" s="69" t="s">
        <v>15</v>
      </c>
      <c r="D4" s="69" t="s">
        <v>15</v>
      </c>
      <c r="E4" s="69" t="s">
        <v>15</v>
      </c>
      <c r="F4" s="69" t="s">
        <v>13</v>
      </c>
      <c r="G4" s="69" t="s">
        <v>12</v>
      </c>
      <c r="H4" s="69" t="s">
        <v>12</v>
      </c>
      <c r="I4" s="69" t="s">
        <v>12</v>
      </c>
      <c r="J4" s="69" t="s">
        <v>12</v>
      </c>
      <c r="K4" s="69" t="s">
        <v>12</v>
      </c>
      <c r="L4" s="69" t="s">
        <v>12</v>
      </c>
      <c r="M4" s="69" t="s">
        <v>12</v>
      </c>
      <c r="N4" s="69" t="s">
        <v>12</v>
      </c>
      <c r="O4" s="69" t="s">
        <v>12</v>
      </c>
      <c r="P4" s="69" t="s">
        <v>12</v>
      </c>
      <c r="Q4" s="69" t="s">
        <v>12</v>
      </c>
      <c r="R4" s="69" t="s">
        <v>12</v>
      </c>
      <c r="S4" s="69" t="s">
        <v>12</v>
      </c>
      <c r="T4" s="69" t="s">
        <v>12</v>
      </c>
      <c r="U4" s="69" t="s">
        <v>13</v>
      </c>
      <c r="V4" s="69" t="s">
        <v>12</v>
      </c>
      <c r="W4" s="69" t="s">
        <v>12</v>
      </c>
      <c r="X4" s="69" t="s">
        <v>12</v>
      </c>
      <c r="Y4" s="69" t="s">
        <v>12</v>
      </c>
      <c r="Z4" s="69" t="s">
        <v>12</v>
      </c>
      <c r="AA4" s="69" t="s">
        <v>12</v>
      </c>
      <c r="AB4" s="69" t="s">
        <v>12</v>
      </c>
      <c r="AC4" s="69" t="s">
        <v>12</v>
      </c>
      <c r="AD4" s="69" t="s">
        <v>12</v>
      </c>
      <c r="AE4" s="69" t="s">
        <v>16</v>
      </c>
      <c r="AF4" s="69" t="s">
        <v>12</v>
      </c>
      <c r="AG4" s="69" t="s">
        <v>12</v>
      </c>
      <c r="AH4" s="69" t="s">
        <v>12</v>
      </c>
      <c r="AI4" s="69" t="s">
        <v>12</v>
      </c>
      <c r="AJ4" s="69" t="s">
        <v>12</v>
      </c>
      <c r="AK4" s="69" t="s">
        <v>12</v>
      </c>
      <c r="AL4" s="69" t="s">
        <v>12</v>
      </c>
      <c r="AM4" s="69" t="s">
        <v>12</v>
      </c>
      <c r="AN4" s="69" t="s">
        <v>12</v>
      </c>
      <c r="AO4" s="69" t="s">
        <v>12</v>
      </c>
      <c r="AP4" s="69" t="s">
        <v>12</v>
      </c>
      <c r="AQ4" s="69" t="s">
        <v>14</v>
      </c>
      <c r="AR4" s="69" t="s">
        <v>14</v>
      </c>
      <c r="AS4" s="69" t="s">
        <v>16</v>
      </c>
      <c r="AT4" s="69" t="s">
        <v>16</v>
      </c>
      <c r="AU4" s="69" t="s">
        <v>16</v>
      </c>
      <c r="AV4" s="69" t="s">
        <v>14</v>
      </c>
      <c r="AW4" s="69" t="s">
        <v>14</v>
      </c>
      <c r="AX4" s="69" t="s">
        <v>18</v>
      </c>
      <c r="AY4" s="69" t="s">
        <v>12</v>
      </c>
      <c r="AZ4" s="69" t="s">
        <v>14</v>
      </c>
      <c r="BA4" s="69" t="s">
        <v>18</v>
      </c>
      <c r="BB4" s="69" t="s">
        <v>12</v>
      </c>
      <c r="BC4" s="69" t="s">
        <v>12</v>
      </c>
      <c r="BD4" s="69" t="s">
        <v>12</v>
      </c>
      <c r="BE4" s="69" t="s">
        <v>12</v>
      </c>
      <c r="BF4" s="69" t="s">
        <v>12</v>
      </c>
      <c r="BG4" s="69" t="s">
        <v>12</v>
      </c>
      <c r="BH4" s="69" t="s">
        <v>12</v>
      </c>
    </row>
    <row r="5" spans="1:65" ht="24.75" customHeight="1" x14ac:dyDescent="0.25">
      <c r="A5" s="69" t="s">
        <v>90</v>
      </c>
      <c r="B5" s="69" t="s">
        <v>89</v>
      </c>
      <c r="C5" s="69" t="s">
        <v>13</v>
      </c>
      <c r="D5" s="69" t="s">
        <v>15</v>
      </c>
      <c r="E5" s="69" t="s">
        <v>15</v>
      </c>
      <c r="F5" s="69" t="s">
        <v>15</v>
      </c>
      <c r="G5" s="69" t="s">
        <v>14</v>
      </c>
      <c r="H5" s="69" t="s">
        <v>14</v>
      </c>
      <c r="I5" s="69" t="s">
        <v>14</v>
      </c>
      <c r="J5" s="69" t="s">
        <v>14</v>
      </c>
      <c r="K5" s="69" t="s">
        <v>14</v>
      </c>
      <c r="L5" s="69" t="s">
        <v>14</v>
      </c>
      <c r="M5" s="69" t="s">
        <v>12</v>
      </c>
      <c r="N5" s="69" t="s">
        <v>14</v>
      </c>
      <c r="O5" s="69" t="s">
        <v>14</v>
      </c>
      <c r="P5" s="69" t="s">
        <v>14</v>
      </c>
      <c r="Q5" s="69" t="s">
        <v>14</v>
      </c>
      <c r="R5" s="69" t="s">
        <v>14</v>
      </c>
      <c r="S5" s="69" t="s">
        <v>14</v>
      </c>
      <c r="T5" s="69" t="s">
        <v>14</v>
      </c>
      <c r="U5" s="69" t="s">
        <v>13</v>
      </c>
      <c r="V5" s="69" t="s">
        <v>14</v>
      </c>
      <c r="W5" s="69" t="s">
        <v>14</v>
      </c>
      <c r="X5" s="69" t="s">
        <v>14</v>
      </c>
      <c r="Y5" s="69" t="s">
        <v>12</v>
      </c>
      <c r="Z5" s="69" t="s">
        <v>12</v>
      </c>
      <c r="AA5" s="69" t="s">
        <v>12</v>
      </c>
      <c r="AB5" s="69" t="s">
        <v>14</v>
      </c>
      <c r="AC5" s="69" t="s">
        <v>12</v>
      </c>
      <c r="AD5" s="69" t="s">
        <v>14</v>
      </c>
      <c r="AE5" s="69" t="s">
        <v>14</v>
      </c>
      <c r="AF5" s="69" t="s">
        <v>14</v>
      </c>
      <c r="AG5" s="69" t="s">
        <v>12</v>
      </c>
      <c r="AH5" s="69" t="s">
        <v>14</v>
      </c>
      <c r="AI5" s="69" t="s">
        <v>14</v>
      </c>
      <c r="AJ5" s="69" t="s">
        <v>14</v>
      </c>
      <c r="AK5" s="69" t="s">
        <v>14</v>
      </c>
      <c r="AL5" s="69" t="s">
        <v>14</v>
      </c>
      <c r="AM5" s="69" t="s">
        <v>14</v>
      </c>
      <c r="AN5" s="69" t="s">
        <v>14</v>
      </c>
      <c r="AO5" s="69" t="s">
        <v>14</v>
      </c>
      <c r="AP5" s="69" t="s">
        <v>14</v>
      </c>
      <c r="AQ5" s="69" t="s">
        <v>14</v>
      </c>
      <c r="AR5" s="69" t="s">
        <v>14</v>
      </c>
      <c r="AS5" s="69" t="s">
        <v>14</v>
      </c>
      <c r="AT5" s="69" t="s">
        <v>16</v>
      </c>
      <c r="AU5" s="69" t="s">
        <v>14</v>
      </c>
      <c r="AV5" s="69" t="s">
        <v>14</v>
      </c>
      <c r="AW5" s="69" t="s">
        <v>14</v>
      </c>
      <c r="AX5" s="69" t="s">
        <v>20</v>
      </c>
      <c r="AY5" s="69" t="s">
        <v>14</v>
      </c>
      <c r="AZ5" s="69" t="s">
        <v>14</v>
      </c>
      <c r="BA5" s="69" t="s">
        <v>20</v>
      </c>
      <c r="BB5" s="69" t="s">
        <v>19</v>
      </c>
      <c r="BC5" s="69" t="s">
        <v>19</v>
      </c>
      <c r="BD5" s="69" t="s">
        <v>19</v>
      </c>
      <c r="BE5" s="69" t="s">
        <v>19</v>
      </c>
      <c r="BF5" s="69" t="s">
        <v>19</v>
      </c>
      <c r="BG5" s="69" t="s">
        <v>14</v>
      </c>
      <c r="BH5" s="69" t="s">
        <v>14</v>
      </c>
    </row>
    <row r="6" spans="1:65" ht="24.75" customHeight="1" x14ac:dyDescent="0.25">
      <c r="A6" s="69" t="s">
        <v>90</v>
      </c>
      <c r="B6" s="69" t="s">
        <v>89</v>
      </c>
      <c r="C6" s="69" t="s">
        <v>15</v>
      </c>
      <c r="D6" s="69" t="s">
        <v>13</v>
      </c>
      <c r="E6" s="69" t="s">
        <v>15</v>
      </c>
      <c r="F6" s="69" t="s">
        <v>15</v>
      </c>
      <c r="G6" s="69" t="s">
        <v>12</v>
      </c>
      <c r="H6" s="69" t="s">
        <v>12</v>
      </c>
      <c r="I6" s="69" t="s">
        <v>12</v>
      </c>
      <c r="J6" s="69" t="s">
        <v>12</v>
      </c>
      <c r="K6" s="69" t="s">
        <v>12</v>
      </c>
      <c r="L6" s="69" t="s">
        <v>12</v>
      </c>
      <c r="M6" s="69" t="s">
        <v>12</v>
      </c>
      <c r="N6" s="69" t="s">
        <v>12</v>
      </c>
      <c r="O6" s="69" t="s">
        <v>12</v>
      </c>
      <c r="P6" s="69" t="s">
        <v>12</v>
      </c>
      <c r="Q6" s="69" t="s">
        <v>12</v>
      </c>
      <c r="R6" s="69" t="s">
        <v>12</v>
      </c>
      <c r="S6" s="69" t="s">
        <v>12</v>
      </c>
      <c r="T6" s="69" t="s">
        <v>12</v>
      </c>
      <c r="U6" s="69" t="s">
        <v>15</v>
      </c>
      <c r="AJ6" s="69" t="s">
        <v>12</v>
      </c>
      <c r="AK6" s="69" t="s">
        <v>12</v>
      </c>
      <c r="AL6" s="69" t="s">
        <v>12</v>
      </c>
      <c r="AM6" s="69" t="s">
        <v>12</v>
      </c>
      <c r="AN6" s="69" t="s">
        <v>12</v>
      </c>
      <c r="AO6" s="69" t="s">
        <v>12</v>
      </c>
      <c r="AP6" s="69" t="s">
        <v>12</v>
      </c>
      <c r="AQ6" s="69" t="s">
        <v>12</v>
      </c>
      <c r="AR6" s="69" t="s">
        <v>12</v>
      </c>
      <c r="AS6" s="69" t="s">
        <v>14</v>
      </c>
      <c r="AT6" s="69" t="s">
        <v>14</v>
      </c>
      <c r="AU6" s="69" t="s">
        <v>12</v>
      </c>
      <c r="AV6" s="69" t="s">
        <v>12</v>
      </c>
      <c r="AW6" s="69" t="s">
        <v>14</v>
      </c>
      <c r="AX6" s="69" t="s">
        <v>14</v>
      </c>
      <c r="AY6" s="69" t="s">
        <v>12</v>
      </c>
      <c r="AZ6" s="69" t="s">
        <v>14</v>
      </c>
      <c r="BA6" s="69" t="s">
        <v>14</v>
      </c>
      <c r="BB6" s="69" t="s">
        <v>12</v>
      </c>
      <c r="BC6" s="69" t="s">
        <v>12</v>
      </c>
      <c r="BD6" s="69" t="s">
        <v>12</v>
      </c>
      <c r="BE6" s="69" t="s">
        <v>12</v>
      </c>
      <c r="BF6" s="69" t="s">
        <v>12</v>
      </c>
      <c r="BG6" s="69" t="s">
        <v>12</v>
      </c>
      <c r="BH6" s="69" t="s">
        <v>12</v>
      </c>
    </row>
    <row r="7" spans="1:65" ht="24.75" customHeight="1" x14ac:dyDescent="0.25">
      <c r="A7" s="69" t="s">
        <v>90</v>
      </c>
      <c r="B7" s="69" t="s">
        <v>89</v>
      </c>
      <c r="C7" s="69" t="s">
        <v>15</v>
      </c>
      <c r="D7" s="69" t="s">
        <v>13</v>
      </c>
      <c r="E7" s="69" t="s">
        <v>15</v>
      </c>
      <c r="F7" s="69" t="s">
        <v>15</v>
      </c>
      <c r="G7" s="69" t="s">
        <v>12</v>
      </c>
      <c r="H7" s="69" t="s">
        <v>14</v>
      </c>
      <c r="I7" s="69" t="s">
        <v>14</v>
      </c>
      <c r="J7" s="69" t="s">
        <v>14</v>
      </c>
      <c r="K7" s="69" t="s">
        <v>12</v>
      </c>
      <c r="L7" s="69" t="s">
        <v>12</v>
      </c>
      <c r="M7" s="69" t="s">
        <v>12</v>
      </c>
      <c r="N7" s="69" t="s">
        <v>12</v>
      </c>
      <c r="O7" s="69" t="s">
        <v>12</v>
      </c>
      <c r="P7" s="69" t="s">
        <v>12</v>
      </c>
      <c r="Q7" s="69" t="s">
        <v>14</v>
      </c>
      <c r="R7" s="69" t="s">
        <v>14</v>
      </c>
      <c r="S7" s="69" t="s">
        <v>12</v>
      </c>
      <c r="T7" s="69" t="s">
        <v>12</v>
      </c>
      <c r="U7" s="69" t="s">
        <v>13</v>
      </c>
      <c r="V7" s="69" t="s">
        <v>12</v>
      </c>
      <c r="W7" s="69" t="s">
        <v>12</v>
      </c>
      <c r="X7" s="69" t="s">
        <v>12</v>
      </c>
      <c r="Y7" s="69" t="s">
        <v>12</v>
      </c>
      <c r="Z7" s="69" t="s">
        <v>12</v>
      </c>
      <c r="AA7" s="69" t="s">
        <v>12</v>
      </c>
      <c r="AB7" s="69" t="s">
        <v>12</v>
      </c>
      <c r="AC7" s="69" t="s">
        <v>12</v>
      </c>
      <c r="AD7" s="69" t="s">
        <v>12</v>
      </c>
      <c r="AE7" s="69" t="s">
        <v>12</v>
      </c>
      <c r="AF7" s="69" t="s">
        <v>12</v>
      </c>
      <c r="AG7" s="69" t="s">
        <v>12</v>
      </c>
      <c r="AH7" s="69" t="s">
        <v>12</v>
      </c>
      <c r="AI7" s="69" t="s">
        <v>12</v>
      </c>
      <c r="AJ7" s="69" t="s">
        <v>12</v>
      </c>
      <c r="AK7" s="69" t="s">
        <v>12</v>
      </c>
      <c r="AL7" s="69" t="s">
        <v>12</v>
      </c>
      <c r="AM7" s="69" t="s">
        <v>12</v>
      </c>
      <c r="AN7" s="69" t="s">
        <v>12</v>
      </c>
      <c r="AO7" s="69" t="s">
        <v>12</v>
      </c>
      <c r="AP7" s="69" t="s">
        <v>12</v>
      </c>
      <c r="AQ7" s="69" t="s">
        <v>14</v>
      </c>
      <c r="AR7" s="69" t="s">
        <v>12</v>
      </c>
      <c r="AS7" s="69" t="s">
        <v>14</v>
      </c>
      <c r="AT7" s="69" t="s">
        <v>12</v>
      </c>
      <c r="AU7" s="69" t="s">
        <v>12</v>
      </c>
      <c r="AV7" s="69" t="s">
        <v>14</v>
      </c>
      <c r="AW7" s="69" t="s">
        <v>16</v>
      </c>
      <c r="AX7" s="69" t="s">
        <v>17</v>
      </c>
      <c r="AY7" s="69" t="s">
        <v>12</v>
      </c>
      <c r="AZ7" s="69" t="s">
        <v>12</v>
      </c>
      <c r="BA7" s="69" t="s">
        <v>14</v>
      </c>
      <c r="BB7" s="69" t="s">
        <v>12</v>
      </c>
      <c r="BC7" s="69" t="s">
        <v>12</v>
      </c>
      <c r="BD7" s="69" t="s">
        <v>12</v>
      </c>
      <c r="BE7" s="69" t="s">
        <v>12</v>
      </c>
      <c r="BF7" s="69" t="s">
        <v>12</v>
      </c>
      <c r="BG7" s="69" t="s">
        <v>12</v>
      </c>
      <c r="BH7" s="69" t="s">
        <v>12</v>
      </c>
    </row>
    <row r="8" spans="1:65" ht="24.75" customHeight="1" x14ac:dyDescent="0.25">
      <c r="A8" s="69" t="s">
        <v>90</v>
      </c>
      <c r="B8" s="69" t="s">
        <v>89</v>
      </c>
      <c r="C8" s="69" t="s">
        <v>15</v>
      </c>
      <c r="D8" s="69" t="s">
        <v>13</v>
      </c>
      <c r="E8" s="69" t="s">
        <v>15</v>
      </c>
      <c r="F8" s="69" t="s">
        <v>15</v>
      </c>
      <c r="G8" s="69" t="s">
        <v>20</v>
      </c>
      <c r="H8" s="69" t="s">
        <v>14</v>
      </c>
      <c r="I8" s="69" t="s">
        <v>20</v>
      </c>
      <c r="J8" s="69" t="s">
        <v>20</v>
      </c>
      <c r="K8" s="69" t="s">
        <v>20</v>
      </c>
      <c r="L8" s="69" t="s">
        <v>20</v>
      </c>
      <c r="M8" s="69" t="s">
        <v>20</v>
      </c>
      <c r="N8" s="69" t="s">
        <v>20</v>
      </c>
      <c r="O8" s="69" t="s">
        <v>20</v>
      </c>
      <c r="P8" s="69" t="s">
        <v>20</v>
      </c>
      <c r="Q8" s="69" t="s">
        <v>20</v>
      </c>
      <c r="R8" s="69" t="s">
        <v>20</v>
      </c>
      <c r="S8" s="69" t="s">
        <v>20</v>
      </c>
      <c r="T8" s="69" t="s">
        <v>14</v>
      </c>
      <c r="U8" s="69" t="s">
        <v>15</v>
      </c>
      <c r="AJ8" s="69" t="s">
        <v>12</v>
      </c>
      <c r="AK8" s="69" t="s">
        <v>14</v>
      </c>
      <c r="AL8" s="69" t="s">
        <v>14</v>
      </c>
      <c r="AM8" s="69" t="s">
        <v>16</v>
      </c>
      <c r="AN8" s="69" t="s">
        <v>12</v>
      </c>
      <c r="AO8" s="69" t="s">
        <v>16</v>
      </c>
      <c r="AP8" s="69" t="s">
        <v>12</v>
      </c>
      <c r="AQ8" s="69" t="s">
        <v>16</v>
      </c>
      <c r="AR8" s="69" t="s">
        <v>16</v>
      </c>
      <c r="AS8" s="69" t="s">
        <v>12</v>
      </c>
      <c r="AT8" s="69" t="s">
        <v>17</v>
      </c>
      <c r="AU8" s="69" t="s">
        <v>16</v>
      </c>
      <c r="AV8" s="69" t="s">
        <v>16</v>
      </c>
      <c r="AW8" s="69" t="s">
        <v>18</v>
      </c>
      <c r="AX8" s="69" t="s">
        <v>18</v>
      </c>
      <c r="AY8" s="69" t="s">
        <v>12</v>
      </c>
      <c r="AZ8" s="69" t="s">
        <v>17</v>
      </c>
      <c r="BA8" s="69" t="s">
        <v>18</v>
      </c>
      <c r="BB8" s="69" t="s">
        <v>12</v>
      </c>
      <c r="BC8" s="69" t="s">
        <v>12</v>
      </c>
      <c r="BD8" s="69" t="s">
        <v>12</v>
      </c>
      <c r="BE8" s="69" t="s">
        <v>12</v>
      </c>
      <c r="BF8" s="69" t="s">
        <v>20</v>
      </c>
      <c r="BG8" s="69" t="s">
        <v>14</v>
      </c>
      <c r="BH8" s="69" t="s">
        <v>16</v>
      </c>
    </row>
    <row r="9" spans="1:65" ht="24.75" customHeight="1" x14ac:dyDescent="0.25">
      <c r="A9" s="69" t="s">
        <v>90</v>
      </c>
      <c r="B9" s="69" t="s">
        <v>89</v>
      </c>
      <c r="C9" s="69" t="s">
        <v>15</v>
      </c>
      <c r="D9" s="69" t="s">
        <v>13</v>
      </c>
      <c r="E9" s="69" t="s">
        <v>15</v>
      </c>
      <c r="F9" s="69" t="s">
        <v>15</v>
      </c>
      <c r="G9" s="69" t="s">
        <v>14</v>
      </c>
      <c r="H9" s="69" t="s">
        <v>12</v>
      </c>
      <c r="I9" s="69" t="s">
        <v>12</v>
      </c>
      <c r="J9" s="69" t="s">
        <v>14</v>
      </c>
      <c r="K9" s="69" t="s">
        <v>12</v>
      </c>
      <c r="L9" s="69" t="s">
        <v>14</v>
      </c>
      <c r="M9" s="69" t="s">
        <v>16</v>
      </c>
      <c r="N9" s="69" t="s">
        <v>14</v>
      </c>
      <c r="O9" s="69" t="s">
        <v>14</v>
      </c>
      <c r="P9" s="69" t="s">
        <v>14</v>
      </c>
      <c r="Q9" s="69" t="s">
        <v>14</v>
      </c>
      <c r="R9" s="69" t="s">
        <v>14</v>
      </c>
      <c r="S9" s="69" t="s">
        <v>14</v>
      </c>
      <c r="T9" s="69" t="s">
        <v>19</v>
      </c>
      <c r="U9" s="69" t="s">
        <v>15</v>
      </c>
      <c r="AJ9" s="69" t="s">
        <v>12</v>
      </c>
      <c r="AK9" s="69" t="s">
        <v>14</v>
      </c>
      <c r="AL9" s="69" t="s">
        <v>14</v>
      </c>
      <c r="AM9" s="69" t="s">
        <v>12</v>
      </c>
      <c r="AN9" s="69" t="s">
        <v>12</v>
      </c>
      <c r="AO9" s="69" t="s">
        <v>12</v>
      </c>
      <c r="AP9" s="69" t="s">
        <v>12</v>
      </c>
      <c r="AQ9" s="69" t="s">
        <v>14</v>
      </c>
      <c r="AR9" s="69" t="s">
        <v>14</v>
      </c>
      <c r="AS9" s="69" t="s">
        <v>14</v>
      </c>
      <c r="AT9" s="69" t="s">
        <v>19</v>
      </c>
      <c r="AU9" s="69" t="s">
        <v>14</v>
      </c>
      <c r="AV9" s="69" t="s">
        <v>12</v>
      </c>
      <c r="AW9" s="69" t="s">
        <v>12</v>
      </c>
      <c r="AX9" s="69" t="s">
        <v>19</v>
      </c>
      <c r="AY9" s="69" t="s">
        <v>12</v>
      </c>
      <c r="AZ9" s="69" t="s">
        <v>12</v>
      </c>
      <c r="BA9" s="69" t="s">
        <v>19</v>
      </c>
      <c r="BB9" s="69" t="s">
        <v>12</v>
      </c>
      <c r="BC9" s="69" t="s">
        <v>12</v>
      </c>
      <c r="BD9" s="69" t="s">
        <v>12</v>
      </c>
      <c r="BE9" s="69" t="s">
        <v>12</v>
      </c>
      <c r="BF9" s="69" t="s">
        <v>14</v>
      </c>
      <c r="BG9" s="69" t="s">
        <v>12</v>
      </c>
      <c r="BH9" s="69" t="s">
        <v>12</v>
      </c>
    </row>
    <row r="10" spans="1:65" ht="24.75" customHeight="1" x14ac:dyDescent="0.25">
      <c r="A10" s="69" t="s">
        <v>90</v>
      </c>
      <c r="B10" s="69" t="s">
        <v>89</v>
      </c>
      <c r="C10" s="69" t="s">
        <v>15</v>
      </c>
      <c r="D10" s="69" t="s">
        <v>15</v>
      </c>
      <c r="E10" s="69" t="s">
        <v>15</v>
      </c>
      <c r="F10" s="69" t="s">
        <v>13</v>
      </c>
      <c r="G10" s="69" t="s">
        <v>12</v>
      </c>
      <c r="H10" s="69" t="s">
        <v>12</v>
      </c>
      <c r="I10" s="69" t="s">
        <v>12</v>
      </c>
      <c r="J10" s="69" t="s">
        <v>12</v>
      </c>
      <c r="K10" s="69" t="s">
        <v>12</v>
      </c>
      <c r="L10" s="69" t="s">
        <v>12</v>
      </c>
      <c r="M10" s="69" t="s">
        <v>12</v>
      </c>
      <c r="N10" s="69" t="s">
        <v>12</v>
      </c>
      <c r="O10" s="69" t="s">
        <v>12</v>
      </c>
      <c r="P10" s="69" t="s">
        <v>12</v>
      </c>
      <c r="Q10" s="69" t="s">
        <v>12</v>
      </c>
      <c r="R10" s="69" t="s">
        <v>12</v>
      </c>
      <c r="S10" s="69" t="s">
        <v>12</v>
      </c>
      <c r="T10" s="69" t="s">
        <v>12</v>
      </c>
      <c r="U10" s="69" t="s">
        <v>13</v>
      </c>
      <c r="V10" s="69" t="s">
        <v>12</v>
      </c>
      <c r="W10" s="69" t="s">
        <v>12</v>
      </c>
      <c r="X10" s="69" t="s">
        <v>12</v>
      </c>
      <c r="Y10" s="69" t="s">
        <v>12</v>
      </c>
      <c r="Z10" s="69" t="s">
        <v>12</v>
      </c>
      <c r="AA10" s="69" t="s">
        <v>12</v>
      </c>
      <c r="AB10" s="69" t="s">
        <v>12</v>
      </c>
      <c r="AC10" s="69" t="s">
        <v>12</v>
      </c>
      <c r="AD10" s="69" t="s">
        <v>12</v>
      </c>
      <c r="AE10" s="69" t="s">
        <v>12</v>
      </c>
      <c r="AF10" s="69" t="s">
        <v>12</v>
      </c>
      <c r="AG10" s="69" t="s">
        <v>12</v>
      </c>
      <c r="AH10" s="69" t="s">
        <v>12</v>
      </c>
      <c r="AI10" s="69" t="s">
        <v>12</v>
      </c>
      <c r="AJ10" s="69" t="s">
        <v>12</v>
      </c>
      <c r="AK10" s="69" t="s">
        <v>12</v>
      </c>
      <c r="AL10" s="69" t="s">
        <v>12</v>
      </c>
      <c r="AM10" s="69" t="s">
        <v>12</v>
      </c>
      <c r="AN10" s="69" t="s">
        <v>12</v>
      </c>
      <c r="AO10" s="69" t="s">
        <v>12</v>
      </c>
      <c r="AP10" s="69" t="s">
        <v>12</v>
      </c>
      <c r="AQ10" s="69" t="s">
        <v>12</v>
      </c>
      <c r="AR10" s="69" t="s">
        <v>12</v>
      </c>
      <c r="AS10" s="69" t="s">
        <v>16</v>
      </c>
      <c r="AT10" s="69" t="s">
        <v>12</v>
      </c>
      <c r="AU10" s="69" t="s">
        <v>12</v>
      </c>
      <c r="AV10" s="69" t="s">
        <v>12</v>
      </c>
      <c r="AW10" s="69" t="s">
        <v>16</v>
      </c>
      <c r="AX10" s="69" t="s">
        <v>16</v>
      </c>
      <c r="AY10" s="69" t="s">
        <v>12</v>
      </c>
      <c r="AZ10" s="69" t="s">
        <v>14</v>
      </c>
      <c r="BA10" s="69" t="s">
        <v>14</v>
      </c>
      <c r="BB10" s="69" t="s">
        <v>12</v>
      </c>
      <c r="BC10" s="69" t="s">
        <v>12</v>
      </c>
      <c r="BD10" s="69" t="s">
        <v>12</v>
      </c>
      <c r="BE10" s="69" t="s">
        <v>12</v>
      </c>
      <c r="BF10" s="69" t="s">
        <v>12</v>
      </c>
      <c r="BG10" s="69" t="s">
        <v>12</v>
      </c>
      <c r="BH10" s="69" t="s">
        <v>12</v>
      </c>
    </row>
    <row r="11" spans="1:65" ht="24.75" customHeight="1" x14ac:dyDescent="0.25">
      <c r="A11" s="69" t="s">
        <v>90</v>
      </c>
      <c r="B11" s="69" t="s">
        <v>89</v>
      </c>
      <c r="C11" s="69" t="s">
        <v>15</v>
      </c>
      <c r="D11" s="69" t="s">
        <v>15</v>
      </c>
      <c r="E11" s="69" t="s">
        <v>15</v>
      </c>
      <c r="F11" s="69" t="s">
        <v>13</v>
      </c>
      <c r="G11" s="69" t="s">
        <v>14</v>
      </c>
      <c r="H11" s="69" t="s">
        <v>16</v>
      </c>
      <c r="I11" s="69" t="s">
        <v>12</v>
      </c>
      <c r="J11" s="69" t="s">
        <v>14</v>
      </c>
      <c r="K11" s="69" t="s">
        <v>14</v>
      </c>
      <c r="L11" s="69" t="s">
        <v>14</v>
      </c>
      <c r="M11" s="69" t="s">
        <v>16</v>
      </c>
      <c r="N11" s="69" t="s">
        <v>14</v>
      </c>
      <c r="O11" s="69" t="s">
        <v>16</v>
      </c>
      <c r="P11" s="69" t="s">
        <v>14</v>
      </c>
      <c r="Q11" s="69" t="s">
        <v>16</v>
      </c>
      <c r="R11" s="69" t="s">
        <v>14</v>
      </c>
      <c r="S11" s="69" t="s">
        <v>16</v>
      </c>
      <c r="T11" s="69" t="s">
        <v>19</v>
      </c>
      <c r="U11" s="69" t="s">
        <v>15</v>
      </c>
      <c r="AJ11" s="69" t="s">
        <v>14</v>
      </c>
      <c r="AK11" s="69" t="s">
        <v>12</v>
      </c>
      <c r="AL11" s="69" t="s">
        <v>16</v>
      </c>
      <c r="AM11" s="69" t="s">
        <v>12</v>
      </c>
      <c r="AN11" s="69" t="s">
        <v>14</v>
      </c>
      <c r="AO11" s="69" t="s">
        <v>12</v>
      </c>
      <c r="AP11" s="69" t="s">
        <v>14</v>
      </c>
      <c r="AQ11" s="69" t="s">
        <v>16</v>
      </c>
      <c r="AR11" s="69" t="s">
        <v>16</v>
      </c>
      <c r="AS11" s="69" t="s">
        <v>16</v>
      </c>
      <c r="AT11" s="69" t="s">
        <v>16</v>
      </c>
      <c r="AU11" s="69" t="s">
        <v>16</v>
      </c>
      <c r="AV11" s="69" t="s">
        <v>16</v>
      </c>
      <c r="AW11" s="69" t="s">
        <v>17</v>
      </c>
      <c r="AX11" s="69" t="s">
        <v>17</v>
      </c>
      <c r="AY11" s="69" t="s">
        <v>16</v>
      </c>
      <c r="AZ11" s="69" t="s">
        <v>17</v>
      </c>
      <c r="BA11" s="69" t="s">
        <v>17</v>
      </c>
      <c r="BB11" s="69" t="s">
        <v>19</v>
      </c>
      <c r="BC11" s="69" t="s">
        <v>19</v>
      </c>
      <c r="BD11" s="69" t="s">
        <v>14</v>
      </c>
      <c r="BE11" s="69" t="s">
        <v>19</v>
      </c>
      <c r="BF11" s="69" t="s">
        <v>19</v>
      </c>
      <c r="BG11" s="69" t="s">
        <v>14</v>
      </c>
      <c r="BH11" s="69" t="s">
        <v>14</v>
      </c>
    </row>
    <row r="12" spans="1:65" ht="24.75" customHeight="1" x14ac:dyDescent="0.25">
      <c r="A12" s="69" t="s">
        <v>90</v>
      </c>
      <c r="B12" s="69" t="s">
        <v>89</v>
      </c>
      <c r="C12" s="69" t="s">
        <v>15</v>
      </c>
      <c r="D12" s="69" t="s">
        <v>13</v>
      </c>
      <c r="E12" s="69" t="s">
        <v>15</v>
      </c>
      <c r="F12" s="69" t="s">
        <v>15</v>
      </c>
      <c r="G12" s="69" t="s">
        <v>12</v>
      </c>
      <c r="H12" s="69" t="s">
        <v>12</v>
      </c>
      <c r="I12" s="69" t="s">
        <v>14</v>
      </c>
      <c r="J12" s="69" t="s">
        <v>12</v>
      </c>
      <c r="K12" s="69" t="s">
        <v>14</v>
      </c>
      <c r="L12" s="69" t="s">
        <v>14</v>
      </c>
      <c r="M12" s="69" t="s">
        <v>16</v>
      </c>
      <c r="N12" s="69" t="s">
        <v>12</v>
      </c>
      <c r="O12" s="69" t="s">
        <v>12</v>
      </c>
      <c r="P12" s="69" t="s">
        <v>14</v>
      </c>
      <c r="Q12" s="69" t="s">
        <v>14</v>
      </c>
      <c r="R12" s="69" t="s">
        <v>14</v>
      </c>
      <c r="S12" s="69" t="s">
        <v>12</v>
      </c>
      <c r="T12" s="69" t="s">
        <v>20</v>
      </c>
      <c r="U12" s="69" t="s">
        <v>13</v>
      </c>
      <c r="V12" s="69" t="s">
        <v>12</v>
      </c>
      <c r="W12" s="69" t="s">
        <v>16</v>
      </c>
      <c r="X12" s="69" t="s">
        <v>16</v>
      </c>
      <c r="Y12" s="69" t="s">
        <v>14</v>
      </c>
      <c r="Z12" s="69" t="s">
        <v>12</v>
      </c>
      <c r="AA12" s="69" t="s">
        <v>16</v>
      </c>
      <c r="AB12" s="69" t="s">
        <v>14</v>
      </c>
      <c r="AC12" s="69" t="s">
        <v>12</v>
      </c>
      <c r="AD12" s="69" t="s">
        <v>12</v>
      </c>
      <c r="AE12" s="69" t="s">
        <v>16</v>
      </c>
      <c r="AF12" s="69" t="s">
        <v>14</v>
      </c>
      <c r="AG12" s="69" t="s">
        <v>12</v>
      </c>
      <c r="AH12" s="69" t="s">
        <v>14</v>
      </c>
      <c r="AI12" s="69" t="s">
        <v>12</v>
      </c>
      <c r="AJ12" s="69" t="s">
        <v>12</v>
      </c>
      <c r="AK12" s="69" t="s">
        <v>12</v>
      </c>
      <c r="AL12" s="69" t="s">
        <v>12</v>
      </c>
      <c r="AM12" s="69" t="s">
        <v>12</v>
      </c>
      <c r="AN12" s="69" t="s">
        <v>12</v>
      </c>
      <c r="AO12" s="69" t="s">
        <v>12</v>
      </c>
      <c r="AP12" s="69" t="s">
        <v>12</v>
      </c>
      <c r="AQ12" s="69" t="s">
        <v>12</v>
      </c>
      <c r="AR12" s="69" t="s">
        <v>12</v>
      </c>
      <c r="AS12" s="69" t="s">
        <v>12</v>
      </c>
      <c r="AT12" s="69" t="s">
        <v>14</v>
      </c>
      <c r="AU12" s="69" t="s">
        <v>12</v>
      </c>
      <c r="AV12" s="69" t="s">
        <v>12</v>
      </c>
      <c r="AW12" s="69" t="s">
        <v>20</v>
      </c>
      <c r="AX12" s="69" t="s">
        <v>20</v>
      </c>
      <c r="AY12" s="69" t="s">
        <v>14</v>
      </c>
      <c r="AZ12" s="69" t="s">
        <v>19</v>
      </c>
      <c r="BA12" s="69" t="s">
        <v>19</v>
      </c>
      <c r="BB12" s="69" t="s">
        <v>12</v>
      </c>
      <c r="BC12" s="69" t="s">
        <v>12</v>
      </c>
      <c r="BD12" s="69" t="s">
        <v>12</v>
      </c>
      <c r="BE12" s="69" t="s">
        <v>12</v>
      </c>
      <c r="BF12" s="69" t="s">
        <v>19</v>
      </c>
      <c r="BG12" s="69" t="s">
        <v>12</v>
      </c>
      <c r="BH12" s="69" t="s">
        <v>12</v>
      </c>
    </row>
    <row r="13" spans="1:65" ht="24.75" customHeight="1" x14ac:dyDescent="0.25">
      <c r="A13" s="69" t="s">
        <v>90</v>
      </c>
      <c r="B13" s="69" t="s">
        <v>89</v>
      </c>
      <c r="C13" s="69" t="s">
        <v>15</v>
      </c>
      <c r="D13" s="69" t="s">
        <v>15</v>
      </c>
      <c r="E13" s="69" t="s">
        <v>15</v>
      </c>
      <c r="F13" s="69" t="s">
        <v>13</v>
      </c>
      <c r="G13" s="69" t="s">
        <v>12</v>
      </c>
      <c r="H13" s="69" t="s">
        <v>12</v>
      </c>
      <c r="I13" s="69" t="s">
        <v>12</v>
      </c>
      <c r="J13" s="69" t="s">
        <v>12</v>
      </c>
      <c r="K13" s="69" t="s">
        <v>12</v>
      </c>
      <c r="L13" s="69" t="s">
        <v>12</v>
      </c>
      <c r="M13" s="69" t="s">
        <v>17</v>
      </c>
      <c r="N13" s="69" t="s">
        <v>12</v>
      </c>
      <c r="O13" s="69" t="s">
        <v>12</v>
      </c>
      <c r="P13" s="69" t="s">
        <v>12</v>
      </c>
      <c r="Q13" s="69" t="s">
        <v>12</v>
      </c>
      <c r="R13" s="69" t="s">
        <v>12</v>
      </c>
      <c r="S13" s="69" t="s">
        <v>12</v>
      </c>
      <c r="T13" s="69" t="s">
        <v>12</v>
      </c>
      <c r="U13" s="69" t="s">
        <v>13</v>
      </c>
      <c r="V13" s="69" t="s">
        <v>12</v>
      </c>
      <c r="W13" s="69" t="s">
        <v>16</v>
      </c>
      <c r="X13" s="69" t="s">
        <v>14</v>
      </c>
      <c r="Y13" s="69" t="s">
        <v>14</v>
      </c>
      <c r="Z13" s="69" t="s">
        <v>16</v>
      </c>
      <c r="AA13" s="69" t="s">
        <v>14</v>
      </c>
      <c r="AB13" s="69" t="s">
        <v>17</v>
      </c>
      <c r="AC13" s="69" t="s">
        <v>14</v>
      </c>
      <c r="AD13" s="69" t="s">
        <v>14</v>
      </c>
      <c r="AE13" s="69" t="s">
        <v>14</v>
      </c>
      <c r="AF13" s="69" t="s">
        <v>12</v>
      </c>
      <c r="AG13" s="69" t="s">
        <v>16</v>
      </c>
      <c r="AH13" s="69" t="s">
        <v>14</v>
      </c>
      <c r="AI13" s="69" t="s">
        <v>14</v>
      </c>
      <c r="AJ13" s="69" t="s">
        <v>12</v>
      </c>
      <c r="AK13" s="69" t="s">
        <v>12</v>
      </c>
      <c r="AL13" s="69" t="s">
        <v>12</v>
      </c>
      <c r="AM13" s="69" t="s">
        <v>12</v>
      </c>
      <c r="AN13" s="69" t="s">
        <v>12</v>
      </c>
      <c r="AO13" s="69" t="s">
        <v>12</v>
      </c>
      <c r="AP13" s="69" t="s">
        <v>12</v>
      </c>
      <c r="AQ13" s="69" t="s">
        <v>12</v>
      </c>
      <c r="AR13" s="69" t="s">
        <v>12</v>
      </c>
      <c r="AS13" s="69" t="s">
        <v>12</v>
      </c>
      <c r="AT13" s="69" t="s">
        <v>12</v>
      </c>
      <c r="AU13" s="69" t="s">
        <v>12</v>
      </c>
      <c r="AV13" s="69" t="s">
        <v>12</v>
      </c>
      <c r="AW13" s="69" t="s">
        <v>14</v>
      </c>
      <c r="AX13" s="69" t="s">
        <v>16</v>
      </c>
      <c r="AY13" s="69" t="s">
        <v>12</v>
      </c>
      <c r="AZ13" s="69" t="s">
        <v>14</v>
      </c>
      <c r="BA13" s="69" t="s">
        <v>16</v>
      </c>
      <c r="BB13" s="69" t="s">
        <v>14</v>
      </c>
      <c r="BC13" s="69" t="s">
        <v>12</v>
      </c>
      <c r="BD13" s="69" t="s">
        <v>12</v>
      </c>
      <c r="BE13" s="69" t="s">
        <v>12</v>
      </c>
      <c r="BF13" s="69" t="s">
        <v>14</v>
      </c>
      <c r="BG13" s="69" t="s">
        <v>12</v>
      </c>
      <c r="BH13" s="69" t="s">
        <v>12</v>
      </c>
    </row>
    <row r="14" spans="1:65" ht="24.75" customHeight="1" x14ac:dyDescent="0.25">
      <c r="A14" s="69" t="s">
        <v>90</v>
      </c>
      <c r="B14" s="69" t="s">
        <v>89</v>
      </c>
      <c r="C14" s="69" t="s">
        <v>15</v>
      </c>
      <c r="D14" s="69" t="s">
        <v>13</v>
      </c>
      <c r="E14" s="69" t="s">
        <v>15</v>
      </c>
      <c r="F14" s="69" t="s">
        <v>15</v>
      </c>
      <c r="G14" s="69" t="s">
        <v>12</v>
      </c>
      <c r="H14" s="69" t="s">
        <v>12</v>
      </c>
      <c r="I14" s="69" t="s">
        <v>12</v>
      </c>
      <c r="J14" s="69" t="s">
        <v>12</v>
      </c>
      <c r="K14" s="69" t="s">
        <v>12</v>
      </c>
      <c r="L14" s="69" t="s">
        <v>12</v>
      </c>
      <c r="M14" s="69" t="s">
        <v>12</v>
      </c>
      <c r="N14" s="69" t="s">
        <v>12</v>
      </c>
      <c r="O14" s="69" t="s">
        <v>12</v>
      </c>
      <c r="P14" s="69" t="s">
        <v>12</v>
      </c>
      <c r="Q14" s="69" t="s">
        <v>12</v>
      </c>
      <c r="R14" s="69" t="s">
        <v>12</v>
      </c>
      <c r="S14" s="69" t="s">
        <v>12</v>
      </c>
      <c r="T14" s="69" t="s">
        <v>12</v>
      </c>
      <c r="U14" s="69" t="s">
        <v>13</v>
      </c>
      <c r="V14" s="69" t="s">
        <v>12</v>
      </c>
      <c r="W14" s="69" t="s">
        <v>12</v>
      </c>
      <c r="X14" s="69" t="s">
        <v>12</v>
      </c>
      <c r="Y14" s="69" t="s">
        <v>12</v>
      </c>
      <c r="Z14" s="69" t="s">
        <v>12</v>
      </c>
      <c r="AA14" s="69" t="s">
        <v>12</v>
      </c>
      <c r="AB14" s="69" t="s">
        <v>12</v>
      </c>
      <c r="AC14" s="69" t="s">
        <v>12</v>
      </c>
      <c r="AD14" s="69" t="s">
        <v>12</v>
      </c>
      <c r="AE14" s="69" t="s">
        <v>12</v>
      </c>
      <c r="AF14" s="69" t="s">
        <v>12</v>
      </c>
      <c r="AG14" s="69" t="s">
        <v>12</v>
      </c>
      <c r="AH14" s="69" t="s">
        <v>12</v>
      </c>
      <c r="AI14" s="69" t="s">
        <v>12</v>
      </c>
      <c r="AJ14" s="69" t="s">
        <v>12</v>
      </c>
      <c r="AK14" s="69" t="s">
        <v>12</v>
      </c>
      <c r="AL14" s="69" t="s">
        <v>12</v>
      </c>
      <c r="AM14" s="69" t="s">
        <v>12</v>
      </c>
      <c r="AN14" s="69" t="s">
        <v>12</v>
      </c>
      <c r="AO14" s="69" t="s">
        <v>12</v>
      </c>
      <c r="AP14" s="69" t="s">
        <v>12</v>
      </c>
      <c r="AQ14" s="69" t="s">
        <v>12</v>
      </c>
      <c r="AR14" s="69" t="s">
        <v>12</v>
      </c>
      <c r="AS14" s="69" t="s">
        <v>12</v>
      </c>
      <c r="AT14" s="69" t="s">
        <v>14</v>
      </c>
      <c r="AU14" s="69" t="s">
        <v>12</v>
      </c>
      <c r="AV14" s="69" t="s">
        <v>12</v>
      </c>
      <c r="AW14" s="69" t="s">
        <v>16</v>
      </c>
      <c r="AX14" s="69" t="s">
        <v>16</v>
      </c>
      <c r="AY14" s="69" t="s">
        <v>12</v>
      </c>
      <c r="AZ14" s="69" t="s">
        <v>12</v>
      </c>
      <c r="BA14" s="69" t="s">
        <v>12</v>
      </c>
      <c r="BB14" s="69" t="s">
        <v>12</v>
      </c>
      <c r="BC14" s="69" t="s">
        <v>12</v>
      </c>
      <c r="BD14" s="69" t="s">
        <v>12</v>
      </c>
      <c r="BE14" s="69" t="s">
        <v>12</v>
      </c>
      <c r="BF14" s="69" t="s">
        <v>12</v>
      </c>
      <c r="BG14" s="69" t="s">
        <v>12</v>
      </c>
      <c r="BH14" s="69" t="s">
        <v>12</v>
      </c>
    </row>
    <row r="15" spans="1:65" ht="24.75" customHeight="1" x14ac:dyDescent="0.25">
      <c r="A15" s="69" t="s">
        <v>90</v>
      </c>
      <c r="B15" s="69" t="s">
        <v>89</v>
      </c>
      <c r="C15" s="69" t="s">
        <v>15</v>
      </c>
      <c r="D15" s="69" t="s">
        <v>15</v>
      </c>
      <c r="E15" s="69" t="s">
        <v>15</v>
      </c>
      <c r="F15" s="69" t="s">
        <v>13</v>
      </c>
      <c r="G15" s="69" t="s">
        <v>16</v>
      </c>
      <c r="H15" s="69" t="s">
        <v>17</v>
      </c>
      <c r="I15" s="69" t="s">
        <v>16</v>
      </c>
      <c r="J15" s="69" t="s">
        <v>14</v>
      </c>
      <c r="K15" s="69" t="s">
        <v>16</v>
      </c>
      <c r="L15" s="69" t="s">
        <v>16</v>
      </c>
      <c r="M15" s="69" t="s">
        <v>14</v>
      </c>
      <c r="N15" s="69" t="s">
        <v>14</v>
      </c>
      <c r="O15" s="69" t="s">
        <v>17</v>
      </c>
      <c r="P15" s="69" t="s">
        <v>16</v>
      </c>
      <c r="Q15" s="69" t="s">
        <v>18</v>
      </c>
      <c r="R15" s="69" t="s">
        <v>17</v>
      </c>
      <c r="S15" s="69" t="s">
        <v>16</v>
      </c>
      <c r="T15" s="69" t="s">
        <v>19</v>
      </c>
      <c r="U15" s="69" t="s">
        <v>15</v>
      </c>
      <c r="AJ15" s="69" t="s">
        <v>16</v>
      </c>
      <c r="AK15" s="69" t="s">
        <v>14</v>
      </c>
      <c r="AL15" s="69" t="s">
        <v>14</v>
      </c>
      <c r="AM15" s="69" t="s">
        <v>18</v>
      </c>
      <c r="AN15" s="69" t="s">
        <v>14</v>
      </c>
      <c r="AO15" s="69" t="s">
        <v>12</v>
      </c>
      <c r="AP15" s="69" t="s">
        <v>14</v>
      </c>
      <c r="AQ15" s="69" t="s">
        <v>14</v>
      </c>
      <c r="AR15" s="69" t="s">
        <v>14</v>
      </c>
      <c r="AS15" s="69" t="s">
        <v>14</v>
      </c>
      <c r="AT15" s="69" t="s">
        <v>18</v>
      </c>
      <c r="AU15" s="69" t="s">
        <v>16</v>
      </c>
      <c r="AV15" s="69" t="s">
        <v>17</v>
      </c>
      <c r="AW15" s="69" t="s">
        <v>18</v>
      </c>
      <c r="AX15" s="69" t="s">
        <v>18</v>
      </c>
      <c r="AY15" s="69" t="s">
        <v>16</v>
      </c>
      <c r="AZ15" s="69" t="s">
        <v>18</v>
      </c>
      <c r="BA15" s="69" t="s">
        <v>18</v>
      </c>
      <c r="BB15" s="69" t="s">
        <v>14</v>
      </c>
      <c r="BC15" s="69" t="s">
        <v>12</v>
      </c>
      <c r="BD15" s="69" t="s">
        <v>12</v>
      </c>
      <c r="BE15" s="69" t="s">
        <v>14</v>
      </c>
      <c r="BF15" s="69" t="s">
        <v>19</v>
      </c>
      <c r="BG15" s="69" t="s">
        <v>12</v>
      </c>
      <c r="BH15" s="69" t="s">
        <v>12</v>
      </c>
    </row>
    <row r="16" spans="1:65" ht="45.75" customHeight="1" x14ac:dyDescent="0.25">
      <c r="B16"/>
    </row>
    <row r="18" spans="2:2" ht="32.25" customHeight="1" x14ac:dyDescent="0.25">
      <c r="B18" s="70"/>
    </row>
  </sheetData>
  <conditionalFormatting sqref="A2:A15">
    <cfRule type="uniqueValues" dxfId="0" priority="16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47" workbookViewId="0">
      <selection activeCell="A59" sqref="A59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64" t="s">
        <v>91</v>
      </c>
      <c r="B1" s="2" t="s">
        <v>92</v>
      </c>
      <c r="C1" s="3" t="s">
        <v>93</v>
      </c>
      <c r="D1" s="3" t="s">
        <v>94</v>
      </c>
      <c r="E1" s="4" t="s">
        <v>95</v>
      </c>
    </row>
    <row r="2" spans="1:5" x14ac:dyDescent="0.25">
      <c r="A2" s="66" t="s">
        <v>31</v>
      </c>
      <c r="B2" t="s">
        <v>96</v>
      </c>
      <c r="C2" s="1" t="s">
        <v>97</v>
      </c>
      <c r="D2" s="9" t="s">
        <v>98</v>
      </c>
    </row>
    <row r="3" spans="1:5" x14ac:dyDescent="0.25">
      <c r="A3" s="66" t="s">
        <v>32</v>
      </c>
      <c r="B3" t="s">
        <v>96</v>
      </c>
      <c r="C3" s="1" t="s">
        <v>99</v>
      </c>
      <c r="D3" s="9" t="s">
        <v>100</v>
      </c>
    </row>
    <row r="4" spans="1:5" x14ac:dyDescent="0.25">
      <c r="A4" s="66" t="s">
        <v>33</v>
      </c>
      <c r="B4" t="s">
        <v>96</v>
      </c>
      <c r="C4" s="1" t="s">
        <v>101</v>
      </c>
      <c r="D4" s="9" t="s">
        <v>102</v>
      </c>
    </row>
    <row r="5" spans="1:5" x14ac:dyDescent="0.25">
      <c r="A5" s="66" t="s">
        <v>34</v>
      </c>
      <c r="B5" t="s">
        <v>96</v>
      </c>
      <c r="C5" s="1" t="s">
        <v>103</v>
      </c>
      <c r="D5" s="9" t="s">
        <v>104</v>
      </c>
    </row>
    <row r="6" spans="1:5" x14ac:dyDescent="0.25">
      <c r="A6" s="66" t="s">
        <v>105</v>
      </c>
      <c r="B6" t="s">
        <v>106</v>
      </c>
      <c r="C6" s="1" t="s">
        <v>107</v>
      </c>
      <c r="D6" s="9" t="s">
        <v>108</v>
      </c>
    </row>
    <row r="7" spans="1:5" x14ac:dyDescent="0.25">
      <c r="A7" s="66" t="s">
        <v>35</v>
      </c>
      <c r="B7" t="s">
        <v>109</v>
      </c>
      <c r="C7" s="1" t="s">
        <v>110</v>
      </c>
      <c r="D7" s="9" t="s">
        <v>111</v>
      </c>
    </row>
    <row r="8" spans="1:5" x14ac:dyDescent="0.25">
      <c r="A8" s="66" t="s">
        <v>36</v>
      </c>
      <c r="B8" t="s">
        <v>109</v>
      </c>
      <c r="C8" s="1" t="s">
        <v>112</v>
      </c>
      <c r="D8" s="9" t="s">
        <v>113</v>
      </c>
    </row>
    <row r="9" spans="1:5" x14ac:dyDescent="0.25">
      <c r="A9" s="66" t="s">
        <v>37</v>
      </c>
      <c r="B9" t="s">
        <v>109</v>
      </c>
      <c r="C9" s="1" t="s">
        <v>114</v>
      </c>
      <c r="D9" s="9" t="s">
        <v>115</v>
      </c>
    </row>
    <row r="10" spans="1:5" x14ac:dyDescent="0.25">
      <c r="A10" s="66" t="s">
        <v>38</v>
      </c>
      <c r="B10" t="s">
        <v>109</v>
      </c>
      <c r="C10" s="1" t="s">
        <v>116</v>
      </c>
      <c r="D10" s="9" t="s">
        <v>117</v>
      </c>
    </row>
    <row r="11" spans="1:5" x14ac:dyDescent="0.25">
      <c r="A11" s="66" t="s">
        <v>39</v>
      </c>
      <c r="B11" t="s">
        <v>109</v>
      </c>
      <c r="C11" s="1" t="s">
        <v>118</v>
      </c>
      <c r="D11" s="9" t="s">
        <v>119</v>
      </c>
    </row>
    <row r="12" spans="1:5" x14ac:dyDescent="0.25">
      <c r="A12" s="66" t="s">
        <v>40</v>
      </c>
      <c r="B12" t="s">
        <v>109</v>
      </c>
      <c r="C12" s="1" t="s">
        <v>120</v>
      </c>
      <c r="D12" s="9" t="s">
        <v>121</v>
      </c>
    </row>
    <row r="13" spans="1:5" x14ac:dyDescent="0.25">
      <c r="A13" s="66" t="s">
        <v>41</v>
      </c>
      <c r="B13" t="s">
        <v>109</v>
      </c>
      <c r="C13" s="1" t="s">
        <v>122</v>
      </c>
      <c r="D13" s="9" t="s">
        <v>123</v>
      </c>
    </row>
    <row r="14" spans="1:5" x14ac:dyDescent="0.25">
      <c r="A14" s="66" t="s">
        <v>42</v>
      </c>
      <c r="B14" t="s">
        <v>109</v>
      </c>
      <c r="C14" s="1" t="s">
        <v>124</v>
      </c>
      <c r="D14" s="9" t="s">
        <v>125</v>
      </c>
    </row>
    <row r="15" spans="1:5" x14ac:dyDescent="0.25">
      <c r="A15" s="66" t="s">
        <v>43</v>
      </c>
      <c r="B15" t="s">
        <v>109</v>
      </c>
      <c r="C15" s="1" t="s">
        <v>126</v>
      </c>
      <c r="D15" s="9" t="s">
        <v>127</v>
      </c>
    </row>
    <row r="16" spans="1:5" x14ac:dyDescent="0.25">
      <c r="A16" s="66" t="s">
        <v>44</v>
      </c>
      <c r="B16" t="s">
        <v>109</v>
      </c>
      <c r="C16" s="1" t="s">
        <v>128</v>
      </c>
      <c r="D16" s="9" t="s">
        <v>129</v>
      </c>
    </row>
    <row r="17" spans="1:4" x14ac:dyDescent="0.25">
      <c r="A17" s="66" t="s">
        <v>45</v>
      </c>
      <c r="B17" t="s">
        <v>109</v>
      </c>
      <c r="C17" s="1" t="s">
        <v>130</v>
      </c>
      <c r="D17" s="9" t="s">
        <v>131</v>
      </c>
    </row>
    <row r="18" spans="1:4" x14ac:dyDescent="0.25">
      <c r="A18" s="66" t="s">
        <v>46</v>
      </c>
      <c r="B18" t="s">
        <v>109</v>
      </c>
      <c r="C18" s="1" t="s">
        <v>132</v>
      </c>
      <c r="D18" s="9" t="s">
        <v>133</v>
      </c>
    </row>
    <row r="19" spans="1:4" x14ac:dyDescent="0.25">
      <c r="A19" s="66" t="s">
        <v>47</v>
      </c>
      <c r="B19" t="s">
        <v>109</v>
      </c>
      <c r="C19" s="1" t="s">
        <v>134</v>
      </c>
      <c r="D19" s="9" t="s">
        <v>135</v>
      </c>
    </row>
    <row r="20" spans="1:4" x14ac:dyDescent="0.25">
      <c r="A20" s="66" t="s">
        <v>48</v>
      </c>
      <c r="B20" t="s">
        <v>109</v>
      </c>
      <c r="C20" s="1" t="s">
        <v>136</v>
      </c>
      <c r="D20" s="9" t="s">
        <v>137</v>
      </c>
    </row>
    <row r="21" spans="1:4" x14ac:dyDescent="0.25">
      <c r="A21" s="66" t="s">
        <v>49</v>
      </c>
      <c r="B21" t="s">
        <v>96</v>
      </c>
      <c r="C21" s="1" t="s">
        <v>138</v>
      </c>
      <c r="D21" s="9" t="s">
        <v>139</v>
      </c>
    </row>
    <row r="22" spans="1:4" x14ac:dyDescent="0.25">
      <c r="A22" s="66" t="s">
        <v>50</v>
      </c>
      <c r="B22" t="s">
        <v>109</v>
      </c>
      <c r="C22" s="1" t="s">
        <v>140</v>
      </c>
      <c r="D22" s="9" t="s">
        <v>141</v>
      </c>
    </row>
    <row r="23" spans="1:4" x14ac:dyDescent="0.25">
      <c r="A23" s="66" t="s">
        <v>51</v>
      </c>
      <c r="B23" t="s">
        <v>109</v>
      </c>
      <c r="C23" s="1" t="s">
        <v>142</v>
      </c>
      <c r="D23" s="9" t="s">
        <v>143</v>
      </c>
    </row>
    <row r="24" spans="1:4" x14ac:dyDescent="0.25">
      <c r="A24" s="66" t="s">
        <v>52</v>
      </c>
      <c r="B24" t="s">
        <v>109</v>
      </c>
      <c r="C24" s="1" t="s">
        <v>144</v>
      </c>
      <c r="D24" s="9" t="s">
        <v>145</v>
      </c>
    </row>
    <row r="25" spans="1:4" x14ac:dyDescent="0.25">
      <c r="A25" s="66" t="s">
        <v>53</v>
      </c>
      <c r="B25" t="s">
        <v>109</v>
      </c>
      <c r="C25" s="1" t="s">
        <v>146</v>
      </c>
      <c r="D25" s="9" t="s">
        <v>147</v>
      </c>
    </row>
    <row r="26" spans="1:4" x14ac:dyDescent="0.25">
      <c r="A26" s="66" t="s">
        <v>54</v>
      </c>
      <c r="B26" t="s">
        <v>109</v>
      </c>
      <c r="C26" s="1" t="s">
        <v>148</v>
      </c>
      <c r="D26" s="9" t="s">
        <v>149</v>
      </c>
    </row>
    <row r="27" spans="1:4" x14ac:dyDescent="0.25">
      <c r="A27" s="66" t="s">
        <v>55</v>
      </c>
      <c r="B27" t="s">
        <v>109</v>
      </c>
      <c r="C27" s="1" t="s">
        <v>150</v>
      </c>
      <c r="D27" s="9" t="s">
        <v>151</v>
      </c>
    </row>
    <row r="28" spans="1:4" x14ac:dyDescent="0.25">
      <c r="A28" s="66" t="s">
        <v>56</v>
      </c>
      <c r="B28" t="s">
        <v>109</v>
      </c>
      <c r="C28" s="1" t="s">
        <v>152</v>
      </c>
      <c r="D28" s="9" t="s">
        <v>153</v>
      </c>
    </row>
    <row r="29" spans="1:4" x14ac:dyDescent="0.25">
      <c r="A29" s="66" t="s">
        <v>57</v>
      </c>
      <c r="B29" t="s">
        <v>109</v>
      </c>
      <c r="C29" s="1" t="s">
        <v>154</v>
      </c>
      <c r="D29" s="9" t="s">
        <v>155</v>
      </c>
    </row>
    <row r="30" spans="1:4" x14ac:dyDescent="0.25">
      <c r="A30" s="66" t="s">
        <v>58</v>
      </c>
      <c r="B30" t="s">
        <v>109</v>
      </c>
      <c r="C30" s="1" t="s">
        <v>156</v>
      </c>
      <c r="D30" s="9" t="s">
        <v>157</v>
      </c>
    </row>
    <row r="31" spans="1:4" x14ac:dyDescent="0.25">
      <c r="A31" s="66" t="s">
        <v>59</v>
      </c>
      <c r="B31" t="s">
        <v>109</v>
      </c>
      <c r="C31" s="1" t="s">
        <v>158</v>
      </c>
      <c r="D31" s="9" t="s">
        <v>159</v>
      </c>
    </row>
    <row r="32" spans="1:4" x14ac:dyDescent="0.25">
      <c r="A32" s="66" t="s">
        <v>60</v>
      </c>
      <c r="B32" t="s">
        <v>109</v>
      </c>
      <c r="C32" s="1" t="s">
        <v>160</v>
      </c>
      <c r="D32" s="9" t="s">
        <v>161</v>
      </c>
    </row>
    <row r="33" spans="1:4" x14ac:dyDescent="0.25">
      <c r="A33" s="66" t="s">
        <v>61</v>
      </c>
      <c r="B33" t="s">
        <v>109</v>
      </c>
      <c r="C33" s="1" t="s">
        <v>162</v>
      </c>
      <c r="D33" s="9" t="s">
        <v>163</v>
      </c>
    </row>
    <row r="34" spans="1:4" x14ac:dyDescent="0.25">
      <c r="A34" s="66" t="s">
        <v>62</v>
      </c>
      <c r="B34" t="s">
        <v>109</v>
      </c>
      <c r="C34" s="1" t="s">
        <v>164</v>
      </c>
      <c r="D34" s="9" t="s">
        <v>165</v>
      </c>
    </row>
    <row r="35" spans="1:4" x14ac:dyDescent="0.25">
      <c r="A35" s="66" t="s">
        <v>63</v>
      </c>
      <c r="B35" t="s">
        <v>109</v>
      </c>
      <c r="C35" s="1" t="s">
        <v>166</v>
      </c>
      <c r="D35" s="9" t="s">
        <v>167</v>
      </c>
    </row>
    <row r="36" spans="1:4" x14ac:dyDescent="0.25">
      <c r="A36" s="66" t="s">
        <v>64</v>
      </c>
      <c r="B36" t="s">
        <v>109</v>
      </c>
      <c r="C36" s="1" t="s">
        <v>168</v>
      </c>
      <c r="D36" s="9" t="s">
        <v>169</v>
      </c>
    </row>
    <row r="37" spans="1:4" x14ac:dyDescent="0.25">
      <c r="A37" s="66" t="s">
        <v>65</v>
      </c>
      <c r="B37" t="s">
        <v>109</v>
      </c>
      <c r="C37" s="1" t="s">
        <v>170</v>
      </c>
      <c r="D37" s="9" t="s">
        <v>171</v>
      </c>
    </row>
    <row r="38" spans="1:4" x14ac:dyDescent="0.25">
      <c r="A38" s="66" t="s">
        <v>66</v>
      </c>
      <c r="B38" t="s">
        <v>109</v>
      </c>
      <c r="C38" s="1" t="s">
        <v>172</v>
      </c>
      <c r="D38" s="9" t="s">
        <v>173</v>
      </c>
    </row>
    <row r="39" spans="1:4" x14ac:dyDescent="0.25">
      <c r="A39" s="66" t="s">
        <v>67</v>
      </c>
      <c r="B39" t="s">
        <v>109</v>
      </c>
      <c r="C39" s="1" t="s">
        <v>174</v>
      </c>
      <c r="D39" s="9" t="s">
        <v>175</v>
      </c>
    </row>
    <row r="40" spans="1:4" x14ac:dyDescent="0.25">
      <c r="A40" s="66" t="s">
        <v>68</v>
      </c>
      <c r="B40" t="s">
        <v>109</v>
      </c>
      <c r="C40" s="1" t="s">
        <v>176</v>
      </c>
      <c r="D40" s="9" t="s">
        <v>177</v>
      </c>
    </row>
    <row r="41" spans="1:4" x14ac:dyDescent="0.25">
      <c r="A41" s="66" t="s">
        <v>69</v>
      </c>
      <c r="B41" t="s">
        <v>109</v>
      </c>
      <c r="C41" s="1" t="s">
        <v>178</v>
      </c>
      <c r="D41" s="9" t="s">
        <v>179</v>
      </c>
    </row>
    <row r="42" spans="1:4" x14ac:dyDescent="0.25">
      <c r="A42" s="66" t="s">
        <v>70</v>
      </c>
      <c r="B42" t="s">
        <v>109</v>
      </c>
      <c r="C42" s="1" t="s">
        <v>180</v>
      </c>
      <c r="D42" s="9" t="s">
        <v>181</v>
      </c>
    </row>
    <row r="43" spans="1:4" x14ac:dyDescent="0.25">
      <c r="A43" s="66" t="s">
        <v>71</v>
      </c>
      <c r="B43" t="s">
        <v>109</v>
      </c>
      <c r="C43" s="1" t="s">
        <v>182</v>
      </c>
      <c r="D43" s="9" t="s">
        <v>183</v>
      </c>
    </row>
    <row r="44" spans="1:4" x14ac:dyDescent="0.25">
      <c r="A44" s="66" t="s">
        <v>72</v>
      </c>
      <c r="B44" t="s">
        <v>109</v>
      </c>
      <c r="C44" s="1" t="s">
        <v>184</v>
      </c>
      <c r="D44" s="9" t="s">
        <v>185</v>
      </c>
    </row>
    <row r="45" spans="1:4" x14ac:dyDescent="0.25">
      <c r="A45" s="66" t="s">
        <v>73</v>
      </c>
      <c r="B45" t="s">
        <v>109</v>
      </c>
      <c r="C45" s="1" t="s">
        <v>186</v>
      </c>
      <c r="D45" s="9" t="s">
        <v>187</v>
      </c>
    </row>
    <row r="46" spans="1:4" x14ac:dyDescent="0.25">
      <c r="A46" s="66" t="s">
        <v>74</v>
      </c>
      <c r="B46" t="s">
        <v>109</v>
      </c>
      <c r="C46" s="1" t="s">
        <v>188</v>
      </c>
      <c r="D46" s="9" t="s">
        <v>189</v>
      </c>
    </row>
    <row r="47" spans="1:4" x14ac:dyDescent="0.25">
      <c r="A47" s="66" t="s">
        <v>75</v>
      </c>
      <c r="B47" t="s">
        <v>109</v>
      </c>
      <c r="C47" s="1" t="s">
        <v>190</v>
      </c>
      <c r="D47" s="9" t="s">
        <v>191</v>
      </c>
    </row>
    <row r="48" spans="1:4" x14ac:dyDescent="0.25">
      <c r="A48" s="66" t="s">
        <v>76</v>
      </c>
      <c r="B48" t="s">
        <v>109</v>
      </c>
      <c r="C48" s="1" t="s">
        <v>192</v>
      </c>
      <c r="D48" s="9" t="s">
        <v>193</v>
      </c>
    </row>
    <row r="49" spans="1:4" x14ac:dyDescent="0.25">
      <c r="A49" s="66" t="s">
        <v>77</v>
      </c>
      <c r="B49" t="s">
        <v>109</v>
      </c>
      <c r="C49" s="1" t="s">
        <v>194</v>
      </c>
      <c r="D49" s="9" t="s">
        <v>195</v>
      </c>
    </row>
    <row r="50" spans="1:4" x14ac:dyDescent="0.25">
      <c r="A50" s="66" t="s">
        <v>78</v>
      </c>
      <c r="B50" t="s">
        <v>109</v>
      </c>
      <c r="C50" s="1" t="s">
        <v>196</v>
      </c>
      <c r="D50" s="9" t="s">
        <v>197</v>
      </c>
    </row>
    <row r="51" spans="1:4" x14ac:dyDescent="0.25">
      <c r="A51" s="66" t="s">
        <v>79</v>
      </c>
      <c r="B51" t="s">
        <v>109</v>
      </c>
      <c r="C51" s="1" t="s">
        <v>198</v>
      </c>
      <c r="D51" s="9" t="s">
        <v>199</v>
      </c>
    </row>
    <row r="52" spans="1:4" x14ac:dyDescent="0.25">
      <c r="A52" s="66" t="s">
        <v>80</v>
      </c>
      <c r="B52" t="s">
        <v>109</v>
      </c>
      <c r="C52" s="1" t="s">
        <v>200</v>
      </c>
      <c r="D52" s="9" t="s">
        <v>201</v>
      </c>
    </row>
    <row r="53" spans="1:4" x14ac:dyDescent="0.25">
      <c r="A53" s="66" t="s">
        <v>81</v>
      </c>
      <c r="B53" t="s">
        <v>109</v>
      </c>
      <c r="C53" s="1" t="s">
        <v>202</v>
      </c>
      <c r="D53" s="9" t="s">
        <v>203</v>
      </c>
    </row>
    <row r="54" spans="1:4" x14ac:dyDescent="0.25">
      <c r="A54" s="66" t="s">
        <v>204</v>
      </c>
      <c r="B54" t="s">
        <v>106</v>
      </c>
      <c r="C54" s="1" t="s">
        <v>205</v>
      </c>
      <c r="D54" s="9" t="s">
        <v>108</v>
      </c>
    </row>
    <row r="55" spans="1:4" x14ac:dyDescent="0.25">
      <c r="A55" s="66" t="s">
        <v>82</v>
      </c>
      <c r="B55" t="s">
        <v>206</v>
      </c>
      <c r="C55" s="1" t="s">
        <v>207</v>
      </c>
      <c r="D55" s="9" t="s">
        <v>208</v>
      </c>
    </row>
    <row r="56" spans="1:4" x14ac:dyDescent="0.25">
      <c r="A56" s="66" t="s">
        <v>83</v>
      </c>
      <c r="B56" t="s">
        <v>206</v>
      </c>
      <c r="C56" s="1" t="s">
        <v>209</v>
      </c>
      <c r="D56" s="9" t="s">
        <v>210</v>
      </c>
    </row>
    <row r="57" spans="1:4" x14ac:dyDescent="0.25">
      <c r="A57" s="66" t="s">
        <v>84</v>
      </c>
      <c r="B57" t="s">
        <v>206</v>
      </c>
      <c r="C57" s="1" t="s">
        <v>211</v>
      </c>
      <c r="D57" s="9" t="s">
        <v>212</v>
      </c>
    </row>
    <row r="58" spans="1:4" x14ac:dyDescent="0.25">
      <c r="A58" s="66" t="s">
        <v>85</v>
      </c>
      <c r="B58" t="s">
        <v>206</v>
      </c>
      <c r="C58" s="1" t="s">
        <v>213</v>
      </c>
      <c r="D58" s="9" t="s">
        <v>214</v>
      </c>
    </row>
    <row r="59" spans="1:4" x14ac:dyDescent="0.25">
      <c r="A59" s="66" t="s">
        <v>86</v>
      </c>
      <c r="B59" t="s">
        <v>206</v>
      </c>
      <c r="C59" s="1" t="s">
        <v>215</v>
      </c>
      <c r="D59" s="9" t="s">
        <v>216</v>
      </c>
    </row>
    <row r="60" spans="1:4" x14ac:dyDescent="0.25">
      <c r="A60" s="65" t="s">
        <v>87</v>
      </c>
      <c r="B60" t="s">
        <v>206</v>
      </c>
      <c r="C60" s="1" t="s">
        <v>217</v>
      </c>
      <c r="D60" s="9" t="s">
        <v>218</v>
      </c>
    </row>
    <row r="61" spans="1:4" x14ac:dyDescent="0.25">
      <c r="A61" s="66" t="s">
        <v>88</v>
      </c>
      <c r="B61" t="s">
        <v>206</v>
      </c>
      <c r="C61" s="1" t="s">
        <v>219</v>
      </c>
      <c r="D61" s="9" t="s">
        <v>220</v>
      </c>
    </row>
    <row r="62" spans="1:4" x14ac:dyDescent="0.25">
      <c r="A62" s="66" t="s">
        <v>221</v>
      </c>
      <c r="B62" t="s">
        <v>106</v>
      </c>
      <c r="C62" s="1" t="s">
        <v>222</v>
      </c>
      <c r="D62" s="9" t="s">
        <v>108</v>
      </c>
    </row>
  </sheetData>
  <phoneticPr fontId="23" type="noConversion"/>
  <pageMargins left="0.7" right="0.7" top="0.75" bottom="0.75" header="0.3" footer="0.3"/>
  <ignoredErrors>
    <ignoredError sqref="A61:A62 A59" numberStoredAsText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5" customWidth="1"/>
    <col min="2" max="2" width="16.5703125" style="5" customWidth="1"/>
    <col min="3" max="3" width="12.140625" style="5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1</v>
      </c>
    </row>
    <row r="2" spans="1:5" x14ac:dyDescent="0.25">
      <c r="A2" s="6" t="str">
        <f>TEXT(A1,"00")</f>
        <v>01</v>
      </c>
      <c r="B2" s="6" t="str">
        <f>VLOOKUP(A$2, Pós[], 3, FALSE)</f>
        <v>Quanto a sua formação anterior: [Mestrado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1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COUNTIF(Resp[01],B6)</f>
        <v>2</v>
      </c>
      <c r="D6" s="10">
        <f>ROUND($C6/C$8*100,2)</f>
        <v>14.29</v>
      </c>
      <c r="E6" s="16">
        <f>ROUND($C6/SUM($C$6:$C$7)*100,3)</f>
        <v>14.286</v>
      </c>
    </row>
    <row r="7" spans="1:5" x14ac:dyDescent="0.25">
      <c r="B7" s="5" t="s">
        <v>15</v>
      </c>
      <c r="C7" s="6">
        <f>COUNTIF(Resp[01],B7)</f>
        <v>12</v>
      </c>
      <c r="D7" s="10">
        <f>ROUND($C7/C$8*100,2)</f>
        <v>85.71</v>
      </c>
      <c r="E7" s="16">
        <f>ROUND($C7/SUM($C$6:$C$7)*100,3)</f>
        <v>85.713999999999999</v>
      </c>
    </row>
    <row r="8" spans="1:5" x14ac:dyDescent="0.25">
      <c r="B8" s="13" t="s">
        <v>228</v>
      </c>
      <c r="C8" s="13">
        <f>SUM(C6:C7)</f>
        <v>14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2</v>
      </c>
    </row>
    <row r="2" spans="1:5" x14ac:dyDescent="0.25">
      <c r="A2" s="6" t="str">
        <f>TEXT(A1,"00")</f>
        <v>02</v>
      </c>
      <c r="B2" s="6" t="str">
        <f>VLOOKUP(A$2, Pós[], 3, FALSE)</f>
        <v>Quanto a sua formação anterior: [Graduação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2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COUNTIF(Resp[02],B6)</f>
        <v>7</v>
      </c>
      <c r="D6" s="5">
        <f>ROUND($C6/C$8*100,2)</f>
        <v>50</v>
      </c>
      <c r="E6" s="16">
        <f>ROUND($C6/SUM($C$6:$C$7)*100,3)</f>
        <v>50</v>
      </c>
    </row>
    <row r="7" spans="1:5" x14ac:dyDescent="0.25">
      <c r="B7" s="5" t="s">
        <v>15</v>
      </c>
      <c r="C7" s="6">
        <f>COUNTIF(Resp[02],B7)</f>
        <v>7</v>
      </c>
      <c r="D7" s="5">
        <f>ROUND($C7/C$8*100,2)</f>
        <v>50</v>
      </c>
      <c r="E7" s="16">
        <f>ROUND($C7/SUM($C$6:$C$7)*100,3)</f>
        <v>50</v>
      </c>
    </row>
    <row r="8" spans="1:5" x14ac:dyDescent="0.25">
      <c r="B8" s="13" t="s">
        <v>228</v>
      </c>
      <c r="C8" s="13">
        <f>SUM(C6:C7)</f>
        <v>14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3</v>
      </c>
    </row>
    <row r="2" spans="1:5" x14ac:dyDescent="0.25">
      <c r="A2" s="6" t="str">
        <f>TEXT(A1,"00")</f>
        <v>03</v>
      </c>
      <c r="B2" s="6" t="str">
        <f>VLOOKUP(A$2, Pós[], 3, FALSE)</f>
        <v>Quanto a sua formação anterior: [Curso Técnico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3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COUNTIF(Resp[03],B6)</f>
        <v>0</v>
      </c>
      <c r="D6" s="5">
        <f>ROUND($C6/C$8*100,2)</f>
        <v>0</v>
      </c>
      <c r="E6" s="16">
        <f>ROUND($C6/SUM($C$6:$C$7)*100,3)</f>
        <v>0</v>
      </c>
    </row>
    <row r="7" spans="1:5" x14ac:dyDescent="0.25">
      <c r="B7" s="5" t="s">
        <v>15</v>
      </c>
      <c r="C7" s="6">
        <f>COUNTIF(Resp[03],B7)</f>
        <v>14</v>
      </c>
      <c r="D7" s="5">
        <f>ROUND($C7/C$8*100,2)</f>
        <v>100</v>
      </c>
      <c r="E7" s="16">
        <f>ROUND($C7/SUM($C$6:$C$7)*100,3)</f>
        <v>100</v>
      </c>
    </row>
    <row r="8" spans="1:5" x14ac:dyDescent="0.25">
      <c r="B8" s="13" t="s">
        <v>228</v>
      </c>
      <c r="C8" s="13">
        <f>SUM(C6:C7)</f>
        <v>14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5" customWidth="1"/>
    <col min="2" max="2" width="16.5703125" style="5" customWidth="1"/>
    <col min="3" max="3" width="10.42578125" style="5" bestFit="1" customWidth="1"/>
    <col min="4" max="14" width="8.5703125" style="5" customWidth="1"/>
    <col min="15" max="15" width="31.28515625" style="5" bestFit="1" customWidth="1"/>
    <col min="16" max="17" width="8.5703125" style="5" customWidth="1"/>
    <col min="18" max="16384" width="9.140625" style="5"/>
  </cols>
  <sheetData>
    <row r="1" spans="1:5" x14ac:dyDescent="0.25">
      <c r="A1" s="5">
        <v>4</v>
      </c>
    </row>
    <row r="2" spans="1:5" x14ac:dyDescent="0.25">
      <c r="A2" s="6" t="str">
        <f>TEXT(A1,"00")</f>
        <v>04</v>
      </c>
      <c r="B2" s="6" t="str">
        <f>VLOOKUP(A$2, Pós[], 3, FALSE)</f>
        <v>Quanto a sua formação anterior: [Não tenho formação na UFPR]</v>
      </c>
    </row>
    <row r="3" spans="1:5" x14ac:dyDescent="0.25">
      <c r="A3" s="5" t="s">
        <v>223</v>
      </c>
      <c r="B3" s="6" t="str">
        <f>VLOOKUP(A$2, Pós[], 4, FALSE)</f>
        <v>Alunos Pós-Graduação Stricto Sensu: Questão 4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COUNTIF(Resp[04],B6)</f>
        <v>5</v>
      </c>
      <c r="D6" s="5">
        <f>ROUND($C6/C$8*100,2)</f>
        <v>35.71</v>
      </c>
      <c r="E6" s="16">
        <f>ROUND($C6/SUM($C$6:$C$7)*100,3)</f>
        <v>35.713999999999999</v>
      </c>
    </row>
    <row r="7" spans="1:5" x14ac:dyDescent="0.25">
      <c r="B7" s="5" t="s">
        <v>15</v>
      </c>
      <c r="C7" s="6">
        <f>COUNTIF(Resp[04],B7)</f>
        <v>9</v>
      </c>
      <c r="D7" s="5">
        <f>ROUND($C7/C$8*100,2)</f>
        <v>64.290000000000006</v>
      </c>
      <c r="E7" s="16">
        <f>ROUND($C7/SUM($C$6:$C$7)*100,3)</f>
        <v>64.286000000000001</v>
      </c>
    </row>
    <row r="8" spans="1:5" x14ac:dyDescent="0.25">
      <c r="B8" s="13" t="s">
        <v>228</v>
      </c>
      <c r="C8" s="13">
        <f>SUM(C6:C7)</f>
        <v>14</v>
      </c>
      <c r="D8" s="13">
        <f>SUM(D6:D7)</f>
        <v>100</v>
      </c>
      <c r="E8" s="17">
        <f>INT(SUM(E6:E7))</f>
        <v>100</v>
      </c>
    </row>
    <row r="12" spans="1:5" x14ac:dyDescent="0.25">
      <c r="B12" s="22"/>
      <c r="C12" s="22"/>
      <c r="D12" s="24"/>
      <c r="E12" s="36"/>
    </row>
    <row r="15" spans="1:5" x14ac:dyDescent="0.25">
      <c r="B15" s="6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5" customWidth="1"/>
    <col min="2" max="2" width="21.28515625" style="5" customWidth="1"/>
    <col min="3" max="3" width="30.85546875" style="5" customWidth="1"/>
    <col min="4" max="5" width="8.5703125" style="5" customWidth="1"/>
    <col min="6" max="6" width="3.4257812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42578125" style="5" customWidth="1"/>
    <col min="17" max="17" width="31.42578125" style="5" bestFit="1" customWidth="1"/>
    <col min="18" max="18" width="7.140625" style="5" bestFit="1" customWidth="1"/>
    <col min="19" max="19" width="29.140625" style="5" customWidth="1"/>
    <col min="20" max="21" width="9.140625" style="5"/>
    <col min="22" max="22" width="11.42578125" style="5" customWidth="1"/>
    <col min="23" max="16384" width="9.140625" style="5"/>
  </cols>
  <sheetData>
    <row r="1" spans="1:12" x14ac:dyDescent="0.25">
      <c r="A1" s="5">
        <v>6</v>
      </c>
    </row>
    <row r="2" spans="1:12" x14ac:dyDescent="0.25">
      <c r="A2" s="6" t="str">
        <f>TEXT(A1,"00")</f>
        <v>06</v>
      </c>
      <c r="B2" s="6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5" t="s">
        <v>223</v>
      </c>
      <c r="B3" s="6" t="str">
        <f>VLOOKUP(A$2, Pós[], 4, FALSE)</f>
        <v>Alunos Pós-Graduação Stricto Sensu: Questão 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COUNTIF(Resp[06],B6)</f>
        <v>7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COUNTIF(Resp[06],B7)</f>
        <v>5</v>
      </c>
      <c r="D7" s="6">
        <f t="shared" ref="D7:D12" si="1">ROUND($C7/C$13*100,2)</f>
        <v>35.71</v>
      </c>
      <c r="E7" s="16">
        <f t="shared" si="0"/>
        <v>35.713999999999999</v>
      </c>
      <c r="G7" s="6"/>
      <c r="H7" s="6"/>
    </row>
    <row r="8" spans="1:12" x14ac:dyDescent="0.25">
      <c r="B8" s="5" t="s">
        <v>16</v>
      </c>
      <c r="C8" s="6">
        <f>COUNTIF(Resp[06],B8)</f>
        <v>1</v>
      </c>
      <c r="D8" s="6">
        <f t="shared" si="1"/>
        <v>7.14</v>
      </c>
      <c r="E8" s="16">
        <f t="shared" si="0"/>
        <v>7.1429999999999998</v>
      </c>
      <c r="G8" s="6"/>
      <c r="H8" s="6"/>
    </row>
    <row r="9" spans="1:12" x14ac:dyDescent="0.25">
      <c r="B9" s="5" t="s">
        <v>17</v>
      </c>
      <c r="C9" s="6">
        <f>COUNTIF(Resp[06],B9)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COUNTIF(Resp[06],B10)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COUNTIF(Resp[06],B11)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COUNTIF(Resp[06],B12)</f>
        <v>1</v>
      </c>
      <c r="D12" s="12">
        <f t="shared" si="1"/>
        <v>7.14</v>
      </c>
      <c r="E12" s="23">
        <f t="shared" si="0"/>
        <v>7.1429999999999998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99.990000000000009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85.713999999999999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7.1429999999999998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7.1429999999999998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5" customWidth="1"/>
    <col min="2" max="2" width="25.7109375" style="5" customWidth="1"/>
    <col min="3" max="3" width="37" style="5" customWidth="1"/>
    <col min="4" max="4" width="8.5703125" style="5" customWidth="1"/>
    <col min="5" max="5" width="10.42578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18" width="6.42578125" style="5" customWidth="1"/>
    <col min="19" max="19" width="9.140625" style="5"/>
    <col min="20" max="20" width="11.42578125" style="5" customWidth="1"/>
    <col min="21" max="16384" width="9.140625" style="5"/>
  </cols>
  <sheetData>
    <row r="1" spans="1:12" x14ac:dyDescent="0.25">
      <c r="A1" s="5">
        <v>7</v>
      </c>
    </row>
    <row r="2" spans="1:12" x14ac:dyDescent="0.25">
      <c r="A2" s="6" t="str">
        <f>TEXT(A1,"00")</f>
        <v>07</v>
      </c>
      <c r="B2" s="6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5" t="s">
        <v>223</v>
      </c>
      <c r="B3" s="6" t="str">
        <f>VLOOKUP(A$2, Pós[], 4, FALSE)</f>
        <v>Alunos Pós-Graduação Stricto Sensu: Questão 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COUNTIF(Resp[07],B6)</f>
        <v>7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COUNTIF(Resp[07],B7)</f>
        <v>5</v>
      </c>
      <c r="D7" s="6">
        <f t="shared" ref="D7:D12" si="1">ROUND($C7/C$13*100,2)</f>
        <v>35.71</v>
      </c>
      <c r="E7" s="16">
        <f t="shared" si="0"/>
        <v>35.713999999999999</v>
      </c>
      <c r="G7" s="6"/>
      <c r="H7" s="6"/>
    </row>
    <row r="8" spans="1:12" x14ac:dyDescent="0.25">
      <c r="B8" s="5" t="s">
        <v>16</v>
      </c>
      <c r="C8" s="6">
        <f>COUNTIF(Resp[07],B8)</f>
        <v>1</v>
      </c>
      <c r="D8" s="6">
        <f t="shared" si="1"/>
        <v>7.14</v>
      </c>
      <c r="E8" s="16">
        <f t="shared" si="0"/>
        <v>7.1429999999999998</v>
      </c>
      <c r="G8" s="6"/>
      <c r="H8" s="6"/>
    </row>
    <row r="9" spans="1:12" x14ac:dyDescent="0.25">
      <c r="B9" s="5" t="s">
        <v>17</v>
      </c>
      <c r="C9" s="6">
        <f>COUNTIF(Resp[07],B9)</f>
        <v>1</v>
      </c>
      <c r="D9" s="6">
        <f t="shared" si="1"/>
        <v>7.14</v>
      </c>
      <c r="E9" s="16">
        <f t="shared" si="0"/>
        <v>7.1429999999999998</v>
      </c>
      <c r="G9" s="6"/>
      <c r="H9" s="6"/>
    </row>
    <row r="10" spans="1:12" x14ac:dyDescent="0.25">
      <c r="B10" s="5" t="s">
        <v>18</v>
      </c>
      <c r="C10" s="6">
        <f>COUNTIF(Resp[07],B10)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COUNTIF(Resp[07],B11)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COUNTIF(Resp[07],B12)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99.990000000000009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85.713999999999999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7.1429999999999998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7.1429999999999998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5" customWidth="1"/>
    <col min="2" max="2" width="27.42578125" style="5" customWidth="1"/>
    <col min="3" max="3" width="32.28515625" style="5" customWidth="1"/>
    <col min="4" max="4" width="8.5703125" style="5" customWidth="1"/>
    <col min="5" max="5" width="11.285156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18" width="6.5703125" style="5" customWidth="1"/>
    <col min="19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8</v>
      </c>
    </row>
    <row r="2" spans="1:12" x14ac:dyDescent="0.25">
      <c r="A2" s="6" t="str">
        <f>TEXT(A1,"00")</f>
        <v>08</v>
      </c>
      <c r="B2" s="6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6" t="s">
        <v>12</v>
      </c>
      <c r="C6" s="6">
        <f>COUNTIF(Resp[08],B6)</f>
        <v>7</v>
      </c>
      <c r="D6" s="6">
        <f>ROUND($C6/C$13*100,2)</f>
        <v>50</v>
      </c>
      <c r="E6" s="16">
        <f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COUNTIF(Resp[08],B7)</f>
        <v>5</v>
      </c>
      <c r="D7" s="6">
        <f t="shared" ref="D7:D12" si="0">ROUND($C7/C$13*100,2)</f>
        <v>35.71</v>
      </c>
      <c r="E7" s="16">
        <f t="shared" ref="E7:E12" si="1">ROUND($C7/SUM($C$6:$C$12)*100,3)</f>
        <v>35.713999999999999</v>
      </c>
      <c r="G7" s="6"/>
      <c r="H7" s="6"/>
    </row>
    <row r="8" spans="1:12" x14ac:dyDescent="0.25">
      <c r="B8" s="5" t="s">
        <v>16</v>
      </c>
      <c r="C8" s="6">
        <f>COUNTIF(Resp[08],B8)</f>
        <v>1</v>
      </c>
      <c r="D8" s="6">
        <f t="shared" si="0"/>
        <v>7.14</v>
      </c>
      <c r="E8" s="16">
        <f t="shared" si="1"/>
        <v>7.1429999999999998</v>
      </c>
      <c r="G8" s="6"/>
      <c r="H8" s="6"/>
    </row>
    <row r="9" spans="1:12" x14ac:dyDescent="0.25">
      <c r="B9" s="5" t="s">
        <v>17</v>
      </c>
      <c r="C9" s="6">
        <f>COUNTIF(Resp[08],B9)</f>
        <v>0</v>
      </c>
      <c r="D9" s="6">
        <f t="shared" si="0"/>
        <v>0</v>
      </c>
      <c r="E9" s="16">
        <f t="shared" si="1"/>
        <v>0</v>
      </c>
      <c r="G9" s="6"/>
      <c r="H9" s="6"/>
    </row>
    <row r="10" spans="1:12" x14ac:dyDescent="0.25">
      <c r="B10" s="55" t="s">
        <v>18</v>
      </c>
      <c r="C10" s="6">
        <f>COUNTIF(Resp[08],B10)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COUNTIF(Resp[08],B11)</f>
        <v>0</v>
      </c>
      <c r="D11" s="6">
        <f t="shared" si="0"/>
        <v>0</v>
      </c>
      <c r="E11" s="16">
        <f t="shared" si="1"/>
        <v>0</v>
      </c>
      <c r="G11" s="6"/>
      <c r="H11" s="6"/>
    </row>
    <row r="12" spans="1:12" x14ac:dyDescent="0.25">
      <c r="B12" s="11" t="s">
        <v>20</v>
      </c>
      <c r="C12" s="12">
        <f>COUNTIF(Resp[08],B12)</f>
        <v>1</v>
      </c>
      <c r="D12" s="12">
        <f t="shared" si="0"/>
        <v>7.14</v>
      </c>
      <c r="E12" s="23">
        <f t="shared" si="1"/>
        <v>7.1429999999999998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99.990000000000009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85.713999999999999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7.1429999999999998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7.1429999999999998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5" customWidth="1"/>
    <col min="2" max="2" width="29.5703125" style="5" customWidth="1"/>
    <col min="3" max="3" width="35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8.855468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9</v>
      </c>
    </row>
    <row r="2" spans="1:12" x14ac:dyDescent="0.25">
      <c r="A2" s="6" t="str">
        <f>TEXT(A1,"00")</f>
        <v>09</v>
      </c>
      <c r="B2" s="6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COUNTIF(Resp[09],B6)</f>
        <v>6</v>
      </c>
      <c r="D6" s="6">
        <f>ROUND($C6/C$13*100,2)</f>
        <v>42.86</v>
      </c>
      <c r="E6" s="16">
        <f>ROUND($C6/SUM($C$6:$C$12)*100,3)</f>
        <v>42.856999999999999</v>
      </c>
      <c r="G6" s="6"/>
      <c r="H6" s="6"/>
    </row>
    <row r="7" spans="1:12" x14ac:dyDescent="0.25">
      <c r="B7" s="5" t="s">
        <v>14</v>
      </c>
      <c r="C7" s="6">
        <f>COUNTIF(Resp[09],B7)</f>
        <v>6</v>
      </c>
      <c r="D7" s="6">
        <f t="shared" ref="D7:D12" si="0">ROUND($C7/C$13*100,2)</f>
        <v>42.86</v>
      </c>
      <c r="E7" s="16">
        <f t="shared" ref="E7:E12" si="1">ROUND($C7/SUM($C$6:$C$12)*100,3)</f>
        <v>42.856999999999999</v>
      </c>
      <c r="G7" s="6"/>
      <c r="H7" s="6"/>
    </row>
    <row r="8" spans="1:12" x14ac:dyDescent="0.25">
      <c r="B8" s="5" t="s">
        <v>16</v>
      </c>
      <c r="C8" s="6">
        <f>COUNTIF(Resp[09],B8)</f>
        <v>1</v>
      </c>
      <c r="D8" s="6">
        <f t="shared" si="0"/>
        <v>7.14</v>
      </c>
      <c r="E8" s="16">
        <f t="shared" si="1"/>
        <v>7.1429999999999998</v>
      </c>
      <c r="G8" s="6"/>
      <c r="H8" s="6"/>
    </row>
    <row r="9" spans="1:12" x14ac:dyDescent="0.25">
      <c r="B9" s="5" t="s">
        <v>17</v>
      </c>
      <c r="C9" s="6">
        <f>COUNTIF(Resp[09],B9)</f>
        <v>0</v>
      </c>
      <c r="D9" s="6">
        <f t="shared" si="0"/>
        <v>0</v>
      </c>
      <c r="E9" s="16">
        <f t="shared" si="1"/>
        <v>0</v>
      </c>
      <c r="G9" s="6"/>
      <c r="H9" s="6"/>
    </row>
    <row r="10" spans="1:12" x14ac:dyDescent="0.25">
      <c r="B10" s="5" t="s">
        <v>18</v>
      </c>
      <c r="C10" s="6">
        <f>COUNTIF(Resp[09],B10)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COUNTIF(Resp[09],B11)</f>
        <v>0</v>
      </c>
      <c r="D11" s="6">
        <f t="shared" si="0"/>
        <v>0</v>
      </c>
      <c r="E11" s="16">
        <f t="shared" si="1"/>
        <v>0</v>
      </c>
      <c r="G11" s="6"/>
      <c r="H11" s="6"/>
    </row>
    <row r="12" spans="1:12" x14ac:dyDescent="0.25">
      <c r="B12" s="11" t="s">
        <v>20</v>
      </c>
      <c r="C12" s="12">
        <f>COUNTIF(Resp[09],B12)</f>
        <v>1</v>
      </c>
      <c r="D12" s="12">
        <f t="shared" si="0"/>
        <v>7.14</v>
      </c>
      <c r="E12" s="23">
        <f t="shared" si="1"/>
        <v>7.1429999999999998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85.713999999999999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7.1429999999999998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7.1429999999999998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5" customWidth="1"/>
    <col min="2" max="2" width="21.28515625" style="5" customWidth="1"/>
    <col min="3" max="3" width="32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8.855468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10</v>
      </c>
    </row>
    <row r="2" spans="1:12" x14ac:dyDescent="0.25">
      <c r="A2" s="6" t="str">
        <f>TEXT(A1,"00")</f>
        <v>10</v>
      </c>
      <c r="B2" s="6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5" t="s">
        <v>223</v>
      </c>
      <c r="B3" s="6" t="str">
        <f>VLOOKUP(A$2, Pós[], 4, FALSE)</f>
        <v>Alunos Pós-Graduação Stricto Sensu: Questão 10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COUNTIF(Resp[10],B6)</f>
        <v>7</v>
      </c>
      <c r="D6" s="6">
        <f>ROUND($C6/C$13*100,2)</f>
        <v>50</v>
      </c>
      <c r="E6" s="16">
        <f t="shared" ref="E6:E11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COUNTIF(Resp[10],B7)</f>
        <v>5</v>
      </c>
      <c r="D7" s="6">
        <f t="shared" ref="D7:D12" si="1">ROUND($C7/C$13*100,2)</f>
        <v>35.71</v>
      </c>
      <c r="E7" s="16">
        <f t="shared" si="0"/>
        <v>35.713999999999999</v>
      </c>
      <c r="G7" s="6"/>
      <c r="H7" s="6"/>
    </row>
    <row r="8" spans="1:12" x14ac:dyDescent="0.25">
      <c r="B8" s="5" t="s">
        <v>16</v>
      </c>
      <c r="C8" s="6">
        <f>COUNTIF(Resp[10],B8)</f>
        <v>1</v>
      </c>
      <c r="D8" s="6">
        <f t="shared" si="1"/>
        <v>7.14</v>
      </c>
      <c r="E8" s="16">
        <f t="shared" si="0"/>
        <v>7.1429999999999998</v>
      </c>
      <c r="G8" s="6"/>
      <c r="H8" s="6"/>
    </row>
    <row r="9" spans="1:12" x14ac:dyDescent="0.25">
      <c r="B9" s="5" t="s">
        <v>17</v>
      </c>
      <c r="C9" s="6">
        <f>COUNTIF(Resp[10],B9)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57" t="s">
        <v>20</v>
      </c>
      <c r="C12" s="58">
        <f>COUNTIF(Resp[10],B12)</f>
        <v>1</v>
      </c>
      <c r="D12" s="12">
        <f t="shared" si="1"/>
        <v>7.14</v>
      </c>
      <c r="E12" s="23">
        <f>ROUND($C12/SUM($C$6:$C$12)*100,3)</f>
        <v>7.1429999999999998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99.990000000000009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85.713999999999999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7.1429999999999998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7.1429999999999998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5" customWidth="1"/>
    <col min="2" max="2" width="19.85546875" style="5" customWidth="1"/>
    <col min="3" max="3" width="31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11</v>
      </c>
    </row>
    <row r="2" spans="1:12" x14ac:dyDescent="0.25">
      <c r="A2" s="6" t="str">
        <f>TEXT(A1,"00")</f>
        <v>11</v>
      </c>
      <c r="B2" s="6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11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COUNTIF(Resp[11],B6)</f>
        <v>6</v>
      </c>
      <c r="D6" s="6">
        <f>ROUND($C6/C$13*100,2)</f>
        <v>42.86</v>
      </c>
      <c r="E6" s="16">
        <f t="shared" ref="E6:E12" si="0">ROUND($C6/SUM($C$6:$C$12)*100,3)</f>
        <v>42.856999999999999</v>
      </c>
      <c r="G6" s="6"/>
      <c r="H6" s="6"/>
    </row>
    <row r="7" spans="1:12" x14ac:dyDescent="0.25">
      <c r="B7" s="5" t="s">
        <v>14</v>
      </c>
      <c r="C7" s="6">
        <f>COUNTIF(Resp[11],B7)</f>
        <v>5</v>
      </c>
      <c r="D7" s="6">
        <f t="shared" ref="D7:D12" si="1">ROUND($C7/C$13*100,2)</f>
        <v>35.71</v>
      </c>
      <c r="E7" s="16">
        <f t="shared" si="0"/>
        <v>35.713999999999999</v>
      </c>
      <c r="G7" s="6"/>
      <c r="H7" s="6"/>
    </row>
    <row r="8" spans="1:12" x14ac:dyDescent="0.25">
      <c r="B8" s="5" t="s">
        <v>16</v>
      </c>
      <c r="C8" s="6">
        <f>COUNTIF(Resp[11],B8)</f>
        <v>2</v>
      </c>
      <c r="D8" s="6">
        <f t="shared" si="1"/>
        <v>14.29</v>
      </c>
      <c r="E8" s="16">
        <f t="shared" si="0"/>
        <v>14.286</v>
      </c>
      <c r="G8" s="6"/>
      <c r="H8" s="6"/>
    </row>
    <row r="9" spans="1:12" x14ac:dyDescent="0.25">
      <c r="B9" s="5" t="s">
        <v>17</v>
      </c>
      <c r="C9" s="6">
        <f>COUNTIF(Resp[11],B9)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COUNTIF(Resp[11],B12)</f>
        <v>1</v>
      </c>
      <c r="D12" s="12">
        <f t="shared" si="1"/>
        <v>7.14</v>
      </c>
      <c r="E12" s="23">
        <f t="shared" si="0"/>
        <v>7.1429999999999998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99.999999999999986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11</v>
      </c>
      <c r="E19" s="34">
        <f>ROUND(D19/SUM(D19:D22)*100,3)</f>
        <v>78.570999999999998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14.286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7.1429999999999998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25.5703125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12</v>
      </c>
    </row>
    <row r="2" spans="1:12" x14ac:dyDescent="0.25">
      <c r="A2" s="6" t="str">
        <f>TEXT(A1,"00")</f>
        <v>12</v>
      </c>
      <c r="B2" s="6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5" t="s">
        <v>223</v>
      </c>
      <c r="B3" s="6" t="str">
        <f>VLOOKUP(A$2, Pós[], 4, FALSE)</f>
        <v>Alunos Pós-Graduação Stricto Sensu: Questão 12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COUNTIF(Resp[12],B6)</f>
        <v>6</v>
      </c>
      <c r="D6" s="6">
        <f>ROUND($C6/C$13*100,2)</f>
        <v>42.86</v>
      </c>
      <c r="E6" s="16">
        <f t="shared" ref="E6:E12" si="0">ROUND($C6/SUM($C$6:$C$12)*100,3)</f>
        <v>42.856999999999999</v>
      </c>
      <c r="G6" s="6"/>
      <c r="H6" s="6"/>
    </row>
    <row r="7" spans="1:12" x14ac:dyDescent="0.25">
      <c r="B7" s="5" t="s">
        <v>14</v>
      </c>
      <c r="C7" s="6">
        <f>COUNTIF(Resp[12],B7)</f>
        <v>1</v>
      </c>
      <c r="D7" s="6">
        <f t="shared" ref="D7:D12" si="1">ROUND($C7/C$13*100,2)</f>
        <v>7.14</v>
      </c>
      <c r="E7" s="16">
        <f t="shared" si="0"/>
        <v>7.1429999999999998</v>
      </c>
      <c r="G7" s="6"/>
      <c r="H7" s="6"/>
    </row>
    <row r="8" spans="1:12" x14ac:dyDescent="0.25">
      <c r="B8" s="5" t="s">
        <v>16</v>
      </c>
      <c r="C8" s="6">
        <f>COUNTIF(Resp[12],B8)</f>
        <v>4</v>
      </c>
      <c r="D8" s="6">
        <f t="shared" si="1"/>
        <v>28.57</v>
      </c>
      <c r="E8" s="16">
        <f t="shared" si="0"/>
        <v>28.571000000000002</v>
      </c>
      <c r="G8" s="6"/>
      <c r="H8" s="6"/>
    </row>
    <row r="9" spans="1:12" x14ac:dyDescent="0.25">
      <c r="B9" s="5" t="s">
        <v>17</v>
      </c>
      <c r="C9" s="6">
        <f>COUNTIF(Resp[12],B9)</f>
        <v>1</v>
      </c>
      <c r="D9" s="6">
        <f t="shared" si="1"/>
        <v>7.14</v>
      </c>
      <c r="E9" s="16">
        <f t="shared" si="0"/>
        <v>7.1429999999999998</v>
      </c>
      <c r="G9" s="6"/>
      <c r="H9" s="6"/>
    </row>
    <row r="10" spans="1:12" x14ac:dyDescent="0.25">
      <c r="B10" s="5" t="s">
        <v>18</v>
      </c>
      <c r="C10" s="6">
        <f>COUNTIF(Resp[12],B10)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COUNTIF(Resp[12],B12)</f>
        <v>2</v>
      </c>
      <c r="D12" s="12">
        <f t="shared" si="1"/>
        <v>14.29</v>
      </c>
      <c r="E12" s="23">
        <f t="shared" si="0"/>
        <v>14.286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28.571000000000002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14.286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7.1429999999999998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5" customWidth="1"/>
    <col min="2" max="2" width="21.140625" style="5" customWidth="1"/>
    <col min="3" max="3" width="30.85546875" style="5" customWidth="1"/>
    <col min="4" max="4" width="8.5703125" style="5" customWidth="1"/>
    <col min="5" max="5" width="10.710937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13</v>
      </c>
    </row>
    <row r="2" spans="1:12" x14ac:dyDescent="0.25">
      <c r="A2" s="6" t="str">
        <f>TEXT(A1,"00")</f>
        <v>13</v>
      </c>
      <c r="B2" s="6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5" t="s">
        <v>223</v>
      </c>
      <c r="B3" s="6" t="str">
        <f>VLOOKUP(A$2, Pós[], 4, FALSE)</f>
        <v>Alunos Pós-Graduação Stricto Sensu: Questão 13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COUNTIF(Resp[13],B6)</f>
        <v>7</v>
      </c>
      <c r="D6" s="6">
        <f>ROUND($C6/C$13*100,2)</f>
        <v>50</v>
      </c>
      <c r="E6" s="16">
        <f t="shared" ref="E6:E11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COUNTIF(Resp[13],B7)</f>
        <v>6</v>
      </c>
      <c r="D7" s="6">
        <f t="shared" ref="D7:D11" si="1">ROUND($C7/C$13*100,2)</f>
        <v>42.86</v>
      </c>
      <c r="E7" s="16">
        <f t="shared" si="0"/>
        <v>42.856999999999999</v>
      </c>
      <c r="G7" s="6"/>
      <c r="H7" s="6"/>
    </row>
    <row r="8" spans="1:12" x14ac:dyDescent="0.25">
      <c r="B8" s="5" t="s">
        <v>16</v>
      </c>
      <c r="C8" s="6">
        <f>COUNTIF(Resp[13],B8)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COUNTIF(Resp[13],B12)</f>
        <v>1</v>
      </c>
      <c r="D12" s="12">
        <f>ROUND($C12/C$13*100,2)</f>
        <v>7.14</v>
      </c>
      <c r="E12" s="23">
        <f>ROUND($C12/SUM($C$6:$C$12)*100,3)</f>
        <v>7.1429999999999998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13</v>
      </c>
      <c r="E19" s="34">
        <f>ROUND(D19/SUM(D19:D22)*100,3)</f>
        <v>92.856999999999999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7.1429999999999998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5" customWidth="1"/>
    <col min="2" max="2" width="23.28515625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14</v>
      </c>
    </row>
    <row r="2" spans="1:12" x14ac:dyDescent="0.25">
      <c r="A2" s="6" t="str">
        <f>TEXT(A1,"00")</f>
        <v>14</v>
      </c>
      <c r="B2" s="6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14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COUNTIF(Resp[14],B6)</f>
        <v>7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COUNTIF(Resp[14],B7)</f>
        <v>4</v>
      </c>
      <c r="D7" s="6">
        <f t="shared" ref="D7:D12" si="1">ROUND($C7/C$13*100,2)</f>
        <v>28.57</v>
      </c>
      <c r="E7" s="16">
        <f t="shared" si="0"/>
        <v>28.571000000000002</v>
      </c>
      <c r="G7" s="6"/>
      <c r="H7" s="6"/>
    </row>
    <row r="8" spans="1:12" x14ac:dyDescent="0.25">
      <c r="B8" s="5" t="s">
        <v>16</v>
      </c>
      <c r="C8" s="6">
        <f>COUNTIF(Resp[14],B8)</f>
        <v>1</v>
      </c>
      <c r="D8" s="6">
        <f t="shared" si="1"/>
        <v>7.14</v>
      </c>
      <c r="E8" s="16">
        <f t="shared" si="0"/>
        <v>7.1429999999999998</v>
      </c>
      <c r="G8" s="6"/>
      <c r="H8" s="6"/>
    </row>
    <row r="9" spans="1:12" x14ac:dyDescent="0.25">
      <c r="B9" s="5" t="s">
        <v>17</v>
      </c>
      <c r="C9" s="6">
        <f>COUNTIF(Resp[14],B9)</f>
        <v>1</v>
      </c>
      <c r="D9" s="6">
        <f t="shared" si="1"/>
        <v>7.14</v>
      </c>
      <c r="E9" s="16">
        <f t="shared" si="0"/>
        <v>7.1429999999999998</v>
      </c>
      <c r="G9" s="6"/>
      <c r="H9" s="6"/>
    </row>
    <row r="10" spans="1:12" x14ac:dyDescent="0.25">
      <c r="B10" s="5" t="s">
        <v>18</v>
      </c>
      <c r="C10" s="6">
        <f>COUNTIF(Resp[14],B10)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COUNTIF(Resp[14],B12)</f>
        <v>1</v>
      </c>
      <c r="D12" s="12">
        <f t="shared" si="1"/>
        <v>7.14</v>
      </c>
      <c r="E12" s="23">
        <f t="shared" si="0"/>
        <v>7.1429999999999998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99.99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11</v>
      </c>
      <c r="E19" s="34">
        <f>ROUND(D19/SUM(D19:D22)*100,3)</f>
        <v>78.570999999999998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7.1429999999999998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7.1429999999999998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7.1429999999999998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5" customWidth="1"/>
    <col min="2" max="2" width="22.5703125" style="5" customWidth="1"/>
    <col min="3" max="3" width="34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15</v>
      </c>
    </row>
    <row r="2" spans="1:12" x14ac:dyDescent="0.25">
      <c r="A2" s="6" t="str">
        <f>TEXT(A1,"00")</f>
        <v>15</v>
      </c>
      <c r="B2" s="6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15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COUNTIF(Resp[15],B6)</f>
        <v>6</v>
      </c>
      <c r="D6" s="6">
        <f>ROUND($C6/C$13*100,2)</f>
        <v>42.86</v>
      </c>
      <c r="E6" s="16">
        <f t="shared" ref="E6:E12" si="0">ROUND($C6/SUM($C$6:$C$12)*100,3)</f>
        <v>42.856999999999999</v>
      </c>
      <c r="G6" s="6"/>
      <c r="H6" s="6"/>
    </row>
    <row r="7" spans="1:12" x14ac:dyDescent="0.25">
      <c r="B7" s="5" t="s">
        <v>14</v>
      </c>
      <c r="C7" s="6">
        <f>COUNTIF(Resp[15],B7)</f>
        <v>6</v>
      </c>
      <c r="D7" s="6">
        <f t="shared" ref="D7:D12" si="1">ROUND($C7/C$13*100,2)</f>
        <v>42.86</v>
      </c>
      <c r="E7" s="16">
        <f t="shared" si="0"/>
        <v>42.856999999999999</v>
      </c>
      <c r="G7" s="6"/>
      <c r="H7" s="6"/>
    </row>
    <row r="8" spans="1:12" x14ac:dyDescent="0.25">
      <c r="B8" s="5" t="s">
        <v>16</v>
      </c>
      <c r="C8" s="6">
        <f>COUNTIF(Resp[15],B8)</f>
        <v>1</v>
      </c>
      <c r="D8" s="6">
        <f t="shared" si="1"/>
        <v>7.14</v>
      </c>
      <c r="E8" s="16">
        <f t="shared" si="0"/>
        <v>7.1429999999999998</v>
      </c>
      <c r="G8" s="6"/>
      <c r="H8" s="6"/>
    </row>
    <row r="9" spans="1:12" x14ac:dyDescent="0.25">
      <c r="B9" s="5" t="s">
        <v>17</v>
      </c>
      <c r="C9" s="6">
        <f>COUNTIF(Resp[15],B9)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COUNTIF(Resp[15],B12)</f>
        <v>1</v>
      </c>
      <c r="D12" s="12">
        <f t="shared" si="1"/>
        <v>7.14</v>
      </c>
      <c r="E12" s="23">
        <f t="shared" si="0"/>
        <v>7.1429999999999998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85.713999999999999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7.1429999999999998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7.1429999999999998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19.28515625" style="5" customWidth="1"/>
    <col min="3" max="3" width="29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16</v>
      </c>
    </row>
    <row r="2" spans="1:12" x14ac:dyDescent="0.25">
      <c r="A2" s="6" t="str">
        <f>TEXT(A1,"00")</f>
        <v>16</v>
      </c>
      <c r="B2" s="6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16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COUNTIF(Resp[16],B6)</f>
        <v>6</v>
      </c>
      <c r="D6" s="6">
        <f>ROUND($C6/C$13*100,2)</f>
        <v>42.86</v>
      </c>
      <c r="E6" s="16">
        <f t="shared" ref="E6:E12" si="0">ROUND($C6/SUM($C$6:$C$12)*100,3)</f>
        <v>42.856999999999999</v>
      </c>
      <c r="G6" s="6"/>
      <c r="H6" s="6"/>
    </row>
    <row r="7" spans="1:12" x14ac:dyDescent="0.25">
      <c r="B7" s="5" t="s">
        <v>14</v>
      </c>
      <c r="C7" s="6">
        <f>COUNTIF(Resp[16],B7)</f>
        <v>5</v>
      </c>
      <c r="D7" s="6">
        <f t="shared" ref="D7:D12" si="1">ROUND($C7/C$13*100,2)</f>
        <v>35.71</v>
      </c>
      <c r="E7" s="16">
        <f t="shared" si="0"/>
        <v>35.713999999999999</v>
      </c>
      <c r="G7" s="6"/>
      <c r="H7" s="6"/>
    </row>
    <row r="8" spans="1:12" x14ac:dyDescent="0.25">
      <c r="B8" s="5" t="s">
        <v>16</v>
      </c>
      <c r="C8" s="6">
        <f>COUNTIF(Resp[16],B8)</f>
        <v>1</v>
      </c>
      <c r="D8" s="6">
        <f t="shared" si="1"/>
        <v>7.14</v>
      </c>
      <c r="E8" s="16">
        <f t="shared" si="0"/>
        <v>7.1429999999999998</v>
      </c>
      <c r="G8" s="6"/>
      <c r="H8" s="6"/>
    </row>
    <row r="9" spans="1:12" x14ac:dyDescent="0.25">
      <c r="B9" s="5" t="s">
        <v>17</v>
      </c>
      <c r="C9" s="6">
        <f>COUNTIF(Resp[16],B9)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COUNTIF(Resp[16],B10)</f>
        <v>1</v>
      </c>
      <c r="D10" s="6">
        <f t="shared" si="1"/>
        <v>7.14</v>
      </c>
      <c r="E10" s="16">
        <f t="shared" si="0"/>
        <v>7.1429999999999998</v>
      </c>
      <c r="G10" s="6"/>
      <c r="H10" s="6"/>
    </row>
    <row r="11" spans="1:12" x14ac:dyDescent="0.25">
      <c r="B11" s="5" t="s">
        <v>19</v>
      </c>
      <c r="C11" s="6">
        <f>COUNTIF(Resp[16],B11)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COUNTIF(Resp[16],B12)</f>
        <v>1</v>
      </c>
      <c r="D12" s="12">
        <f t="shared" si="1"/>
        <v>7.14</v>
      </c>
      <c r="E12" s="23">
        <f t="shared" si="0"/>
        <v>7.1429999999999998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99.99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>
        <f>SUM(D6:D12)%</f>
        <v>0.9998999999999999</v>
      </c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11</v>
      </c>
      <c r="E19" s="34">
        <f>ROUND(D19/SUM(D19:D22)*100,3)</f>
        <v>78.570999999999998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7.1429999999999998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7.1429999999999998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7.1429999999999998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5" customWidth="1"/>
    <col min="2" max="2" width="19.7109375" style="5" customWidth="1"/>
    <col min="3" max="3" width="31.42578125" style="5" customWidth="1"/>
    <col min="4" max="4" width="10.28515625" style="5" customWidth="1"/>
    <col min="5" max="5" width="12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17</v>
      </c>
    </row>
    <row r="2" spans="1:12" x14ac:dyDescent="0.25">
      <c r="A2" s="6" t="str">
        <f>TEXT(A1,"00")</f>
        <v>17</v>
      </c>
      <c r="B2" s="6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17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COUNTIF(Resp[17],B6)</f>
        <v>5</v>
      </c>
      <c r="D6" s="6">
        <f>ROUND($C6/C$13*100,2)</f>
        <v>35.71</v>
      </c>
      <c r="E6" s="16">
        <f t="shared" ref="E6:E12" si="0">ROUND($C6/SUM($C$6:$C$12)*100,3)</f>
        <v>35.713999999999999</v>
      </c>
      <c r="G6" s="6"/>
      <c r="H6" s="6"/>
    </row>
    <row r="7" spans="1:12" x14ac:dyDescent="0.25">
      <c r="B7" s="5" t="s">
        <v>14</v>
      </c>
      <c r="C7" s="6">
        <f>COUNTIF(Resp[17],B7)</f>
        <v>7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COUNTIF(Resp[17],B8)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COUNTIF(Resp[17],B9)</f>
        <v>1</v>
      </c>
      <c r="D9" s="6">
        <f t="shared" si="1"/>
        <v>7.14</v>
      </c>
      <c r="E9" s="16">
        <f t="shared" si="0"/>
        <v>7.1429999999999998</v>
      </c>
      <c r="G9" s="6"/>
      <c r="H9" s="6"/>
    </row>
    <row r="10" spans="1:12" x14ac:dyDescent="0.25">
      <c r="B10" s="5" t="s">
        <v>18</v>
      </c>
      <c r="C10" s="6">
        <f>COUNTIF(Resp[17],B10)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COUNTIF(Resp[17],B12)</f>
        <v>1</v>
      </c>
      <c r="D12" s="12">
        <f t="shared" si="1"/>
        <v>7.14</v>
      </c>
      <c r="E12" s="23">
        <f t="shared" si="0"/>
        <v>7.1429999999999998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99.990000000000009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85.713999999999999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7.1429999999999998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7.1429999999999998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5" customWidth="1"/>
    <col min="2" max="2" width="21.85546875" style="5" customWidth="1"/>
    <col min="3" max="3" width="29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18</v>
      </c>
    </row>
    <row r="2" spans="1:12" x14ac:dyDescent="0.25">
      <c r="A2" s="6" t="str">
        <f>TEXT(A1,"00")</f>
        <v>18</v>
      </c>
      <c r="B2" s="6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18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COUNTIF(Resp[18],B6)</f>
        <v>7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COUNTIF(Resp[18],B7)</f>
        <v>4</v>
      </c>
      <c r="D7" s="6">
        <f t="shared" ref="D7:D12" si="1">ROUND($C7/C$13*100,2)</f>
        <v>28.57</v>
      </c>
      <c r="E7" s="16">
        <f t="shared" si="0"/>
        <v>28.571000000000002</v>
      </c>
      <c r="G7" s="6"/>
      <c r="H7" s="6"/>
    </row>
    <row r="8" spans="1:12" x14ac:dyDescent="0.25">
      <c r="B8" s="5" t="s">
        <v>16</v>
      </c>
      <c r="C8" s="6">
        <f>COUNTIF(Resp[18],B8)</f>
        <v>2</v>
      </c>
      <c r="D8" s="6">
        <f t="shared" si="1"/>
        <v>14.29</v>
      </c>
      <c r="E8" s="16">
        <f t="shared" si="0"/>
        <v>14.286</v>
      </c>
      <c r="G8" s="6"/>
      <c r="H8" s="6"/>
    </row>
    <row r="9" spans="1:12" x14ac:dyDescent="0.25">
      <c r="B9" s="5" t="s">
        <v>17</v>
      </c>
      <c r="C9" s="6">
        <f>COUNTIF(Resp[18],B9)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COUNTIF(Resp[18],B12)</f>
        <v>1</v>
      </c>
      <c r="D12" s="12">
        <f t="shared" si="1"/>
        <v>7.14</v>
      </c>
      <c r="E12" s="23">
        <f t="shared" si="0"/>
        <v>7.1429999999999998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99.999999999999986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11</v>
      </c>
      <c r="E19" s="34">
        <f>ROUND(D19/SUM(D19:D22)*100,3)</f>
        <v>78.570999999999998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14.286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7.1429999999999998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5" customWidth="1"/>
    <col min="2" max="2" width="26.42578125" style="5" customWidth="1"/>
    <col min="3" max="3" width="33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19</v>
      </c>
    </row>
    <row r="2" spans="1:12" x14ac:dyDescent="0.25">
      <c r="A2" s="6" t="str">
        <f>TEXT(A1,"00")</f>
        <v>19</v>
      </c>
      <c r="B2" s="6" t="str">
        <f>VLOOKUP(A$2, Pós[], 3, FALSE)</f>
        <v>Como você avalia a atuação das bancas não presenciais?</v>
      </c>
    </row>
    <row r="3" spans="1:12" x14ac:dyDescent="0.25">
      <c r="A3" s="5" t="s">
        <v>223</v>
      </c>
      <c r="B3" s="6" t="str">
        <f>VLOOKUP(A$2, Pós[], 4, FALSE)</f>
        <v>Alunos Pós-Graduação Stricto Sensu: Questão 19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COUNTIF(Resp[19],B6)</f>
        <v>6</v>
      </c>
      <c r="D6" s="6">
        <f>ROUND($C6/C$13*100,2)</f>
        <v>42.86</v>
      </c>
      <c r="E6" s="16">
        <f t="shared" ref="E6:E12" si="0">ROUND($C6/SUM($C$6:$C$12)*100,3)</f>
        <v>42.856999999999999</v>
      </c>
      <c r="G6" s="6"/>
      <c r="H6" s="6"/>
    </row>
    <row r="7" spans="1:12" x14ac:dyDescent="0.25">
      <c r="B7" s="5" t="s">
        <v>14</v>
      </c>
      <c r="C7" s="6">
        <f>COUNTIF(Resp[19],B7)</f>
        <v>4</v>
      </c>
      <c r="D7" s="6">
        <f t="shared" ref="D7:D12" si="1">ROUND($C7/C$13*100,2)</f>
        <v>28.57</v>
      </c>
      <c r="E7" s="16">
        <f t="shared" si="0"/>
        <v>28.571000000000002</v>
      </c>
      <c r="G7" s="6"/>
      <c r="H7" s="6"/>
    </row>
    <row r="8" spans="1:12" x14ac:dyDescent="0.25">
      <c r="B8" s="5" t="s">
        <v>16</v>
      </c>
      <c r="C8" s="6">
        <f>COUNTIF(Resp[19],B8)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COUNTIF(Resp[19],B9)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COUNTIF(Resp[19],B10)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COUNTIF(Resp[19],B11)</f>
        <v>3</v>
      </c>
      <c r="D11" s="6">
        <f t="shared" si="1"/>
        <v>21.43</v>
      </c>
      <c r="E11" s="16">
        <f t="shared" si="0"/>
        <v>21.428999999999998</v>
      </c>
      <c r="G11" s="6"/>
      <c r="H11" s="6"/>
    </row>
    <row r="12" spans="1:12" x14ac:dyDescent="0.25">
      <c r="B12" s="11" t="s">
        <v>20</v>
      </c>
      <c r="C12" s="58">
        <f>COUNTIF(Resp[19],B12)</f>
        <v>1</v>
      </c>
      <c r="D12" s="12">
        <f t="shared" si="1"/>
        <v>7.14</v>
      </c>
      <c r="E12" s="23">
        <f t="shared" si="0"/>
        <v>7.1429999999999998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100.00000000000001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10</v>
      </c>
      <c r="E19" s="34">
        <f>ROUND(D19/SUM(D19:D22)*100,3)</f>
        <v>71.429000000000002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4</v>
      </c>
      <c r="E21" s="34">
        <f>ROUND(D21/SUM(D19:D22)*100,3)</f>
        <v>28.571000000000002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5" customWidth="1"/>
    <col min="2" max="2" width="16.5703125" style="5" customWidth="1"/>
    <col min="3" max="3" width="10.42578125" style="5" bestFit="1" customWidth="1"/>
    <col min="4" max="17" width="8.5703125" style="5" customWidth="1"/>
    <col min="18" max="16384" width="9.140625" style="5"/>
  </cols>
  <sheetData>
    <row r="1" spans="1:5" x14ac:dyDescent="0.25">
      <c r="A1" s="5">
        <v>20</v>
      </c>
    </row>
    <row r="2" spans="1:5" x14ac:dyDescent="0.25">
      <c r="A2" s="6" t="str">
        <f>TEXT(A1,"00")</f>
        <v>20</v>
      </c>
      <c r="B2" s="6" t="str">
        <f>VLOOKUP(A$2, Pós[], 3, FALSE)</f>
        <v>Você cursou disciplinas transversais no ano de 2021?</v>
      </c>
    </row>
    <row r="3" spans="1:5" x14ac:dyDescent="0.25">
      <c r="A3" s="5" t="s">
        <v>223</v>
      </c>
      <c r="B3" s="6" t="str">
        <f>VLOOKUP(A$2, Pós[], 4, FALSE)</f>
        <v>Alunos Pós-Graduação Stricto Sensu: Questão 20</v>
      </c>
    </row>
    <row r="5" spans="1:5" x14ac:dyDescent="0.25">
      <c r="B5" s="7" t="s">
        <v>224</v>
      </c>
      <c r="C5" s="7" t="s">
        <v>225</v>
      </c>
      <c r="D5" s="8" t="s">
        <v>226</v>
      </c>
      <c r="E5" s="8" t="s">
        <v>227</v>
      </c>
    </row>
    <row r="6" spans="1:5" x14ac:dyDescent="0.25">
      <c r="B6" s="5" t="s">
        <v>13</v>
      </c>
      <c r="C6" s="6">
        <f>COUNTIF(Resp[20],B6)</f>
        <v>8</v>
      </c>
      <c r="D6" s="5">
        <f>ROUND($C6/C$8*100,2)</f>
        <v>57.14</v>
      </c>
      <c r="E6" s="16">
        <f>ROUND($C6/SUM($C$6:$C$7)*100,3)</f>
        <v>57.143000000000001</v>
      </c>
    </row>
    <row r="7" spans="1:5" x14ac:dyDescent="0.25">
      <c r="B7" s="5" t="s">
        <v>15</v>
      </c>
      <c r="C7" s="6">
        <f>COUNTIF(Resp[20],B7)</f>
        <v>6</v>
      </c>
      <c r="D7" s="5">
        <f>ROUND($C7/C$8*100,2)</f>
        <v>42.86</v>
      </c>
      <c r="E7" s="16">
        <f>ROUND($C7/SUM($C$6:$C$7)*100,3)</f>
        <v>42.856999999999999</v>
      </c>
    </row>
    <row r="8" spans="1:5" x14ac:dyDescent="0.25">
      <c r="B8" s="13" t="s">
        <v>228</v>
      </c>
      <c r="C8" s="13">
        <f>SUM(C6:C7)</f>
        <v>14</v>
      </c>
      <c r="D8" s="13">
        <f>SUM(D6:D7)</f>
        <v>100</v>
      </c>
      <c r="E8" s="17">
        <f>INT(SUM(E6:E7))</f>
        <v>100</v>
      </c>
    </row>
    <row r="11" spans="1:5" x14ac:dyDescent="0.25">
      <c r="B11" s="62"/>
    </row>
    <row r="14" spans="1:5" x14ac:dyDescent="0.25">
      <c r="B14" s="22"/>
      <c r="C14" s="22"/>
      <c r="D14" s="24"/>
      <c r="E14" s="36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5" customWidth="1"/>
    <col min="2" max="2" width="27.7109375" style="5" customWidth="1"/>
    <col min="3" max="3" width="30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21</v>
      </c>
    </row>
    <row r="2" spans="1:12" x14ac:dyDescent="0.25">
      <c r="A2" s="6" t="str">
        <f>TEXT(A1,"00")</f>
        <v>21</v>
      </c>
      <c r="B2" s="6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5" t="s">
        <v>223</v>
      </c>
      <c r="B3" s="6" t="str">
        <f>VLOOKUP(A$2, Pós[], 4, FALSE)</f>
        <v>Alunos Pós-Graduação Stricto Sensu: Questão 21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COUNTIF(Resp[21],B6)</f>
        <v>6</v>
      </c>
      <c r="D6" s="6">
        <f>ROUND($C6/C$13*100,2)</f>
        <v>75</v>
      </c>
      <c r="E6" s="16">
        <f t="shared" ref="E6:E12" si="0">ROUND($C6/SUM($C$6:$C$12)*100,3)</f>
        <v>75</v>
      </c>
      <c r="G6" s="6"/>
      <c r="H6" s="6"/>
    </row>
    <row r="7" spans="1:12" x14ac:dyDescent="0.25">
      <c r="B7" s="5" t="s">
        <v>14</v>
      </c>
      <c r="C7" s="6">
        <f>COUNTIF(Resp[21],B7)</f>
        <v>2</v>
      </c>
      <c r="D7" s="6">
        <f t="shared" ref="D7:D12" si="1">ROUND($C7/C$13*100,2)</f>
        <v>25</v>
      </c>
      <c r="E7" s="16">
        <f t="shared" si="0"/>
        <v>25</v>
      </c>
      <c r="G7" s="6"/>
      <c r="H7" s="6"/>
    </row>
    <row r="8" spans="1:12" x14ac:dyDescent="0.25">
      <c r="B8" s="5" t="s">
        <v>16</v>
      </c>
      <c r="C8" s="6">
        <f>COUNTIF(Resp[21],B8)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8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5" customWidth="1"/>
    <col min="2" max="2" width="26.5703125" style="5" customWidth="1"/>
    <col min="3" max="3" width="32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22</v>
      </c>
    </row>
    <row r="2" spans="1:12" x14ac:dyDescent="0.25">
      <c r="A2" s="6" t="str">
        <f>TEXT(A1,"00")</f>
        <v>22</v>
      </c>
      <c r="B2" s="6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5" t="s">
        <v>223</v>
      </c>
      <c r="B3" s="6" t="str">
        <f>VLOOKUP(A$2, Pós[], 4, FALSE)</f>
        <v>Alunos Pós-Graduação Stricto Sensu: Questão 22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COUNTIF(Resp[22],B6)</f>
        <v>4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COUNTIF(Resp[22],B7)</f>
        <v>1</v>
      </c>
      <c r="D7" s="6">
        <f t="shared" ref="D7:D12" si="1">ROUND($C7/C$13*100,2)</f>
        <v>12.5</v>
      </c>
      <c r="E7" s="16">
        <f t="shared" si="0"/>
        <v>12.5</v>
      </c>
      <c r="G7" s="6"/>
      <c r="H7" s="6"/>
    </row>
    <row r="8" spans="1:12" x14ac:dyDescent="0.25">
      <c r="B8" s="5" t="s">
        <v>16</v>
      </c>
      <c r="C8" s="6">
        <f>COUNTIF(Resp[22],B8)</f>
        <v>3</v>
      </c>
      <c r="D8" s="6">
        <f t="shared" si="1"/>
        <v>37.5</v>
      </c>
      <c r="E8" s="16">
        <f t="shared" si="0"/>
        <v>37.5</v>
      </c>
      <c r="G8" s="6"/>
      <c r="H8" s="6"/>
    </row>
    <row r="9" spans="1:12" x14ac:dyDescent="0.25">
      <c r="B9" s="5" t="s">
        <v>17</v>
      </c>
      <c r="C9" s="6">
        <f>COUNTIF(Resp[22],B9)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62.5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37.5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5" customWidth="1"/>
    <col min="2" max="2" width="24.5703125" style="5" customWidth="1"/>
    <col min="3" max="3" width="30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23</v>
      </c>
    </row>
    <row r="2" spans="1:12" x14ac:dyDescent="0.25">
      <c r="A2" s="6" t="str">
        <f>TEXT(A1,"00")</f>
        <v>23</v>
      </c>
      <c r="B2" s="6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23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COUNTIF(Resp[23],B6)</f>
        <v>4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COUNTIF(Resp[23],B7)</f>
        <v>3</v>
      </c>
      <c r="D7" s="6">
        <f t="shared" ref="D7:D12" si="1">ROUND($C7/C$13*100,2)</f>
        <v>37.5</v>
      </c>
      <c r="E7" s="16">
        <f t="shared" si="0"/>
        <v>37.5</v>
      </c>
      <c r="G7" s="6"/>
      <c r="H7" s="6"/>
    </row>
    <row r="8" spans="1:12" x14ac:dyDescent="0.25">
      <c r="B8" s="5" t="s">
        <v>16</v>
      </c>
      <c r="C8" s="6">
        <f>COUNTIF(Resp[23],B8)</f>
        <v>1</v>
      </c>
      <c r="D8" s="6">
        <f t="shared" si="1"/>
        <v>12.5</v>
      </c>
      <c r="E8" s="16">
        <f t="shared" si="0"/>
        <v>12.5</v>
      </c>
      <c r="G8" s="6"/>
      <c r="H8" s="6"/>
    </row>
    <row r="9" spans="1:12" x14ac:dyDescent="0.25">
      <c r="B9" s="5" t="s">
        <v>17</v>
      </c>
      <c r="C9" s="6">
        <f>COUNTIF(Resp[23],B9)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COUNTIF(Resp[23],B12)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87.5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12.5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5" customWidth="1"/>
    <col min="2" max="2" width="17" style="5" customWidth="1"/>
    <col min="3" max="3" width="28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24</v>
      </c>
    </row>
    <row r="2" spans="1:12" x14ac:dyDescent="0.25">
      <c r="A2" s="6" t="str">
        <f>TEXT(A1,"00")</f>
        <v>24</v>
      </c>
      <c r="B2" s="6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24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COUNTIF(Resp[24],B6)</f>
        <v>5</v>
      </c>
      <c r="D6" s="6">
        <f>ROUND($C6/C$13*100,2)</f>
        <v>62.5</v>
      </c>
      <c r="E6" s="16">
        <f t="shared" ref="E6:E12" si="0">ROUND($C6/SUM($C$6:$C$12)*100,3)</f>
        <v>62.5</v>
      </c>
      <c r="G6" s="6"/>
      <c r="H6" s="6"/>
    </row>
    <row r="7" spans="1:12" x14ac:dyDescent="0.25">
      <c r="B7" s="5" t="s">
        <v>14</v>
      </c>
      <c r="C7" s="6">
        <f>COUNTIF(Resp[24],B7)</f>
        <v>3</v>
      </c>
      <c r="D7" s="6">
        <f t="shared" ref="D7:D12" si="1">ROUND($C7/C$13*100,2)</f>
        <v>37.5</v>
      </c>
      <c r="E7" s="16">
        <f t="shared" si="0"/>
        <v>37.5</v>
      </c>
      <c r="G7" s="6"/>
      <c r="H7" s="6"/>
    </row>
    <row r="8" spans="1:12" x14ac:dyDescent="0.25">
      <c r="B8" s="5" t="s">
        <v>16</v>
      </c>
      <c r="C8" s="6">
        <f>COUNTIF(Resp[24],B8)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8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5" customWidth="1"/>
    <col min="2" max="2" width="17" style="5" customWidth="1"/>
    <col min="3" max="3" width="34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25</v>
      </c>
    </row>
    <row r="2" spans="1:12" x14ac:dyDescent="0.25">
      <c r="A2" s="6" t="str">
        <f>TEXT(A1,"00")</f>
        <v>25</v>
      </c>
      <c r="B2" s="6" t="str">
        <f>VLOOKUP(A$2, Pós[], 3, FALSE)</f>
        <v>Como você avalia o conjunto de disciplinas transversais da pós-graduação? [Aplicabilidade para a pesquisa]</v>
      </c>
    </row>
    <row r="3" spans="1:12" x14ac:dyDescent="0.25">
      <c r="A3" s="5" t="s">
        <v>223</v>
      </c>
      <c r="B3" s="6" t="str">
        <f>VLOOKUP(A$2, Pós[], 4, FALSE)</f>
        <v>Alunos Pós-Graduação Stricto Sensu: Questão 25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COUNTIF(Resp[25],B6)</f>
        <v>6</v>
      </c>
      <c r="D6" s="6">
        <f>ROUND($C6/C$13*100,2)</f>
        <v>75</v>
      </c>
      <c r="E6" s="16">
        <f t="shared" ref="E6:E12" si="0">ROUND($C6/SUM($C$6:$C$12)*100,3)</f>
        <v>75</v>
      </c>
      <c r="G6" s="6"/>
      <c r="H6" s="6"/>
    </row>
    <row r="7" spans="1:12" x14ac:dyDescent="0.25">
      <c r="B7" s="5" t="s">
        <v>14</v>
      </c>
      <c r="C7" s="6">
        <f>COUNTIF(Resp[25],B7)</f>
        <v>0</v>
      </c>
      <c r="D7" s="6">
        <f t="shared" ref="D7:D12" si="1">ROUND($C7/C$13*100,2)</f>
        <v>0</v>
      </c>
      <c r="E7" s="16">
        <f t="shared" si="0"/>
        <v>0</v>
      </c>
      <c r="G7" s="6"/>
      <c r="H7" s="6"/>
    </row>
    <row r="8" spans="1:12" x14ac:dyDescent="0.25">
      <c r="B8" s="5" t="s">
        <v>16</v>
      </c>
      <c r="C8" s="6">
        <f>COUNTIF(Resp[25],B8)</f>
        <v>2</v>
      </c>
      <c r="D8" s="6">
        <f t="shared" si="1"/>
        <v>25</v>
      </c>
      <c r="E8" s="16">
        <f t="shared" si="0"/>
        <v>25</v>
      </c>
      <c r="G8" s="6"/>
      <c r="H8" s="6"/>
    </row>
    <row r="9" spans="1:12" x14ac:dyDescent="0.25">
      <c r="B9" s="5" t="s">
        <v>17</v>
      </c>
      <c r="C9" s="6">
        <f>COUNTIF(Resp[25],B9)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75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25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5" customWidth="1"/>
    <col min="2" max="2" width="17" style="5" customWidth="1"/>
    <col min="3" max="3" width="16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26</v>
      </c>
    </row>
    <row r="2" spans="1:12" x14ac:dyDescent="0.25">
      <c r="A2" s="6" t="str">
        <f>TEXT(A1,"00")</f>
        <v>26</v>
      </c>
      <c r="B2" s="6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26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COUNTIF(Resp[26],B6)</f>
        <v>5</v>
      </c>
      <c r="D6" s="6">
        <f>ROUND($C6/C$13*100,2)</f>
        <v>62.5</v>
      </c>
      <c r="E6" s="16">
        <f t="shared" ref="E6:E12" si="0">ROUND($C6/SUM($C$6:$C$12)*100,3)</f>
        <v>62.5</v>
      </c>
      <c r="G6" s="6"/>
      <c r="H6" s="6"/>
    </row>
    <row r="7" spans="1:12" x14ac:dyDescent="0.25">
      <c r="B7" s="5" t="s">
        <v>14</v>
      </c>
      <c r="C7" s="6">
        <f>COUNTIF(Resp[26],B7)</f>
        <v>2</v>
      </c>
      <c r="D7" s="6">
        <f t="shared" ref="D7:D12" si="1">ROUND($C7/C$13*100,2)</f>
        <v>25</v>
      </c>
      <c r="E7" s="16">
        <f t="shared" si="0"/>
        <v>25</v>
      </c>
      <c r="G7" s="6"/>
      <c r="H7" s="6"/>
    </row>
    <row r="8" spans="1:12" x14ac:dyDescent="0.25">
      <c r="B8" s="5" t="s">
        <v>16</v>
      </c>
      <c r="C8" s="6">
        <f>COUNTIF(Resp[26],B8)</f>
        <v>1</v>
      </c>
      <c r="D8" s="6">
        <f t="shared" si="1"/>
        <v>12.5</v>
      </c>
      <c r="E8" s="16">
        <f t="shared" si="0"/>
        <v>12.5</v>
      </c>
      <c r="G8" s="6"/>
      <c r="H8" s="6"/>
    </row>
    <row r="9" spans="1:12" x14ac:dyDescent="0.25">
      <c r="B9" s="5" t="s">
        <v>17</v>
      </c>
      <c r="C9" s="6">
        <f>COUNTIF(Resp[26],B9)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87.5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12.5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5" customWidth="1"/>
    <col min="2" max="2" width="17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27</v>
      </c>
    </row>
    <row r="2" spans="1:12" x14ac:dyDescent="0.25">
      <c r="A2" s="6" t="str">
        <f>TEXT(A1,"00")</f>
        <v>27</v>
      </c>
      <c r="B2" s="6" t="str">
        <f>VLOOKUP(A$2, Pós[], 3, FALSE)</f>
        <v>Como você avalia o conjunto de disciplinas transversais da pós-graduação? [Oferta de disciplinas em inglês]</v>
      </c>
    </row>
    <row r="3" spans="1:12" x14ac:dyDescent="0.25">
      <c r="A3" s="5" t="s">
        <v>223</v>
      </c>
      <c r="B3" s="6" t="str">
        <f>VLOOKUP(A$2, Pós[], 4, FALSE)</f>
        <v>Alunos Pós-Graduação Stricto Sensu: Questão 27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COUNTIF(Resp[27],B6)</f>
        <v>4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COUNTIF(Resp[27],B7)</f>
        <v>2</v>
      </c>
      <c r="D7" s="6">
        <f t="shared" ref="D7:D12" si="1">ROUND($C7/C$13*100,2)</f>
        <v>25</v>
      </c>
      <c r="E7" s="16">
        <f t="shared" si="0"/>
        <v>25</v>
      </c>
      <c r="G7" s="6"/>
      <c r="H7" s="6"/>
    </row>
    <row r="8" spans="1:12" x14ac:dyDescent="0.25">
      <c r="B8" s="5" t="s">
        <v>16</v>
      </c>
      <c r="C8" s="6">
        <f>COUNTIF(Resp[27],B8)</f>
        <v>1</v>
      </c>
      <c r="D8" s="6">
        <f t="shared" si="1"/>
        <v>12.5</v>
      </c>
      <c r="E8" s="16">
        <f t="shared" si="0"/>
        <v>12.5</v>
      </c>
      <c r="G8" s="6"/>
      <c r="H8" s="6"/>
    </row>
    <row r="9" spans="1:12" x14ac:dyDescent="0.25">
      <c r="B9" s="5" t="s">
        <v>17</v>
      </c>
      <c r="C9" s="6">
        <f>COUNTIF(Resp[27],B9)</f>
        <v>1</v>
      </c>
      <c r="D9" s="6">
        <f t="shared" si="1"/>
        <v>12.5</v>
      </c>
      <c r="E9" s="16">
        <f t="shared" si="0"/>
        <v>12.5</v>
      </c>
      <c r="G9" s="6"/>
      <c r="H9" s="6"/>
    </row>
    <row r="10" spans="1:12" x14ac:dyDescent="0.25">
      <c r="B10" s="5" t="s">
        <v>18</v>
      </c>
      <c r="C10" s="6">
        <f>COUNTIF(Resp[27],B10)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6</v>
      </c>
      <c r="E19" s="34">
        <f>ROUND(D19/SUM(D19:D22)*100,3)</f>
        <v>75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12.5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12.5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5" customWidth="1"/>
    <col min="2" max="2" width="21.42578125" style="5" customWidth="1"/>
    <col min="3" max="3" width="31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28</v>
      </c>
    </row>
    <row r="2" spans="1:12" x14ac:dyDescent="0.25">
      <c r="A2" s="6" t="str">
        <f>TEXT(A1,"00")</f>
        <v>28</v>
      </c>
      <c r="B2" s="6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5" t="s">
        <v>223</v>
      </c>
      <c r="B3" s="6" t="str">
        <f>VLOOKUP(A$2, Pós[], 4, FALSE)</f>
        <v>Alunos Pós-Graduação Stricto Sensu: Questão 28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COUNTIF(Resp[28],B6)</f>
        <v>6</v>
      </c>
      <c r="D6" s="6">
        <f>ROUND($C6/C$13*100,2)</f>
        <v>75</v>
      </c>
      <c r="E6" s="16">
        <f t="shared" ref="E6:E12" si="0">ROUND($C6/SUM($C$6:$C$12)*100,3)</f>
        <v>75</v>
      </c>
      <c r="G6" s="6"/>
      <c r="H6" s="6"/>
    </row>
    <row r="7" spans="1:12" x14ac:dyDescent="0.25">
      <c r="B7" s="5" t="s">
        <v>14</v>
      </c>
      <c r="C7" s="6">
        <f>COUNTIF(Resp[28],B7)</f>
        <v>2</v>
      </c>
      <c r="D7" s="6">
        <f t="shared" ref="D7:D12" si="1">ROUND($C7/C$13*100,2)</f>
        <v>25</v>
      </c>
      <c r="E7" s="16">
        <f t="shared" si="0"/>
        <v>25</v>
      </c>
      <c r="G7" s="6"/>
      <c r="H7" s="6"/>
    </row>
    <row r="8" spans="1:12" x14ac:dyDescent="0.25">
      <c r="B8" s="5" t="s">
        <v>16</v>
      </c>
      <c r="C8" s="6">
        <f>COUNTIF(Resp[28],B8)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 t="s">
        <v>237</v>
      </c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8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5" customWidth="1"/>
    <col min="2" max="2" width="17" style="5" customWidth="1"/>
    <col min="3" max="3" width="30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29</v>
      </c>
    </row>
    <row r="2" spans="1:12" x14ac:dyDescent="0.25">
      <c r="A2" s="6" t="str">
        <f>TEXT(A1,"00")</f>
        <v>29</v>
      </c>
      <c r="B2" s="6" t="str">
        <f>VLOOKUP(A$2, Pós[], 3, FALSE)</f>
        <v>Como você avalia o conjunto de disciplinas transversais da pós-graduação? [Duração das aulas]</v>
      </c>
    </row>
    <row r="3" spans="1:12" x14ac:dyDescent="0.25">
      <c r="A3" s="5" t="s">
        <v>223</v>
      </c>
      <c r="B3" s="6" t="str">
        <f>VLOOKUP(A$2, Pós[], 4, FALSE)</f>
        <v>Alunos Pós-Graduação Stricto Sensu: Questão 29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COUNTIF(Resp[29],B6)</f>
        <v>5</v>
      </c>
      <c r="D6" s="6">
        <f>ROUND($C6/C$13*100,2)</f>
        <v>62.5</v>
      </c>
      <c r="E6" s="16">
        <f t="shared" ref="E6:E12" si="0">ROUND($C6/SUM($C$6:$C$12)*100,3)</f>
        <v>62.5</v>
      </c>
      <c r="G6" s="6"/>
      <c r="H6" s="6"/>
    </row>
    <row r="7" spans="1:12" x14ac:dyDescent="0.25">
      <c r="B7" s="5" t="s">
        <v>14</v>
      </c>
      <c r="C7" s="6">
        <f>COUNTIF(Resp[29],B7)</f>
        <v>3</v>
      </c>
      <c r="D7" s="6">
        <f t="shared" ref="D7:D12" si="1">ROUND($C7/C$13*100,2)</f>
        <v>37.5</v>
      </c>
      <c r="E7" s="16">
        <f t="shared" si="0"/>
        <v>37.5</v>
      </c>
      <c r="G7" s="6"/>
      <c r="H7" s="6"/>
    </row>
    <row r="8" spans="1:12" x14ac:dyDescent="0.25">
      <c r="B8" s="5" t="s">
        <v>16</v>
      </c>
      <c r="C8" s="6">
        <f>COUNTIF(Resp[29],B8)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COUNTIF(Resp[29],B9)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COUNTIF(Resp[29],B10)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COUNTIF(Resp[29],B11)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COUNTIF(Resp[29],B12)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8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20.5703125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30</v>
      </c>
    </row>
    <row r="2" spans="1:12" x14ac:dyDescent="0.25">
      <c r="A2" s="6" t="str">
        <f>TEXT(A1,"00")</f>
        <v>30</v>
      </c>
      <c r="B2" s="6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30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COUNTIF(Resp[30],B6)</f>
        <v>3</v>
      </c>
      <c r="D6" s="6">
        <f t="shared" ref="D6:D12" si="0">ROUND($C6/C$13*100,2)</f>
        <v>37.5</v>
      </c>
      <c r="E6" s="16">
        <f t="shared" ref="E6:E12" si="1">ROUND($C6/SUM($C$7:$C$12)*100,3)</f>
        <v>60</v>
      </c>
      <c r="G6" s="18"/>
      <c r="H6" s="18"/>
    </row>
    <row r="7" spans="1:12" x14ac:dyDescent="0.25">
      <c r="B7" s="5" t="s">
        <v>14</v>
      </c>
      <c r="C7" s="6">
        <f>COUNTIF(Resp[30],B7)</f>
        <v>3</v>
      </c>
      <c r="D7" s="6">
        <f t="shared" si="0"/>
        <v>37.5</v>
      </c>
      <c r="E7" s="16">
        <f t="shared" si="1"/>
        <v>60</v>
      </c>
      <c r="G7" s="6"/>
      <c r="H7" s="6"/>
    </row>
    <row r="8" spans="1:12" x14ac:dyDescent="0.25">
      <c r="B8" s="5" t="s">
        <v>16</v>
      </c>
      <c r="C8" s="6">
        <f>COUNTIF(Resp[30],B8)</f>
        <v>2</v>
      </c>
      <c r="D8" s="6">
        <f t="shared" si="0"/>
        <v>25</v>
      </c>
      <c r="E8" s="16">
        <f t="shared" si="1"/>
        <v>40</v>
      </c>
      <c r="G8" s="6"/>
      <c r="H8" s="6"/>
    </row>
    <row r="9" spans="1:12" x14ac:dyDescent="0.25">
      <c r="B9" s="5" t="s">
        <v>17</v>
      </c>
      <c r="C9" s="6">
        <f>COUNTIF(Resp[30],B9)</f>
        <v>0</v>
      </c>
      <c r="D9" s="6">
        <f t="shared" si="0"/>
        <v>0</v>
      </c>
      <c r="E9" s="16">
        <f t="shared" si="1"/>
        <v>0</v>
      </c>
      <c r="G9" s="6"/>
      <c r="H9" s="6"/>
    </row>
    <row r="10" spans="1:12" x14ac:dyDescent="0.25">
      <c r="B10" s="5" t="s">
        <v>18</v>
      </c>
      <c r="C10" s="6">
        <f>COUNTIF(Resp[30],B10)</f>
        <v>0</v>
      </c>
      <c r="D10" s="6">
        <f t="shared" si="0"/>
        <v>0</v>
      </c>
      <c r="E10" s="16">
        <f t="shared" si="1"/>
        <v>0</v>
      </c>
      <c r="G10" s="6"/>
      <c r="H10" s="6"/>
    </row>
    <row r="11" spans="1:12" x14ac:dyDescent="0.25">
      <c r="B11" s="5" t="s">
        <v>19</v>
      </c>
      <c r="C11" s="6">
        <f>COUNTIF(Resp[30],B11)</f>
        <v>0</v>
      </c>
      <c r="D11" s="6">
        <f t="shared" si="0"/>
        <v>0</v>
      </c>
      <c r="E11" s="16">
        <f t="shared" si="1"/>
        <v>0</v>
      </c>
      <c r="G11" s="6"/>
      <c r="H11" s="6"/>
    </row>
    <row r="12" spans="1:12" x14ac:dyDescent="0.25">
      <c r="B12" s="11" t="s">
        <v>20</v>
      </c>
      <c r="C12" s="58">
        <f>COUNTIF(Resp[30],B12)</f>
        <v>0</v>
      </c>
      <c r="D12" s="12">
        <f t="shared" si="0"/>
        <v>0</v>
      </c>
      <c r="E12" s="23">
        <f t="shared" si="1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SUM(D7:D12)</f>
        <v>62.5</v>
      </c>
      <c r="E13" s="14">
        <f>SUM(E7:E12)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SUM(C6:C7)</f>
        <v>6</v>
      </c>
      <c r="E19" s="34">
        <f>ROUND(D19/SUM(D19:D22)*100,3)</f>
        <v>75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25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5" customWidth="1"/>
    <col min="2" max="2" width="17" style="5" customWidth="1"/>
    <col min="3" max="3" width="31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31</v>
      </c>
    </row>
    <row r="2" spans="1:12" x14ac:dyDescent="0.25">
      <c r="A2" s="6" t="str">
        <f>TEXT(A1,"00")</f>
        <v>31</v>
      </c>
      <c r="B2" s="6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5" t="s">
        <v>223</v>
      </c>
      <c r="B3" s="6" t="str">
        <f>VLOOKUP(A$2, Pós[], 4, FALSE)</f>
        <v>Alunos Pós-Graduação Stricto Sensu: Questão 31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COUNTIF(Resp[31],B6)</f>
        <v>5</v>
      </c>
      <c r="D6" s="6">
        <f>ROUND($C6/C$13*100,2)</f>
        <v>62.5</v>
      </c>
      <c r="E6" s="16">
        <f t="shared" ref="E6:E12" si="0">ROUND($C6/SUM($C$6:$C$12)*100,3)</f>
        <v>62.5</v>
      </c>
      <c r="G6" s="6"/>
      <c r="H6" s="6"/>
    </row>
    <row r="7" spans="1:12" x14ac:dyDescent="0.25">
      <c r="B7" s="5" t="s">
        <v>14</v>
      </c>
      <c r="C7" s="6">
        <f>COUNTIF(Resp[31],B7)</f>
        <v>3</v>
      </c>
      <c r="D7" s="6">
        <f t="shared" ref="D7:D12" si="1">ROUND($C7/C$13*100,2)</f>
        <v>37.5</v>
      </c>
      <c r="E7" s="16">
        <f t="shared" si="0"/>
        <v>37.5</v>
      </c>
      <c r="G7" s="6"/>
      <c r="H7" s="6"/>
    </row>
    <row r="8" spans="1:12" x14ac:dyDescent="0.25">
      <c r="B8" s="5" t="s">
        <v>16</v>
      </c>
      <c r="C8" s="6">
        <f>COUNTIF(Resp[31],B8)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8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5" customWidth="1"/>
    <col min="2" max="2" width="24.7109375" style="5" customWidth="1"/>
    <col min="3" max="3" width="29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32</v>
      </c>
    </row>
    <row r="2" spans="1:12" x14ac:dyDescent="0.25">
      <c r="A2" s="6" t="str">
        <f>TEXT(A1,"00")</f>
        <v>32</v>
      </c>
      <c r="B2" s="6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5" t="s">
        <v>223</v>
      </c>
      <c r="B3" s="6" t="str">
        <f>VLOOKUP(A$2, Pós[], 4, FALSE)</f>
        <v>Alunos Pós-Graduação Stricto Sensu: Questão 32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COUNTIF(Resp[32],B6)</f>
        <v>6</v>
      </c>
      <c r="D6" s="6">
        <f>ROUND($C6/C$13*100,2)</f>
        <v>75</v>
      </c>
      <c r="E6" s="16">
        <f t="shared" ref="E6:E12" si="0">ROUND($C6/SUM($C$6:$C$12)*100,3)</f>
        <v>75</v>
      </c>
      <c r="G6" s="6"/>
      <c r="H6" s="6"/>
    </row>
    <row r="7" spans="1:12" x14ac:dyDescent="0.25">
      <c r="B7" s="5" t="s">
        <v>14</v>
      </c>
      <c r="C7" s="6">
        <f>COUNTIF(Resp[32],B7)</f>
        <v>1</v>
      </c>
      <c r="D7" s="6">
        <f t="shared" ref="D7:D12" si="1">ROUND($C7/C$13*100,2)</f>
        <v>12.5</v>
      </c>
      <c r="E7" s="16">
        <f t="shared" si="0"/>
        <v>12.5</v>
      </c>
      <c r="G7" s="6"/>
      <c r="H7" s="6"/>
    </row>
    <row r="8" spans="1:12" x14ac:dyDescent="0.25">
      <c r="B8" s="5" t="s">
        <v>16</v>
      </c>
      <c r="C8" s="6">
        <f>COUNTIF(Resp[32],B8)</f>
        <v>1</v>
      </c>
      <c r="D8" s="6">
        <f t="shared" si="1"/>
        <v>12.5</v>
      </c>
      <c r="E8" s="16">
        <f t="shared" si="0"/>
        <v>12.5</v>
      </c>
      <c r="G8" s="6"/>
      <c r="H8" s="6"/>
    </row>
    <row r="9" spans="1:12" x14ac:dyDescent="0.25">
      <c r="B9" s="5" t="s">
        <v>17</v>
      </c>
      <c r="C9" s="6">
        <f>COUNTIF(Resp[32],B9)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87.5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12.5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25.140625" style="5" customWidth="1"/>
    <col min="3" max="3" width="31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33</v>
      </c>
    </row>
    <row r="2" spans="1:12" x14ac:dyDescent="0.25">
      <c r="A2" s="6" t="str">
        <f>TEXT(A1,"00")</f>
        <v>33</v>
      </c>
      <c r="B2" s="6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33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COUNTIF(Resp[33],B6)</f>
        <v>4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COUNTIF(Resp[33],B7)</f>
        <v>4</v>
      </c>
      <c r="D7" s="6">
        <f t="shared" ref="D7:D12" si="1">ROUND($C7/C$13*100,2)</f>
        <v>50</v>
      </c>
      <c r="E7" s="16">
        <f t="shared" si="0"/>
        <v>50</v>
      </c>
      <c r="G7" s="6"/>
      <c r="H7" s="6"/>
    </row>
    <row r="8" spans="1:12" x14ac:dyDescent="0.25">
      <c r="B8" s="5" t="s">
        <v>16</v>
      </c>
      <c r="C8" s="6">
        <f>COUNTIF(Resp[33],B8)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COUNTIF(Resp[33],B12)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8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5" customWidth="1"/>
    <col min="2" max="2" width="27.85546875" style="5" customWidth="1"/>
    <col min="3" max="3" width="33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34</v>
      </c>
    </row>
    <row r="2" spans="1:12" x14ac:dyDescent="0.25">
      <c r="A2" s="6" t="str">
        <f>TEXT(A1,"00")</f>
        <v>34</v>
      </c>
      <c r="B2" s="6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5" t="s">
        <v>223</v>
      </c>
      <c r="B3" s="6" t="str">
        <f>VLOOKUP(A$2, Pós[], 4, FALSE)</f>
        <v>Alunos Pós-Graduação Stricto Sensu: Questão 34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COUNTIF(Resp[34],B6)</f>
        <v>5</v>
      </c>
      <c r="D6" s="6">
        <f>ROUND($C6/C$13*100,2)</f>
        <v>62.5</v>
      </c>
      <c r="E6" s="16">
        <f t="shared" ref="E6:E12" si="0">ROUND($C6/SUM($C$6:$C$12)*100,3)</f>
        <v>62.5</v>
      </c>
      <c r="G6" s="6"/>
      <c r="H6" s="6"/>
    </row>
    <row r="7" spans="1:12" x14ac:dyDescent="0.25">
      <c r="B7" s="5" t="s">
        <v>14</v>
      </c>
      <c r="C7" s="6">
        <f>COUNTIF(Resp[34],B7)</f>
        <v>3</v>
      </c>
      <c r="D7" s="6">
        <f t="shared" ref="D7:D12" si="1">ROUND($C7/C$13*100,2)</f>
        <v>37.5</v>
      </c>
      <c r="E7" s="16">
        <f t="shared" si="0"/>
        <v>37.5</v>
      </c>
      <c r="G7" s="6"/>
      <c r="H7" s="6"/>
    </row>
    <row r="8" spans="1:12" x14ac:dyDescent="0.25">
      <c r="B8" s="5" t="s">
        <v>16</v>
      </c>
      <c r="C8" s="6">
        <f>COUNTIF(Resp[34],B8)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8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3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8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5" customWidth="1"/>
    <col min="2" max="2" width="17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35</v>
      </c>
    </row>
    <row r="2" spans="1:12" x14ac:dyDescent="0.25">
      <c r="A2" s="6" t="str">
        <f>TEXT(A1,"00")</f>
        <v>35</v>
      </c>
      <c r="B2" s="6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5" t="s">
        <v>223</v>
      </c>
      <c r="B3" s="6" t="str">
        <f>VLOOKUP(A$2, Pós[], 4, FALSE)</f>
        <v>Alunos Pós-Graduação Stricto Sensu: Questão 35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COUNTIF(Resp[35],B6)</f>
        <v>9</v>
      </c>
      <c r="D6" s="6">
        <f>ROUND($C6/C$13*100,2)</f>
        <v>64.290000000000006</v>
      </c>
      <c r="E6" s="16">
        <f t="shared" ref="E6:E12" si="0">ROUND($C6/SUM($C$6:$C$12)*100,3)</f>
        <v>64.286000000000001</v>
      </c>
      <c r="G6" s="6"/>
      <c r="H6" s="6"/>
    </row>
    <row r="7" spans="1:12" x14ac:dyDescent="0.25">
      <c r="B7" s="5" t="s">
        <v>14</v>
      </c>
      <c r="C7" s="6">
        <f>COUNTIF(Resp[35],B7)</f>
        <v>4</v>
      </c>
      <c r="D7" s="6">
        <f t="shared" ref="D7:D12" si="1">ROUND($C7/C$13*100,2)</f>
        <v>28.57</v>
      </c>
      <c r="E7" s="16">
        <f t="shared" si="0"/>
        <v>28.571000000000002</v>
      </c>
      <c r="G7" s="6"/>
      <c r="H7" s="6"/>
    </row>
    <row r="8" spans="1:12" x14ac:dyDescent="0.25">
      <c r="B8" s="5" t="s">
        <v>16</v>
      </c>
      <c r="C8" s="6">
        <f>COUNTIF(Resp[35],B8)</f>
        <v>1</v>
      </c>
      <c r="D8" s="6">
        <f t="shared" si="1"/>
        <v>7.14</v>
      </c>
      <c r="E8" s="16">
        <f t="shared" si="0"/>
        <v>7.1429999999999998</v>
      </c>
      <c r="G8" s="6"/>
      <c r="H8" s="6"/>
    </row>
    <row r="9" spans="1:12" x14ac:dyDescent="0.25">
      <c r="B9" s="5" t="s">
        <v>17</v>
      </c>
      <c r="C9" s="6">
        <f>COUNTIF(Resp[35],B9)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COUNTIF(Resp[35],B11)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100.00000000000001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13</v>
      </c>
      <c r="E19" s="34">
        <f>ROUND(D19/SUM(D19:D22)*100,3)</f>
        <v>92.856999999999999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7.1429999999999998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5" customWidth="1"/>
    <col min="2" max="2" width="17.42578125" style="5" customWidth="1"/>
    <col min="3" max="3" width="30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36</v>
      </c>
    </row>
    <row r="2" spans="1:12" x14ac:dyDescent="0.25">
      <c r="A2" s="6" t="str">
        <f>TEXT(A1,"00")</f>
        <v>36</v>
      </c>
      <c r="B2" s="6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5" t="s">
        <v>223</v>
      </c>
      <c r="B3" s="6" t="str">
        <f>VLOOKUP(A$2, Pós[], 4, FALSE)</f>
        <v>Alunos Pós-Graduação Stricto Sensu: Questão 36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COUNTIF(Resp[36],B6)</f>
        <v>8</v>
      </c>
      <c r="D6" s="6">
        <f>ROUND($C6/C$13*100,2)</f>
        <v>57.14</v>
      </c>
      <c r="E6" s="16">
        <f t="shared" ref="E6:E12" si="0">ROUND($C6/SUM($C$6:$C$12)*100,3)</f>
        <v>57.143000000000001</v>
      </c>
      <c r="G6" s="6"/>
      <c r="H6" s="6"/>
    </row>
    <row r="7" spans="1:12" x14ac:dyDescent="0.25">
      <c r="B7" s="5" t="s">
        <v>14</v>
      </c>
      <c r="C7" s="6">
        <f>COUNTIF(Resp[36],B7)</f>
        <v>6</v>
      </c>
      <c r="D7" s="6">
        <f t="shared" ref="D7:D12" si="1">ROUND($C7/C$13*100,2)</f>
        <v>42.86</v>
      </c>
      <c r="E7" s="16">
        <f t="shared" si="0"/>
        <v>42.856999999999999</v>
      </c>
      <c r="G7" s="6"/>
      <c r="H7" s="6"/>
    </row>
    <row r="8" spans="1:12" x14ac:dyDescent="0.25">
      <c r="B8" s="5" t="s">
        <v>16</v>
      </c>
      <c r="C8" s="6">
        <f>COUNTIF(Resp[36],B8)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14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5" customWidth="1"/>
    <col min="2" max="2" width="17" style="5" customWidth="1"/>
    <col min="3" max="3" width="35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37</v>
      </c>
    </row>
    <row r="2" spans="1:12" x14ac:dyDescent="0.25">
      <c r="A2" s="6" t="str">
        <f>TEXT(A1,"00")</f>
        <v>37</v>
      </c>
      <c r="B2" s="6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5" t="s">
        <v>223</v>
      </c>
      <c r="B3" s="6" t="str">
        <f>VLOOKUP(A$2, Pós[], 4, FALSE)</f>
        <v>Alunos Pós-Graduação Stricto Sensu: Questão 37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COUNTIF(Resp[37],B6)</f>
        <v>7</v>
      </c>
      <c r="D6" s="6">
        <f>ROUND($C6/C$13*100,2)</f>
        <v>50</v>
      </c>
      <c r="E6" s="16">
        <f t="shared" ref="E6:E12" si="0">ROUND($C6/SUM($C$6:$C$12)*100,3)</f>
        <v>50</v>
      </c>
      <c r="G6" s="6"/>
      <c r="H6" s="6"/>
    </row>
    <row r="7" spans="1:12" x14ac:dyDescent="0.25">
      <c r="B7" s="5" t="s">
        <v>14</v>
      </c>
      <c r="C7" s="6">
        <f>COUNTIF(Resp[37],B7)</f>
        <v>6</v>
      </c>
      <c r="D7" s="6">
        <f t="shared" ref="D7:D12" si="1">ROUND($C7/C$13*100,2)</f>
        <v>42.86</v>
      </c>
      <c r="E7" s="16">
        <f t="shared" si="0"/>
        <v>42.856999999999999</v>
      </c>
      <c r="G7" s="6"/>
      <c r="H7" s="6"/>
    </row>
    <row r="8" spans="1:12" x14ac:dyDescent="0.25">
      <c r="B8" s="5" t="s">
        <v>16</v>
      </c>
      <c r="C8" s="6">
        <f>COUNTIF(Resp[37],B8)</f>
        <v>1</v>
      </c>
      <c r="D8" s="6">
        <f t="shared" si="1"/>
        <v>7.14</v>
      </c>
      <c r="E8" s="16">
        <f t="shared" si="0"/>
        <v>7.1429999999999998</v>
      </c>
      <c r="G8" s="6"/>
      <c r="H8" s="6"/>
    </row>
    <row r="9" spans="1:12" x14ac:dyDescent="0.25">
      <c r="B9" s="5" t="s">
        <v>17</v>
      </c>
      <c r="C9" s="6">
        <f>COUNTIF(Resp[37],B9)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13</v>
      </c>
      <c r="E19" s="34">
        <f>ROUND(D19/SUM(D19:D22)*100,3)</f>
        <v>92.856999999999999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7.1429999999999998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5" customWidth="1"/>
    <col min="2" max="2" width="21.5703125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38</v>
      </c>
    </row>
    <row r="2" spans="1:12" x14ac:dyDescent="0.25">
      <c r="A2" s="6" t="str">
        <f>TEXT(A1,"00")</f>
        <v>38</v>
      </c>
      <c r="B2" s="6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38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COUNTIF(Resp[38],B6)</f>
        <v>9</v>
      </c>
      <c r="D6" s="6">
        <f>ROUND($C6/C$13*100,2)</f>
        <v>64.290000000000006</v>
      </c>
      <c r="E6" s="16">
        <f t="shared" ref="E6:E12" si="0">ROUND($C6/SUM($C$6:$C$12)*100,3)</f>
        <v>64.286000000000001</v>
      </c>
    </row>
    <row r="7" spans="1:12" x14ac:dyDescent="0.25">
      <c r="B7" s="5" t="s">
        <v>14</v>
      </c>
      <c r="C7" s="6">
        <f>COUNTIF(Resp[38],B7)</f>
        <v>3</v>
      </c>
      <c r="D7" s="6">
        <f t="shared" ref="D7:D12" si="1">ROUND($C7/C$13*100,2)</f>
        <v>21.43</v>
      </c>
      <c r="E7" s="16">
        <f t="shared" si="0"/>
        <v>21.428999999999998</v>
      </c>
      <c r="G7" s="6"/>
      <c r="H7" s="6"/>
    </row>
    <row r="8" spans="1:12" x14ac:dyDescent="0.25">
      <c r="B8" s="5" t="s">
        <v>16</v>
      </c>
      <c r="C8" s="6">
        <f>COUNTIF(Resp[38],B8)</f>
        <v>1</v>
      </c>
      <c r="D8" s="6">
        <f t="shared" si="1"/>
        <v>7.14</v>
      </c>
      <c r="E8" s="16">
        <f t="shared" si="0"/>
        <v>7.1429999999999998</v>
      </c>
      <c r="G8" s="6"/>
      <c r="H8" s="6"/>
    </row>
    <row r="9" spans="1:12" x14ac:dyDescent="0.25">
      <c r="B9" s="5" t="s">
        <v>17</v>
      </c>
      <c r="C9" s="6">
        <f>COUNTIF(Resp[38],B9)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COUNTIF(Resp[38],B10)</f>
        <v>1</v>
      </c>
      <c r="D10" s="6">
        <f t="shared" si="1"/>
        <v>7.14</v>
      </c>
      <c r="E10" s="16">
        <f t="shared" si="0"/>
        <v>7.1429999999999998</v>
      </c>
      <c r="G10" s="6"/>
      <c r="H10" s="6"/>
    </row>
    <row r="11" spans="1:12" x14ac:dyDescent="0.25">
      <c r="B11" s="5" t="s">
        <v>19</v>
      </c>
      <c r="C11" s="6">
        <f>COUNTIF(Resp[38],B11)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COUNTIF(Resp[38],B12)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100</v>
      </c>
      <c r="E13" s="14">
        <f>SUM(E6:E12)</f>
        <v>100.001</v>
      </c>
      <c r="G13" s="6"/>
      <c r="H13" s="6"/>
    </row>
    <row r="14" spans="1:12" x14ac:dyDescent="0.25">
      <c r="D14" s="14"/>
      <c r="E14" s="14"/>
    </row>
    <row r="15" spans="1:12" x14ac:dyDescent="0.25">
      <c r="K15" s="14"/>
      <c r="L15" s="14"/>
    </row>
    <row r="16" spans="1:12" x14ac:dyDescent="0.25">
      <c r="B16" s="25"/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SUM(C6,C7)</f>
        <v>12</v>
      </c>
      <c r="E20" s="34">
        <f>ROUND(D20/SUM(D20:D23)*100,3)</f>
        <v>85.713999999999999</v>
      </c>
    </row>
    <row r="21" spans="2:5" x14ac:dyDescent="0.25">
      <c r="B21" s="31" t="s">
        <v>26</v>
      </c>
      <c r="C21" s="5" t="s">
        <v>16</v>
      </c>
      <c r="D21" s="5">
        <f>C8</f>
        <v>1</v>
      </c>
      <c r="E21" s="34">
        <f>ROUND(D21/SUM(D20:D23)*100,3)</f>
        <v>7.1429999999999998</v>
      </c>
    </row>
    <row r="22" spans="2:5" x14ac:dyDescent="0.25">
      <c r="B22" s="32" t="s">
        <v>234</v>
      </c>
      <c r="C22" s="5" t="s">
        <v>235</v>
      </c>
      <c r="D22" s="5">
        <f>SUM(C11:C12)</f>
        <v>0</v>
      </c>
      <c r="E22" s="34">
        <f>ROUND(D22/SUM(D20:D23)*100,3)</f>
        <v>0</v>
      </c>
    </row>
    <row r="23" spans="2:5" x14ac:dyDescent="0.25">
      <c r="B23" s="33" t="s">
        <v>24</v>
      </c>
      <c r="C23" s="11" t="s">
        <v>236</v>
      </c>
      <c r="D23" s="11">
        <f>SUM(C10:C11)</f>
        <v>1</v>
      </c>
      <c r="E23" s="35">
        <f>ROUND(D23/SUM(D20:D23)*100,3)</f>
        <v>7.1429999999999998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5" customWidth="1"/>
    <col min="2" max="2" width="18.42578125" style="5" customWidth="1"/>
    <col min="3" max="3" width="35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39</v>
      </c>
    </row>
    <row r="2" spans="1:12" x14ac:dyDescent="0.25">
      <c r="A2" s="6" t="str">
        <f>TEXT(A1,"00")</f>
        <v>39</v>
      </c>
      <c r="B2" s="6" t="str">
        <f>VLOOKUP(A$2, Pós[], 3, FALSE)</f>
        <v>Com relação ao seu curso de Pós-Graduação, como você avalia: [O planejamento]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39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COUNTIF(Resp[39],B6)</f>
        <v>9</v>
      </c>
      <c r="D6" s="6">
        <f>ROUND($C6/C$13*100,2)</f>
        <v>64.290000000000006</v>
      </c>
      <c r="E6" s="16">
        <f t="shared" ref="E6:E12" si="0">ROUND($C6/SUM($C$6:$C$12)*100,3)</f>
        <v>64.286000000000001</v>
      </c>
      <c r="G6" s="6"/>
      <c r="H6" s="6"/>
    </row>
    <row r="7" spans="1:12" x14ac:dyDescent="0.25">
      <c r="B7" s="5" t="s">
        <v>14</v>
      </c>
      <c r="C7" s="6">
        <f>COUNTIF(Resp[39],B7)</f>
        <v>5</v>
      </c>
      <c r="D7" s="6">
        <f t="shared" ref="D7:D12" si="1">ROUND($C7/C$13*100,2)</f>
        <v>35.71</v>
      </c>
      <c r="E7" s="16">
        <f t="shared" si="0"/>
        <v>35.713999999999999</v>
      </c>
      <c r="G7" s="6"/>
      <c r="H7" s="6"/>
    </row>
    <row r="8" spans="1:12" x14ac:dyDescent="0.25">
      <c r="B8" s="5" t="s">
        <v>16</v>
      </c>
      <c r="C8" s="6">
        <f>COUNTIF(Resp[39],B8)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COUNTIF(Resp[39],B9)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COUNTIF(Resp[39],B10)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COUNTIF(Resp[39],B11)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COUNTIF(Resp[39],B12)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14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5" customWidth="1"/>
    <col min="2" max="2" width="17" style="5" customWidth="1"/>
    <col min="3" max="3" width="31.140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40</v>
      </c>
    </row>
    <row r="2" spans="1:12" x14ac:dyDescent="0.25">
      <c r="A2" s="6" t="str">
        <f>TEXT(A1,"00")</f>
        <v>40</v>
      </c>
      <c r="B2" s="6" t="str">
        <f>VLOOKUP(A$2, Pós[], 3, FALSE)</f>
        <v>Com relação ao seu curso de Pós-Graduação, como você avalia: [O processo seletivo do programa]</v>
      </c>
    </row>
    <row r="3" spans="1:12" x14ac:dyDescent="0.25">
      <c r="A3" s="5" t="s">
        <v>223</v>
      </c>
      <c r="B3" s="6" t="str">
        <f>VLOOKUP(A$2, Pós[], 4, FALSE)</f>
        <v>Alunos Pós-Graduação Stricto Sensu: Questão 40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COUNTIF(Resp[40],B6)</f>
        <v>11</v>
      </c>
      <c r="D6" s="6">
        <f>ROUND($C6/C$13*100,2)</f>
        <v>78.569999999999993</v>
      </c>
      <c r="E6" s="16">
        <f t="shared" ref="E6:E12" si="0">ROUND($C6/SUM($C$6:$C$12)*100,3)</f>
        <v>78.570999999999998</v>
      </c>
      <c r="G6" s="6"/>
      <c r="H6" s="6"/>
    </row>
    <row r="7" spans="1:12" x14ac:dyDescent="0.25">
      <c r="B7" s="5" t="s">
        <v>14</v>
      </c>
      <c r="C7" s="6">
        <f>COUNTIF(Resp[40],B7)</f>
        <v>2</v>
      </c>
      <c r="D7" s="6">
        <f t="shared" ref="D7:D12" si="1">ROUND($C7/C$13*100,2)</f>
        <v>14.29</v>
      </c>
      <c r="E7" s="16">
        <f t="shared" si="0"/>
        <v>14.286</v>
      </c>
      <c r="G7" s="6"/>
      <c r="H7" s="6"/>
    </row>
    <row r="8" spans="1:12" x14ac:dyDescent="0.25">
      <c r="B8" s="5" t="s">
        <v>16</v>
      </c>
      <c r="C8" s="6">
        <f>COUNTIF(Resp[40],B8)</f>
        <v>1</v>
      </c>
      <c r="D8" s="6">
        <f t="shared" si="1"/>
        <v>7.14</v>
      </c>
      <c r="E8" s="16">
        <f t="shared" si="0"/>
        <v>7.1429999999999998</v>
      </c>
      <c r="G8" s="6"/>
      <c r="H8" s="6"/>
    </row>
    <row r="9" spans="1:12" x14ac:dyDescent="0.25">
      <c r="B9" s="5" t="s">
        <v>17</v>
      </c>
      <c r="C9" s="6">
        <f>COUNTIF(Resp[40],B9)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COUNTIF(Resp[40],B12)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99.999999999999986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13</v>
      </c>
      <c r="E19" s="34">
        <f>ROUND(D19/SUM(D19:D22)*100,3)</f>
        <v>92.856999999999999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7.1429999999999998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5" customWidth="1"/>
    <col min="2" max="2" width="17" style="5" customWidth="1"/>
    <col min="3" max="3" width="29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41</v>
      </c>
    </row>
    <row r="2" spans="1:12" x14ac:dyDescent="0.25">
      <c r="A2" s="6" t="str">
        <f>TEXT(A1,"00")</f>
        <v>41</v>
      </c>
      <c r="B2" s="6" t="str">
        <f>VLOOKUP(A$2, Pós[], 3, FALSE)</f>
        <v>Com relação ao seu curso de Pós-Graduação, como você avalia: [O regimento]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41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COUNTIF(Resp[41],B6)</f>
        <v>9</v>
      </c>
      <c r="D6" s="6">
        <f>ROUND($C6/C$13*100,2)</f>
        <v>64.290000000000006</v>
      </c>
      <c r="E6" s="16">
        <f t="shared" ref="E6:E12" si="0">ROUND($C6/SUM($C$6:$C$12)*100,3)</f>
        <v>64.286000000000001</v>
      </c>
      <c r="G6" s="6"/>
      <c r="H6" s="6"/>
    </row>
    <row r="7" spans="1:12" x14ac:dyDescent="0.25">
      <c r="B7" s="5" t="s">
        <v>14</v>
      </c>
      <c r="C7" s="6">
        <f>COUNTIF(Resp[41],B7)</f>
        <v>5</v>
      </c>
      <c r="D7" s="6">
        <f t="shared" ref="D7:D12" si="1">ROUND($C7/C$13*100,2)</f>
        <v>35.71</v>
      </c>
      <c r="E7" s="16">
        <f t="shared" si="0"/>
        <v>35.713999999999999</v>
      </c>
      <c r="G7" s="6"/>
      <c r="H7" s="6"/>
    </row>
    <row r="8" spans="1:12" x14ac:dyDescent="0.25">
      <c r="B8" s="5" t="s">
        <v>16</v>
      </c>
      <c r="C8" s="6">
        <f>COUNTIF(Resp[41],B8)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COUNTIF(Resp[41],B9)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COUNTIF(Resp[41],B10)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COUNTIF(Resp[41],B11)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COUNTIF(Resp[41],B12)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14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5" customWidth="1"/>
    <col min="2" max="2" width="17" style="5" customWidth="1"/>
    <col min="3" max="3" width="33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42</v>
      </c>
    </row>
    <row r="2" spans="1:12" x14ac:dyDescent="0.25">
      <c r="A2" s="6" t="str">
        <f>TEXT(A1,"00")</f>
        <v>42</v>
      </c>
      <c r="B2" s="6" t="str">
        <f>VLOOKUP(A$2, Pós[], 3, FALSE)</f>
        <v>Com relação à oferta de bolsas para a pós-graduação, como você avalia: [A divulgação]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42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COUNTIF(Resp[42],B6)</f>
        <v>5</v>
      </c>
      <c r="D6" s="6">
        <f>ROUND($C6/C$13*100,2)</f>
        <v>35.71</v>
      </c>
      <c r="E6" s="16">
        <f t="shared" ref="E6:E12" si="0">ROUND($C6/SUM($C$6:$C$12)*100,3)</f>
        <v>35.713999999999999</v>
      </c>
    </row>
    <row r="7" spans="1:12" x14ac:dyDescent="0.25">
      <c r="B7" s="5" t="s">
        <v>14</v>
      </c>
      <c r="C7" s="6">
        <f>COUNTIF(Resp[42],B7)</f>
        <v>6</v>
      </c>
      <c r="D7" s="6">
        <f t="shared" ref="D7:D12" si="1">ROUND($C7/C$13*100,2)</f>
        <v>42.86</v>
      </c>
      <c r="E7" s="16">
        <f t="shared" si="0"/>
        <v>42.856999999999999</v>
      </c>
      <c r="G7" s="6"/>
      <c r="H7" s="6"/>
    </row>
    <row r="8" spans="1:12" x14ac:dyDescent="0.25">
      <c r="B8" s="5" t="s">
        <v>16</v>
      </c>
      <c r="C8" s="6">
        <f>COUNTIF(Resp[42],B8)</f>
        <v>3</v>
      </c>
      <c r="D8" s="6">
        <f t="shared" si="1"/>
        <v>21.43</v>
      </c>
      <c r="E8" s="16">
        <f t="shared" si="0"/>
        <v>21.428999999999998</v>
      </c>
      <c r="G8" s="6"/>
      <c r="H8" s="6"/>
    </row>
    <row r="9" spans="1:12" x14ac:dyDescent="0.25">
      <c r="B9" s="5" t="s">
        <v>17</v>
      </c>
      <c r="C9" s="6">
        <f>COUNTIF(Resp[42],B9)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COUNTIF(Resp[42],B10)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COUNTIF(Resp[42],B11)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COUNTIF(Resp[42],B12)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100</v>
      </c>
      <c r="E13" s="14">
        <f>SUM(E6:E12)</f>
        <v>100</v>
      </c>
      <c r="G13" s="6"/>
      <c r="H13" s="6"/>
    </row>
    <row r="14" spans="1:12" x14ac:dyDescent="0.25">
      <c r="D14" s="14"/>
      <c r="E14" s="14"/>
    </row>
    <row r="15" spans="1:12" x14ac:dyDescent="0.25">
      <c r="K15" s="14"/>
      <c r="L15" s="14"/>
    </row>
    <row r="16" spans="1:12" x14ac:dyDescent="0.25">
      <c r="B16" s="25"/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SUM(C6,C7)</f>
        <v>11</v>
      </c>
      <c r="E20" s="34">
        <f>ROUND(D20/SUM(D20:D23)*100,3)</f>
        <v>78.570999999999998</v>
      </c>
    </row>
    <row r="21" spans="2:5" x14ac:dyDescent="0.25">
      <c r="B21" s="31" t="s">
        <v>26</v>
      </c>
      <c r="C21" s="5" t="s">
        <v>16</v>
      </c>
      <c r="D21" s="5">
        <f>C8</f>
        <v>3</v>
      </c>
      <c r="E21" s="34">
        <f>ROUND(D21/SUM(D20:D23)*100,3)</f>
        <v>21.428999999999998</v>
      </c>
    </row>
    <row r="22" spans="2:5" x14ac:dyDescent="0.25">
      <c r="B22" s="32" t="s">
        <v>234</v>
      </c>
      <c r="C22" s="5" t="s">
        <v>235</v>
      </c>
      <c r="D22" s="5">
        <f>SUM(C11,C12)</f>
        <v>0</v>
      </c>
      <c r="E22" s="34">
        <f>ROUND(D22/SUM(D20:D23)*100,3)</f>
        <v>0</v>
      </c>
    </row>
    <row r="23" spans="2:5" x14ac:dyDescent="0.25">
      <c r="B23" s="33" t="s">
        <v>24</v>
      </c>
      <c r="C23" s="11" t="s">
        <v>236</v>
      </c>
      <c r="D23" s="11">
        <f>SUM(C9:C10)</f>
        <v>0</v>
      </c>
      <c r="E23" s="35">
        <f>ROUND(D23/SUM(D20:D23)*100,3)</f>
        <v>0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5" customWidth="1"/>
    <col min="2" max="2" width="21" style="5" customWidth="1"/>
    <col min="3" max="3" width="32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43</v>
      </c>
    </row>
    <row r="2" spans="1:12" x14ac:dyDescent="0.25">
      <c r="A2" s="6" t="str">
        <f>TEXT(A1,"00")</f>
        <v>43</v>
      </c>
      <c r="B2" s="6" t="str">
        <f>VLOOKUP(A$2, Pós[], 3, FALSE)</f>
        <v>Com relação à oferta de bolsas para a pós-graduação, como você avalia: [Os critérios de seleção]</v>
      </c>
    </row>
    <row r="3" spans="1:12" x14ac:dyDescent="0.25">
      <c r="A3" s="5" t="s">
        <v>223</v>
      </c>
      <c r="B3" s="6" t="str">
        <f>VLOOKUP(A$2, Pós[], 4, FALSE)</f>
        <v>Alunos Pós-Graduação Stricto Sensu: Questão 43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COUNTIF(Resp[43],B6)</f>
        <v>6</v>
      </c>
      <c r="D6" s="6">
        <f>ROUND($C6/C$13*100,2)</f>
        <v>42.86</v>
      </c>
      <c r="E6" s="16">
        <f t="shared" ref="E6:E12" si="0">ROUND($C6/SUM($C$6:$C$12)*100,3)</f>
        <v>42.856999999999999</v>
      </c>
      <c r="G6" s="6"/>
      <c r="H6" s="6"/>
    </row>
    <row r="7" spans="1:12" x14ac:dyDescent="0.25">
      <c r="B7" s="5" t="s">
        <v>14</v>
      </c>
      <c r="C7" s="6">
        <f>COUNTIF(Resp[43],B7)</f>
        <v>5</v>
      </c>
      <c r="D7" s="6">
        <f t="shared" ref="D7:D12" si="1">ROUND($C7/C$13*100,2)</f>
        <v>35.71</v>
      </c>
      <c r="E7" s="16">
        <f t="shared" si="0"/>
        <v>35.713999999999999</v>
      </c>
      <c r="G7" s="6"/>
      <c r="H7" s="6"/>
    </row>
    <row r="8" spans="1:12" x14ac:dyDescent="0.25">
      <c r="B8" s="5" t="s">
        <v>16</v>
      </c>
      <c r="C8" s="6">
        <f>COUNTIF(Resp[43],B8)</f>
        <v>3</v>
      </c>
      <c r="D8" s="6">
        <f t="shared" si="1"/>
        <v>21.43</v>
      </c>
      <c r="E8" s="16">
        <f t="shared" si="0"/>
        <v>21.428999999999998</v>
      </c>
      <c r="G8" s="6"/>
      <c r="H8" s="6"/>
    </row>
    <row r="9" spans="1:12" x14ac:dyDescent="0.25">
      <c r="B9" s="5" t="s">
        <v>17</v>
      </c>
      <c r="C9" s="6">
        <f>COUNTIF(Resp[43],B9)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COUNTIF(Resp[43],B10)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COUNTIF(Resp[43],B11)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COUNTIF(Resp[43],B12)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11</v>
      </c>
      <c r="E19" s="34">
        <f>ROUND(D19/SUM(D19:D22)*100,3)</f>
        <v>78.570999999999998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21.428999999999998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5" customWidth="1"/>
    <col min="2" max="2" width="20.85546875" style="5" customWidth="1"/>
    <col min="3" max="3" width="32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44</v>
      </c>
    </row>
    <row r="2" spans="1:12" x14ac:dyDescent="0.25">
      <c r="A2" s="6" t="str">
        <f>TEXT(A1,"00")</f>
        <v>44</v>
      </c>
      <c r="B2" s="6" t="str">
        <f>VLOOKUP(A$2, Pós[], 3, FALSE)</f>
        <v>Com relação à oferta de bolsas para a pós-graduação, como você avalia: [A disponibilidade]</v>
      </c>
    </row>
    <row r="3" spans="1:12" x14ac:dyDescent="0.25">
      <c r="A3" s="5" t="s">
        <v>223</v>
      </c>
      <c r="B3" s="6" t="str">
        <f>VLOOKUP(A$2, Pós[], 4, FALSE)</f>
        <v>Alunos Pós-Graduação Stricto Sensu: Questão 44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COUNTIF(Resp[44],B6)</f>
        <v>4</v>
      </c>
      <c r="D6" s="6">
        <f>ROUND($C6/C$13*100,2)</f>
        <v>28.57</v>
      </c>
      <c r="E6" s="16">
        <f t="shared" ref="E6:E12" si="0">ROUND($C6/SUM($C$6:$C$12)*100,3)</f>
        <v>28.571000000000002</v>
      </c>
      <c r="G6" s="6"/>
      <c r="H6" s="6"/>
    </row>
    <row r="7" spans="1:12" x14ac:dyDescent="0.25">
      <c r="B7" s="5" t="s">
        <v>14</v>
      </c>
      <c r="C7" s="6">
        <f>COUNTIF(Resp[44],B7)</f>
        <v>6</v>
      </c>
      <c r="D7" s="6">
        <f t="shared" ref="D7:D12" si="1">ROUND($C7/C$13*100,2)</f>
        <v>42.86</v>
      </c>
      <c r="E7" s="16">
        <f t="shared" si="0"/>
        <v>42.856999999999999</v>
      </c>
      <c r="G7" s="6"/>
      <c r="H7" s="6"/>
    </row>
    <row r="8" spans="1:12" x14ac:dyDescent="0.25">
      <c r="B8" s="5" t="s">
        <v>16</v>
      </c>
      <c r="C8" s="6">
        <f>COUNTIF(Resp[44],B8)</f>
        <v>4</v>
      </c>
      <c r="D8" s="6">
        <f t="shared" si="1"/>
        <v>28.57</v>
      </c>
      <c r="E8" s="16">
        <f t="shared" si="0"/>
        <v>28.571000000000002</v>
      </c>
      <c r="G8" s="6"/>
      <c r="H8" s="6"/>
    </row>
    <row r="9" spans="1:12" x14ac:dyDescent="0.25">
      <c r="B9" s="5" t="s">
        <v>17</v>
      </c>
      <c r="C9" s="6">
        <f>COUNTIF(Resp[44],B9)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COUNTIF(Resp[44],B11)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100</v>
      </c>
      <c r="E13" s="14">
        <f>SUM(E6:E12)</f>
        <v>99.998999999999995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10</v>
      </c>
      <c r="E19" s="34">
        <f>ROUND(D19/SUM(D19:D22)*100,3)</f>
        <v>71.429000000000002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28.571000000000002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5" customWidth="1"/>
    <col min="2" max="2" width="17" style="5" customWidth="1"/>
    <col min="3" max="3" width="36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45</v>
      </c>
    </row>
    <row r="2" spans="1:12" x14ac:dyDescent="0.25">
      <c r="A2" s="6" t="str">
        <f>TEXT(A1,"00")</f>
        <v>45</v>
      </c>
      <c r="B2" s="6" t="str">
        <f>VLOOKUP(A$2, Pós[], 3, FALSE)</f>
        <v>Com relação à oferta de bolsas para a pós-graduação, como você avalia: [O valor]</v>
      </c>
    </row>
    <row r="3" spans="1:12" x14ac:dyDescent="0.25">
      <c r="A3" s="5" t="s">
        <v>223</v>
      </c>
      <c r="B3" s="6" t="str">
        <f>VLOOKUP(A$2, Pós[], 4, FALSE)</f>
        <v>Alunos Pós-Graduação Stricto Sensu: Questão 45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COUNTIF(Resp[45],B6)</f>
        <v>3</v>
      </c>
      <c r="D6" s="6">
        <f>ROUND($C6/C$13*100,2)</f>
        <v>21.43</v>
      </c>
      <c r="E6" s="16">
        <f t="shared" ref="E6:E12" si="0">ROUND($C6/SUM($C$6:$C$12)*100,3)</f>
        <v>21.428999999999998</v>
      </c>
      <c r="G6" s="6"/>
      <c r="H6" s="6"/>
    </row>
    <row r="7" spans="1:12" x14ac:dyDescent="0.25">
      <c r="B7" s="5" t="s">
        <v>14</v>
      </c>
      <c r="C7" s="6">
        <f>COUNTIF(Resp[45],B7)</f>
        <v>4</v>
      </c>
      <c r="D7" s="6">
        <f t="shared" ref="D7:D12" si="1">ROUND($C7/C$13*100,2)</f>
        <v>28.57</v>
      </c>
      <c r="E7" s="16">
        <f t="shared" si="0"/>
        <v>28.571000000000002</v>
      </c>
      <c r="G7" s="6"/>
      <c r="H7" s="6"/>
    </row>
    <row r="8" spans="1:12" x14ac:dyDescent="0.25">
      <c r="B8" s="5" t="s">
        <v>16</v>
      </c>
      <c r="C8" s="6">
        <f>COUNTIF(Resp[45],B8)</f>
        <v>4</v>
      </c>
      <c r="D8" s="6">
        <f t="shared" si="1"/>
        <v>28.57</v>
      </c>
      <c r="E8" s="16">
        <f t="shared" si="0"/>
        <v>28.571000000000002</v>
      </c>
      <c r="G8" s="6"/>
      <c r="H8" s="6"/>
    </row>
    <row r="9" spans="1:12" x14ac:dyDescent="0.25">
      <c r="B9" s="5" t="s">
        <v>17</v>
      </c>
      <c r="C9" s="6">
        <f>COUNTIF(Resp[45],B9)</f>
        <v>1</v>
      </c>
      <c r="D9" s="6">
        <f t="shared" si="1"/>
        <v>7.14</v>
      </c>
      <c r="E9" s="16">
        <f t="shared" si="0"/>
        <v>7.1429999999999998</v>
      </c>
      <c r="G9" s="6"/>
      <c r="H9" s="6"/>
    </row>
    <row r="10" spans="1:12" x14ac:dyDescent="0.25">
      <c r="B10" s="5" t="s">
        <v>18</v>
      </c>
      <c r="C10" s="6">
        <f>COUNTIF(Resp[45],B10)</f>
        <v>1</v>
      </c>
      <c r="D10" s="6">
        <f t="shared" si="1"/>
        <v>7.14</v>
      </c>
      <c r="E10" s="16">
        <f t="shared" si="0"/>
        <v>7.1429999999999998</v>
      </c>
      <c r="G10" s="6"/>
      <c r="H10" s="6"/>
    </row>
    <row r="11" spans="1:12" x14ac:dyDescent="0.25">
      <c r="B11" s="5" t="s">
        <v>19</v>
      </c>
      <c r="C11" s="6">
        <f>COUNTIF(Resp[45],B11)</f>
        <v>1</v>
      </c>
      <c r="D11" s="6">
        <f t="shared" si="1"/>
        <v>7.14</v>
      </c>
      <c r="E11" s="16">
        <f t="shared" si="0"/>
        <v>7.1429999999999998</v>
      </c>
      <c r="G11" s="6"/>
      <c r="H11" s="6"/>
    </row>
    <row r="12" spans="1:12" x14ac:dyDescent="0.25">
      <c r="B12" s="11" t="s">
        <v>20</v>
      </c>
      <c r="C12" s="12">
        <f>COUNTIF(Resp[45],B12)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99.99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28.571000000000002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7.1429999999999998</v>
      </c>
    </row>
    <row r="22" spans="2:5" x14ac:dyDescent="0.25">
      <c r="B22" s="33" t="s">
        <v>24</v>
      </c>
      <c r="C22" s="11" t="s">
        <v>236</v>
      </c>
      <c r="D22" s="11">
        <f>SUM(C9:C10)</f>
        <v>2</v>
      </c>
      <c r="E22" s="35">
        <f>ROUND(D22/SUM(D19:D22)*100,3)</f>
        <v>14.286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5" customWidth="1"/>
    <col min="2" max="2" width="17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46</v>
      </c>
    </row>
    <row r="2" spans="1:12" x14ac:dyDescent="0.25">
      <c r="A2" s="6" t="str">
        <f>TEXT(A1,"00")</f>
        <v>46</v>
      </c>
      <c r="B2" s="6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5" t="s">
        <v>223</v>
      </c>
      <c r="B3" s="6" t="str">
        <f>VLOOKUP(A$2, Pós[], 4, FALSE)</f>
        <v>Alunos Pós-Graduação Stricto Sensu: Questão 46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COUNTIF(Resp[46],B6)</f>
        <v>6</v>
      </c>
      <c r="D6" s="6">
        <f>ROUND($C6/C$13*100,2)</f>
        <v>42.86</v>
      </c>
      <c r="E6" s="16">
        <f t="shared" ref="E6:E12" si="0">ROUND($C6/SUM($C$6:$C$12)*100,3)</f>
        <v>42.856999999999999</v>
      </c>
      <c r="G6" s="6"/>
      <c r="H6" s="6"/>
    </row>
    <row r="7" spans="1:12" x14ac:dyDescent="0.25">
      <c r="B7" s="5" t="s">
        <v>14</v>
      </c>
      <c r="C7" s="6">
        <f>COUNTIF(Resp[46],B7)</f>
        <v>3</v>
      </c>
      <c r="D7" s="6">
        <f t="shared" ref="D7:D12" si="1">ROUND($C7/C$13*100,2)</f>
        <v>21.43</v>
      </c>
      <c r="E7" s="16">
        <f t="shared" si="0"/>
        <v>21.428999999999998</v>
      </c>
      <c r="G7" s="6"/>
      <c r="H7" s="6"/>
    </row>
    <row r="8" spans="1:12" x14ac:dyDescent="0.25">
      <c r="B8" s="5" t="s">
        <v>16</v>
      </c>
      <c r="C8" s="6">
        <f>COUNTIF(Resp[46],B8)</f>
        <v>5</v>
      </c>
      <c r="D8" s="6">
        <f t="shared" si="1"/>
        <v>35.71</v>
      </c>
      <c r="E8" s="16">
        <f t="shared" si="0"/>
        <v>35.713999999999999</v>
      </c>
      <c r="G8" s="6"/>
      <c r="H8" s="6"/>
    </row>
    <row r="9" spans="1:12" x14ac:dyDescent="0.25">
      <c r="B9" s="5" t="s">
        <v>17</v>
      </c>
      <c r="C9" s="6">
        <f>COUNTIF(Resp[46],B9)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COUNTIF(Resp[46],B10)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COUNTIF(Resp[46],B11)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9</v>
      </c>
      <c r="E19" s="34">
        <f>ROUND(D19/SUM(D19:D22)*100,3)</f>
        <v>64.286000000000001</v>
      </c>
    </row>
    <row r="20" spans="2:5" x14ac:dyDescent="0.25">
      <c r="B20" s="31" t="s">
        <v>26</v>
      </c>
      <c r="C20" s="5" t="s">
        <v>16</v>
      </c>
      <c r="D20" s="5">
        <f>C8</f>
        <v>5</v>
      </c>
      <c r="E20" s="34">
        <f>ROUND(D20/SUM(D19:D22)*100,3)</f>
        <v>35.713999999999999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5" customWidth="1"/>
    <col min="2" max="2" width="17" style="5" customWidth="1"/>
    <col min="3" max="3" width="30.28515625" style="5" customWidth="1"/>
    <col min="4" max="4" width="12.140625" style="5" customWidth="1"/>
    <col min="5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47</v>
      </c>
    </row>
    <row r="2" spans="1:12" x14ac:dyDescent="0.25">
      <c r="A2" s="6" t="str">
        <f>TEXT(A1,"00")</f>
        <v>47</v>
      </c>
      <c r="B2" s="6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5" t="s">
        <v>223</v>
      </c>
      <c r="B3" s="6" t="str">
        <f>VLOOKUP(A$2, Pós[], 4, FALSE)</f>
        <v>Alunos Pós-Graduação Stricto Sensu: Questão 47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COUNTIF(Resp[47],B6)</f>
        <v>6</v>
      </c>
      <c r="D6" s="6">
        <f>ROUND($C6/C$13*100,2)</f>
        <v>42.86</v>
      </c>
      <c r="E6" s="16">
        <f t="shared" ref="E6:E12" si="0">ROUND($C6/SUM($C$6:$C$12)*100,3)</f>
        <v>42.856999999999999</v>
      </c>
      <c r="G6" s="6"/>
      <c r="H6" s="6"/>
    </row>
    <row r="7" spans="1:12" x14ac:dyDescent="0.25">
      <c r="B7" s="5" t="s">
        <v>14</v>
      </c>
      <c r="C7" s="6">
        <f>COUNTIF(Resp[47],B7)</f>
        <v>4</v>
      </c>
      <c r="D7" s="6">
        <f t="shared" ref="D7:D12" si="1">ROUND($C7/C$13*100,2)</f>
        <v>28.57</v>
      </c>
      <c r="E7" s="16">
        <f t="shared" si="0"/>
        <v>28.571000000000002</v>
      </c>
      <c r="G7" s="6"/>
      <c r="H7" s="6"/>
    </row>
    <row r="8" spans="1:12" x14ac:dyDescent="0.25">
      <c r="B8" s="5" t="s">
        <v>16</v>
      </c>
      <c r="C8" s="6">
        <f>COUNTIF(Resp[47],B8)</f>
        <v>3</v>
      </c>
      <c r="D8" s="6">
        <f t="shared" si="1"/>
        <v>21.43</v>
      </c>
      <c r="E8" s="16">
        <f t="shared" si="0"/>
        <v>21.428999999999998</v>
      </c>
      <c r="G8" s="6"/>
      <c r="H8" s="6"/>
    </row>
    <row r="9" spans="1:12" x14ac:dyDescent="0.25">
      <c r="B9" s="5" t="s">
        <v>17</v>
      </c>
      <c r="C9" s="6">
        <f>COUNTIF(Resp[47],B9)</f>
        <v>1</v>
      </c>
      <c r="D9" s="6">
        <f t="shared" si="1"/>
        <v>7.14</v>
      </c>
      <c r="E9" s="16">
        <f t="shared" si="0"/>
        <v>7.1429999999999998</v>
      </c>
      <c r="G9" s="6"/>
      <c r="H9" s="6"/>
    </row>
    <row r="10" spans="1:12" x14ac:dyDescent="0.25">
      <c r="B10" s="5" t="s">
        <v>18</v>
      </c>
      <c r="C10" s="6">
        <f>COUNTIF(Resp[47],B10)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COUNTIF(Resp[47],B11)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COUNTIF(Resp[47],B12)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100.00000000000001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10</v>
      </c>
      <c r="E19" s="34">
        <f>ROUND(D19/SUM(D19:D22)*100,3)</f>
        <v>71.429000000000002</v>
      </c>
    </row>
    <row r="20" spans="2:5" x14ac:dyDescent="0.25">
      <c r="B20" s="31" t="s">
        <v>26</v>
      </c>
      <c r="C20" s="5" t="s">
        <v>16</v>
      </c>
      <c r="D20" s="5">
        <f>C8</f>
        <v>3</v>
      </c>
      <c r="E20" s="34">
        <f>ROUND(D20/SUM(D19:D22)*100,3)</f>
        <v>21.428999999999998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7.1429999999999998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5" customWidth="1"/>
    <col min="2" max="2" width="23.140625" style="5" customWidth="1"/>
    <col min="3" max="3" width="29.71093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48</v>
      </c>
    </row>
    <row r="2" spans="1:12" x14ac:dyDescent="0.25">
      <c r="A2" s="6" t="str">
        <f>TEXT(A1,"00")</f>
        <v>48</v>
      </c>
      <c r="B2" s="6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5" t="s">
        <v>223</v>
      </c>
      <c r="B3" s="6" t="str">
        <f>VLOOKUP(A$2, Pós[], 4, FALSE)</f>
        <v>Alunos Pós-Graduação Stricto Sensu: Questão 48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COUNTIF(Resp[48],B6)</f>
        <v>1</v>
      </c>
      <c r="D6" s="6">
        <f>ROUND($C6/C$13*100,2)</f>
        <v>7.14</v>
      </c>
      <c r="E6" s="16">
        <f t="shared" ref="E6:E12" si="0">ROUND($C6/SUM($C$6:$C$12)*100,3)</f>
        <v>7.1429999999999998</v>
      </c>
      <c r="G6" s="6"/>
      <c r="H6" s="6"/>
    </row>
    <row r="7" spans="1:12" x14ac:dyDescent="0.25">
      <c r="B7" s="5" t="s">
        <v>14</v>
      </c>
      <c r="C7" s="6">
        <f>COUNTIF(Resp[48],B7)</f>
        <v>4</v>
      </c>
      <c r="D7" s="6">
        <f t="shared" ref="D7:D12" si="1">ROUND($C7/C$13*100,2)</f>
        <v>28.57</v>
      </c>
      <c r="E7" s="16">
        <f t="shared" si="0"/>
        <v>28.571000000000002</v>
      </c>
      <c r="G7" s="6"/>
      <c r="H7" s="6"/>
    </row>
    <row r="8" spans="1:12" x14ac:dyDescent="0.25">
      <c r="B8" s="5" t="s">
        <v>16</v>
      </c>
      <c r="C8" s="6">
        <f>COUNTIF(Resp[48],B8)</f>
        <v>4</v>
      </c>
      <c r="D8" s="6">
        <f t="shared" si="1"/>
        <v>28.57</v>
      </c>
      <c r="E8" s="16">
        <f t="shared" si="0"/>
        <v>28.571000000000002</v>
      </c>
      <c r="G8" s="6"/>
      <c r="H8" s="6"/>
    </row>
    <row r="9" spans="1:12" x14ac:dyDescent="0.25">
      <c r="B9" s="5" t="s">
        <v>17</v>
      </c>
      <c r="C9" s="6">
        <f>COUNTIF(Resp[48],B9)</f>
        <v>1</v>
      </c>
      <c r="D9" s="6">
        <f t="shared" si="1"/>
        <v>7.14</v>
      </c>
      <c r="E9" s="16">
        <f t="shared" si="0"/>
        <v>7.1429999999999998</v>
      </c>
      <c r="G9" s="6"/>
      <c r="H9" s="6"/>
    </row>
    <row r="10" spans="1:12" x14ac:dyDescent="0.25">
      <c r="B10" s="5" t="s">
        <v>18</v>
      </c>
      <c r="C10" s="6">
        <f>COUNTIF(Resp[48],B10)</f>
        <v>2</v>
      </c>
      <c r="D10" s="6">
        <f t="shared" si="1"/>
        <v>14.29</v>
      </c>
      <c r="E10" s="16">
        <f t="shared" si="0"/>
        <v>14.286</v>
      </c>
      <c r="G10" s="6"/>
      <c r="H10" s="6"/>
    </row>
    <row r="11" spans="1:12" x14ac:dyDescent="0.25">
      <c r="B11" s="5" t="s">
        <v>19</v>
      </c>
      <c r="C11" s="6">
        <f>COUNTIF(Resp[48],B11)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COUNTIF(Resp[48],B12)</f>
        <v>2</v>
      </c>
      <c r="D12" s="12">
        <f t="shared" si="1"/>
        <v>14.29</v>
      </c>
      <c r="E12" s="23">
        <f t="shared" si="0"/>
        <v>14.286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5</v>
      </c>
      <c r="E19" s="34">
        <f>ROUND(D19/SUM(D19:D22)*100,3)</f>
        <v>35.713999999999999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28.571000000000002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14.286</v>
      </c>
    </row>
    <row r="22" spans="2:5" x14ac:dyDescent="0.25">
      <c r="B22" s="33" t="s">
        <v>24</v>
      </c>
      <c r="C22" s="11" t="s">
        <v>236</v>
      </c>
      <c r="D22" s="11">
        <f>SUM(C9:C10)</f>
        <v>3</v>
      </c>
      <c r="E22" s="35">
        <f>ROUND(D22/SUM(D19:D22)*100,3)</f>
        <v>21.428999999999998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5" customWidth="1"/>
    <col min="2" max="2" width="17" style="5" customWidth="1"/>
    <col min="3" max="3" width="30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49</v>
      </c>
    </row>
    <row r="2" spans="1:12" x14ac:dyDescent="0.25">
      <c r="A2" s="6" t="str">
        <f>TEXT(A1,"00")</f>
        <v>49</v>
      </c>
      <c r="B2" s="6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5" t="s">
        <v>223</v>
      </c>
      <c r="B3" s="6" t="str">
        <f>VLOOKUP(A$2, Pós[], 4, FALSE)</f>
        <v>Alunos Pós-Graduação Stricto Sensu: Questão 49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COUNTIF(Resp[49],B6)</f>
        <v>0</v>
      </c>
      <c r="D6" s="6">
        <f>ROUND($C6/C$13*100,2)</f>
        <v>0</v>
      </c>
      <c r="E6" s="16">
        <f t="shared" ref="E6:E12" si="0">ROUND($C6/SUM($C$6:$C$12)*100,3)</f>
        <v>0</v>
      </c>
      <c r="G6" s="6"/>
      <c r="H6" s="6"/>
    </row>
    <row r="7" spans="1:12" x14ac:dyDescent="0.25">
      <c r="B7" s="5" t="s">
        <v>14</v>
      </c>
      <c r="C7" s="6">
        <f>COUNTIF(Resp[49],B7)</f>
        <v>1</v>
      </c>
      <c r="D7" s="6">
        <f t="shared" ref="D7:D12" si="1">ROUND($C7/C$13*100,2)</f>
        <v>7.14</v>
      </c>
      <c r="E7" s="16">
        <f t="shared" si="0"/>
        <v>7.1429999999999998</v>
      </c>
      <c r="G7" s="6"/>
      <c r="H7" s="6"/>
    </row>
    <row r="8" spans="1:12" x14ac:dyDescent="0.25">
      <c r="B8" s="5" t="s">
        <v>16</v>
      </c>
      <c r="C8" s="6">
        <f>COUNTIF(Resp[49],B8)</f>
        <v>4</v>
      </c>
      <c r="D8" s="6">
        <f t="shared" si="1"/>
        <v>28.57</v>
      </c>
      <c r="E8" s="16">
        <f t="shared" si="0"/>
        <v>28.571000000000002</v>
      </c>
      <c r="G8" s="6"/>
      <c r="H8" s="6"/>
    </row>
    <row r="9" spans="1:12" x14ac:dyDescent="0.25">
      <c r="B9" s="5" t="s">
        <v>17</v>
      </c>
      <c r="C9" s="6">
        <f>COUNTIF(Resp[49],B9)</f>
        <v>2</v>
      </c>
      <c r="D9" s="6">
        <f t="shared" si="1"/>
        <v>14.29</v>
      </c>
      <c r="E9" s="16">
        <f t="shared" si="0"/>
        <v>14.286</v>
      </c>
      <c r="G9" s="6"/>
      <c r="H9" s="6"/>
    </row>
    <row r="10" spans="1:12" x14ac:dyDescent="0.25">
      <c r="B10" s="5" t="s">
        <v>18</v>
      </c>
      <c r="C10" s="6">
        <f>COUNTIF(Resp[49],B10)</f>
        <v>3</v>
      </c>
      <c r="D10" s="6">
        <f t="shared" si="1"/>
        <v>21.43</v>
      </c>
      <c r="E10" s="16">
        <f t="shared" si="0"/>
        <v>21.428999999999998</v>
      </c>
      <c r="G10" s="6"/>
      <c r="H10" s="6"/>
    </row>
    <row r="11" spans="1:12" x14ac:dyDescent="0.25">
      <c r="B11" s="5" t="s">
        <v>19</v>
      </c>
      <c r="C11" s="6">
        <f>COUNTIF(Resp[49],B11)</f>
        <v>1</v>
      </c>
      <c r="D11" s="6">
        <f t="shared" si="1"/>
        <v>7.14</v>
      </c>
      <c r="E11" s="16">
        <f t="shared" si="0"/>
        <v>7.1429999999999998</v>
      </c>
      <c r="G11" s="6"/>
      <c r="H11" s="6"/>
    </row>
    <row r="12" spans="1:12" x14ac:dyDescent="0.25">
      <c r="B12" s="11" t="s">
        <v>20</v>
      </c>
      <c r="C12" s="12">
        <f>COUNTIF(Resp[49],B12)</f>
        <v>3</v>
      </c>
      <c r="D12" s="12">
        <f t="shared" si="1"/>
        <v>21.43</v>
      </c>
      <c r="E12" s="23">
        <f t="shared" si="0"/>
        <v>21.428999999999998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100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</v>
      </c>
      <c r="E19" s="34">
        <f>ROUND(D19/SUM(D19:D22)*100,3)</f>
        <v>7.1429999999999998</v>
      </c>
    </row>
    <row r="20" spans="2:5" x14ac:dyDescent="0.25">
      <c r="B20" s="31" t="s">
        <v>26</v>
      </c>
      <c r="C20" s="5" t="s">
        <v>16</v>
      </c>
      <c r="D20" s="5">
        <f>C8</f>
        <v>4</v>
      </c>
      <c r="E20" s="34">
        <f>ROUND(D20/SUM(D19:D22)*100,3)</f>
        <v>28.571000000000002</v>
      </c>
    </row>
    <row r="21" spans="2:5" x14ac:dyDescent="0.25">
      <c r="B21" s="32" t="s">
        <v>234</v>
      </c>
      <c r="C21" s="5" t="s">
        <v>235</v>
      </c>
      <c r="D21" s="5">
        <f>SUM(C11,C12)</f>
        <v>4</v>
      </c>
      <c r="E21" s="34">
        <f>ROUND(D21/SUM(D19:D22)*100,3)</f>
        <v>28.571000000000002</v>
      </c>
    </row>
    <row r="22" spans="2:5" x14ac:dyDescent="0.25">
      <c r="B22" s="33" t="s">
        <v>24</v>
      </c>
      <c r="C22" s="11" t="s">
        <v>236</v>
      </c>
      <c r="D22" s="11">
        <f>SUM(C9:C10)</f>
        <v>5</v>
      </c>
      <c r="E22" s="35">
        <f>ROUND(D22/SUM(D19:D22)*100,3)</f>
        <v>35.713999999999999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5" customWidth="1"/>
    <col min="2" max="2" width="17" style="5" customWidth="1"/>
    <col min="3" max="3" width="34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50</v>
      </c>
    </row>
    <row r="2" spans="1:12" x14ac:dyDescent="0.25">
      <c r="A2" s="6" t="str">
        <f>TEXT(A1,"00")</f>
        <v>50</v>
      </c>
      <c r="B2" s="6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5" t="s">
        <v>223</v>
      </c>
      <c r="B3" s="6" t="str">
        <f>VLOOKUP(A$2, Pós[], 4, FALSE)</f>
        <v>Alunos Pós-Graduação Stricto Sensu: Questão 50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COUNTIF(Resp[50],B6)</f>
        <v>8</v>
      </c>
      <c r="D6" s="6">
        <f>ROUND($C6/C$13*100,2)</f>
        <v>57.14</v>
      </c>
      <c r="E6" s="16">
        <f t="shared" ref="E6:E12" si="0">ROUND($C6/SUM($C$6:$C$12)*100,3)</f>
        <v>57.143000000000001</v>
      </c>
      <c r="G6" s="6"/>
      <c r="H6" s="6"/>
    </row>
    <row r="7" spans="1:12" x14ac:dyDescent="0.25">
      <c r="B7" s="5" t="s">
        <v>14</v>
      </c>
      <c r="C7" s="6">
        <f>COUNTIF(Resp[50],B7)</f>
        <v>3</v>
      </c>
      <c r="D7" s="6">
        <f t="shared" ref="D7:D12" si="1">ROUND($C7/C$13*100,2)</f>
        <v>21.43</v>
      </c>
      <c r="E7" s="16">
        <f t="shared" si="0"/>
        <v>21.428999999999998</v>
      </c>
      <c r="G7" s="6"/>
      <c r="H7" s="6"/>
    </row>
    <row r="8" spans="1:12" x14ac:dyDescent="0.25">
      <c r="B8" s="5" t="s">
        <v>16</v>
      </c>
      <c r="C8" s="6">
        <f>COUNTIF(Resp[50],B8)</f>
        <v>2</v>
      </c>
      <c r="D8" s="6">
        <f t="shared" si="1"/>
        <v>14.29</v>
      </c>
      <c r="E8" s="16">
        <f t="shared" si="0"/>
        <v>14.286</v>
      </c>
      <c r="G8" s="6"/>
      <c r="H8" s="6"/>
    </row>
    <row r="9" spans="1:12" x14ac:dyDescent="0.25">
      <c r="B9" s="5" t="s">
        <v>17</v>
      </c>
      <c r="C9" s="6">
        <f>COUNTIF(Resp[50],B9)</f>
        <v>1</v>
      </c>
      <c r="D9" s="6">
        <f t="shared" si="1"/>
        <v>7.14</v>
      </c>
      <c r="E9" s="16">
        <f t="shared" si="0"/>
        <v>7.1429999999999998</v>
      </c>
      <c r="G9" s="6"/>
      <c r="H9" s="6"/>
    </row>
    <row r="10" spans="1:12" x14ac:dyDescent="0.25">
      <c r="B10" s="5" t="s">
        <v>18</v>
      </c>
      <c r="C10" s="6">
        <f>COUNTIF(Resp[50],B10)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12">
        <f>COUNTIF(Resp[50],B12)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99.999999999999986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11</v>
      </c>
      <c r="E19" s="34">
        <f>ROUND(D19/SUM(D19:D22)*100,3)</f>
        <v>78.570999999999998</v>
      </c>
    </row>
    <row r="20" spans="2:5" x14ac:dyDescent="0.25">
      <c r="B20" s="31" t="s">
        <v>26</v>
      </c>
      <c r="C20" s="5" t="s">
        <v>16</v>
      </c>
      <c r="D20" s="5">
        <f>C8</f>
        <v>2</v>
      </c>
      <c r="E20" s="34">
        <f>ROUND(D20/SUM(D19:D22)*100,3)</f>
        <v>14.286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1</v>
      </c>
      <c r="E22" s="35">
        <f>ROUND(D22/SUM(D19:D22)*100,3)</f>
        <v>7.1429999999999998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5" customWidth="1"/>
    <col min="2" max="2" width="17" style="5" customWidth="1"/>
    <col min="3" max="3" width="33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140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51</v>
      </c>
    </row>
    <row r="2" spans="1:12" x14ac:dyDescent="0.25">
      <c r="A2" s="6" t="str">
        <f>TEXT(A1,"00")</f>
        <v>51</v>
      </c>
      <c r="B2" s="6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5" t="s">
        <v>223</v>
      </c>
      <c r="B3" s="6" t="str">
        <f>VLOOKUP(A$2, Pós[], 4, FALSE)</f>
        <v>Alunos Pós-Graduação Stricto Sensu: Questão 51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COUNTIF(Resp[51],B6)</f>
        <v>3</v>
      </c>
      <c r="D6" s="6">
        <f>ROUND($C6/C$13*100,2)</f>
        <v>21.43</v>
      </c>
      <c r="E6" s="16">
        <f t="shared" ref="E6:E12" si="0">ROUND($C6/SUM($C$6:$C$12)*100,3)</f>
        <v>21.428999999999998</v>
      </c>
      <c r="G6" s="6"/>
      <c r="H6" s="6"/>
    </row>
    <row r="7" spans="1:12" x14ac:dyDescent="0.25">
      <c r="B7" s="5" t="s">
        <v>14</v>
      </c>
      <c r="C7" s="6">
        <f>COUNTIF(Resp[51],B7)</f>
        <v>5</v>
      </c>
      <c r="D7" s="6">
        <f t="shared" ref="D7:D12" si="1">ROUND($C7/C$13*100,2)</f>
        <v>35.71</v>
      </c>
      <c r="E7" s="16">
        <f t="shared" si="0"/>
        <v>35.713999999999999</v>
      </c>
      <c r="G7" s="6"/>
      <c r="H7" s="6"/>
    </row>
    <row r="8" spans="1:12" x14ac:dyDescent="0.25">
      <c r="B8" s="5" t="s">
        <v>16</v>
      </c>
      <c r="C8" s="6">
        <f>COUNTIF(Resp[51],B8)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COUNTIF(Resp[51],B9)</f>
        <v>3</v>
      </c>
      <c r="D9" s="6">
        <f t="shared" si="1"/>
        <v>21.43</v>
      </c>
      <c r="E9" s="16">
        <f t="shared" si="0"/>
        <v>21.428999999999998</v>
      </c>
      <c r="G9" s="6"/>
      <c r="H9" s="6"/>
    </row>
    <row r="10" spans="1:12" x14ac:dyDescent="0.25">
      <c r="B10" s="5" t="s">
        <v>18</v>
      </c>
      <c r="C10" s="6">
        <f>COUNTIF(Resp[51],B10)</f>
        <v>1</v>
      </c>
      <c r="D10" s="6">
        <f t="shared" si="1"/>
        <v>7.14</v>
      </c>
      <c r="E10" s="16">
        <f t="shared" si="0"/>
        <v>7.1429999999999998</v>
      </c>
      <c r="G10" s="6"/>
      <c r="H10" s="6"/>
    </row>
    <row r="11" spans="1:12" x14ac:dyDescent="0.25">
      <c r="B11" s="5" t="s">
        <v>19</v>
      </c>
      <c r="C11" s="6">
        <f>COUNTIF(Resp[51],B11)</f>
        <v>1</v>
      </c>
      <c r="D11" s="6">
        <f t="shared" si="1"/>
        <v>7.14</v>
      </c>
      <c r="E11" s="16">
        <f t="shared" si="0"/>
        <v>7.1429999999999998</v>
      </c>
      <c r="G11" s="6"/>
      <c r="H11" s="6"/>
    </row>
    <row r="12" spans="1:12" x14ac:dyDescent="0.25">
      <c r="B12" s="11" t="s">
        <v>20</v>
      </c>
      <c r="C12" s="12">
        <f>COUNTIF(Resp[51],B12)</f>
        <v>1</v>
      </c>
      <c r="D12" s="12">
        <f t="shared" si="1"/>
        <v>7.14</v>
      </c>
      <c r="E12" s="23">
        <f t="shared" si="0"/>
        <v>7.1429999999999998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99.99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8</v>
      </c>
      <c r="E19" s="34">
        <f>ROUND(D19/SUM(D19:D22)*100,3)</f>
        <v>57.143000000000001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14.286</v>
      </c>
    </row>
    <row r="22" spans="2:5" x14ac:dyDescent="0.25">
      <c r="B22" s="33" t="s">
        <v>24</v>
      </c>
      <c r="C22" s="11" t="s">
        <v>236</v>
      </c>
      <c r="D22" s="11">
        <f>SUM(C9:C10)</f>
        <v>4</v>
      </c>
      <c r="E22" s="35">
        <f>ROUND(D22/SUM(D19:D22)*100,3)</f>
        <v>28.571000000000002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5" customWidth="1"/>
    <col min="2" max="2" width="17" style="5" customWidth="1"/>
    <col min="3" max="3" width="31.285156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52</v>
      </c>
    </row>
    <row r="2" spans="1:12" x14ac:dyDescent="0.25">
      <c r="A2" s="6" t="str">
        <f>TEXT(A1,"00")</f>
        <v>52</v>
      </c>
      <c r="B2" s="6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5" t="s">
        <v>223</v>
      </c>
      <c r="B3" s="6" t="str">
        <f>VLOOKUP(A$2, Pós[], 4, FALSE)</f>
        <v>Alunos Pós-Graduação Stricto Sensu: Questão 52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COUNTIF(Resp[52],B6)</f>
        <v>1</v>
      </c>
      <c r="D6" s="6">
        <f>ROUND($C6/C$13*100,2)</f>
        <v>7.14</v>
      </c>
      <c r="E6" s="16">
        <f t="shared" ref="E6:E12" si="0">ROUND($C6/SUM($C$6:$C$12)*100,3)</f>
        <v>7.1429999999999998</v>
      </c>
      <c r="G6" s="6"/>
      <c r="H6" s="6"/>
    </row>
    <row r="7" spans="1:12" x14ac:dyDescent="0.25">
      <c r="B7" s="5" t="s">
        <v>14</v>
      </c>
      <c r="C7" s="6">
        <f>COUNTIF(Resp[52],B7)</f>
        <v>3</v>
      </c>
      <c r="D7" s="6">
        <f t="shared" ref="D7:D12" si="1">ROUND($C7/C$13*100,2)</f>
        <v>21.43</v>
      </c>
      <c r="E7" s="16">
        <f t="shared" si="0"/>
        <v>21.428999999999998</v>
      </c>
      <c r="G7" s="6"/>
      <c r="H7" s="6"/>
    </row>
    <row r="8" spans="1:12" x14ac:dyDescent="0.25">
      <c r="B8" s="5" t="s">
        <v>16</v>
      </c>
      <c r="C8" s="6">
        <f>COUNTIF(Resp[52],B8)</f>
        <v>1</v>
      </c>
      <c r="D8" s="6">
        <f t="shared" si="1"/>
        <v>7.14</v>
      </c>
      <c r="E8" s="16">
        <f t="shared" si="0"/>
        <v>7.1429999999999998</v>
      </c>
      <c r="G8" s="6"/>
      <c r="H8" s="6"/>
    </row>
    <row r="9" spans="1:12" x14ac:dyDescent="0.25">
      <c r="B9" s="5" t="s">
        <v>17</v>
      </c>
      <c r="C9" s="6">
        <f>COUNTIF(Resp[52],B9)</f>
        <v>2</v>
      </c>
      <c r="D9" s="6">
        <f t="shared" si="1"/>
        <v>14.29</v>
      </c>
      <c r="E9" s="16">
        <f t="shared" si="0"/>
        <v>14.286</v>
      </c>
      <c r="G9" s="6"/>
      <c r="H9" s="6"/>
    </row>
    <row r="10" spans="1:12" x14ac:dyDescent="0.25">
      <c r="B10" s="5" t="s">
        <v>18</v>
      </c>
      <c r="C10" s="6">
        <f>COUNTIF(Resp[52],B10)</f>
        <v>3</v>
      </c>
      <c r="D10" s="6">
        <f t="shared" si="1"/>
        <v>21.43</v>
      </c>
      <c r="E10" s="16">
        <f t="shared" si="0"/>
        <v>21.428999999999998</v>
      </c>
      <c r="G10" s="6"/>
      <c r="H10" s="6"/>
    </row>
    <row r="11" spans="1:12" x14ac:dyDescent="0.25">
      <c r="B11" s="5" t="s">
        <v>19</v>
      </c>
      <c r="C11" s="6">
        <f>COUNTIF(Resp[52],B11)</f>
        <v>2</v>
      </c>
      <c r="D11" s="6">
        <f t="shared" si="1"/>
        <v>14.29</v>
      </c>
      <c r="E11" s="16">
        <f t="shared" si="0"/>
        <v>14.286</v>
      </c>
      <c r="G11" s="6"/>
      <c r="H11" s="6"/>
    </row>
    <row r="12" spans="1:12" x14ac:dyDescent="0.25">
      <c r="B12" s="11" t="s">
        <v>20</v>
      </c>
      <c r="C12" s="12">
        <f>COUNTIF(Resp[52],B12)</f>
        <v>2</v>
      </c>
      <c r="D12" s="12">
        <f t="shared" si="1"/>
        <v>14.29</v>
      </c>
      <c r="E12" s="23">
        <f t="shared" si="0"/>
        <v>14.286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100.00999999999999</v>
      </c>
      <c r="E13" s="14">
        <f>SUM(E6:E12)</f>
        <v>100.002</v>
      </c>
    </row>
    <row r="14" spans="1:12" x14ac:dyDescent="0.25">
      <c r="K14" s="14"/>
      <c r="L14" s="14"/>
    </row>
    <row r="15" spans="1:12" x14ac:dyDescent="0.25">
      <c r="B15" s="2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4</v>
      </c>
      <c r="E19" s="34">
        <f>ROUND(D19/SUM(D19:D22)*100,3)</f>
        <v>28.571000000000002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7.1429999999999998</v>
      </c>
    </row>
    <row r="21" spans="2:5" x14ac:dyDescent="0.25">
      <c r="B21" s="32" t="s">
        <v>234</v>
      </c>
      <c r="C21" s="5" t="s">
        <v>235</v>
      </c>
      <c r="D21" s="5">
        <f>SUM(C11,C12)</f>
        <v>4</v>
      </c>
      <c r="E21" s="34">
        <f>ROUND(D21/SUM(D19:D22)*100,3)</f>
        <v>28.571000000000002</v>
      </c>
    </row>
    <row r="22" spans="2:5" x14ac:dyDescent="0.25">
      <c r="B22" s="33" t="s">
        <v>24</v>
      </c>
      <c r="C22" s="11" t="s">
        <v>236</v>
      </c>
      <c r="D22" s="11">
        <f>SUM(C9:C10)</f>
        <v>5</v>
      </c>
      <c r="E22" s="35">
        <f>ROUND(D22/SUM(D19:D22)*100,3)</f>
        <v>35.713999999999999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5" customWidth="1"/>
    <col min="2" max="2" width="17" style="5" customWidth="1"/>
    <col min="3" max="3" width="16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54</v>
      </c>
    </row>
    <row r="2" spans="1:12" x14ac:dyDescent="0.25">
      <c r="A2" s="6" t="str">
        <f>TEXT(A1,"00")</f>
        <v>54</v>
      </c>
      <c r="B2" s="6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54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COUNTIF(Resp[54],B6)</f>
        <v>9</v>
      </c>
      <c r="D6" s="6">
        <f>ROUND($C6/C$13*100,2)</f>
        <v>64.290000000000006</v>
      </c>
      <c r="E6" s="16">
        <f t="shared" ref="E6:E12" si="0">ROUND($C6/SUM($C$6:$C$12)*100,3)</f>
        <v>64.286000000000001</v>
      </c>
      <c r="G6" s="6"/>
      <c r="H6" s="6"/>
    </row>
    <row r="7" spans="1:12" x14ac:dyDescent="0.25">
      <c r="B7" s="5" t="s">
        <v>14</v>
      </c>
      <c r="C7" s="6">
        <f>COUNTIF(Resp[54],B7)</f>
        <v>3</v>
      </c>
      <c r="D7" s="6">
        <f t="shared" ref="D7:D12" si="1">ROUND($C7/C$13*100,2)</f>
        <v>21.43</v>
      </c>
      <c r="E7" s="16">
        <f t="shared" si="0"/>
        <v>21.428999999999998</v>
      </c>
      <c r="G7" s="6"/>
      <c r="H7" s="6"/>
    </row>
    <row r="8" spans="1:12" x14ac:dyDescent="0.25">
      <c r="B8" s="5" t="s">
        <v>16</v>
      </c>
      <c r="C8" s="6">
        <f>COUNTIF(Resp[54],B8)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COUNTIF(Resp[54],B9)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COUNTIF(Resp[54],B10)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COUNTIF(Resp[54],B11)</f>
        <v>2</v>
      </c>
      <c r="D11" s="6">
        <f t="shared" si="1"/>
        <v>14.29</v>
      </c>
      <c r="E11" s="16">
        <f t="shared" si="0"/>
        <v>14.286</v>
      </c>
      <c r="G11" s="6"/>
      <c r="H11" s="6"/>
    </row>
    <row r="12" spans="1:12" x14ac:dyDescent="0.25">
      <c r="B12" s="11" t="s">
        <v>20</v>
      </c>
      <c r="C12" s="6">
        <f>COUNTIF(Resp[54],B12)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100.00999999999999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59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85.713999999999999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14.286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5" customWidth="1"/>
    <col min="2" max="2" width="17" style="5" customWidth="1"/>
    <col min="3" max="3" width="16.85546875" style="5" customWidth="1"/>
    <col min="4" max="4" width="8.5703125" style="5" customWidth="1"/>
    <col min="5" max="5" width="10.42578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55</v>
      </c>
    </row>
    <row r="2" spans="1:12" x14ac:dyDescent="0.25">
      <c r="A2" s="6" t="str">
        <f>TEXT(A1,"00")</f>
        <v>55</v>
      </c>
      <c r="B2" s="6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5" t="s">
        <v>223</v>
      </c>
      <c r="B3" s="6" t="str">
        <f>VLOOKUP(A$2, Pós[], 4, FALSE)</f>
        <v>Alunos Pós-Graduação Stricto Sensu: Questão 55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COUNTIF(Resp[55],B6)</f>
        <v>11</v>
      </c>
      <c r="D6" s="6">
        <f>ROUND($C6/C$13*100,2)</f>
        <v>78.569999999999993</v>
      </c>
      <c r="E6" s="16">
        <f t="shared" ref="E6:E12" si="0">ROUND($C6/SUM($C$6:$C$12)*100,3)</f>
        <v>78.570999999999998</v>
      </c>
      <c r="G6" s="6"/>
      <c r="H6" s="6"/>
    </row>
    <row r="7" spans="1:12" x14ac:dyDescent="0.25">
      <c r="B7" s="5" t="s">
        <v>14</v>
      </c>
      <c r="C7" s="6">
        <f>COUNTIF(Resp[55],B7)</f>
        <v>1</v>
      </c>
      <c r="D7" s="6">
        <f t="shared" ref="D7:D12" si="1">ROUND($C7/C$13*100,2)</f>
        <v>7.14</v>
      </c>
      <c r="E7" s="16">
        <f t="shared" si="0"/>
        <v>7.1429999999999998</v>
      </c>
      <c r="G7" s="6"/>
      <c r="H7" s="6"/>
    </row>
    <row r="8" spans="1:12" x14ac:dyDescent="0.25">
      <c r="B8" s="5" t="s">
        <v>16</v>
      </c>
      <c r="C8" s="6">
        <f>COUNTIF(Resp[55],B8)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COUNTIF(Resp[55],B9)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COUNTIF(Resp[55],B10)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COUNTIF(Resp[55],B11)</f>
        <v>2</v>
      </c>
      <c r="D11" s="6">
        <f t="shared" si="1"/>
        <v>14.29</v>
      </c>
      <c r="E11" s="16">
        <f t="shared" si="0"/>
        <v>14.286</v>
      </c>
      <c r="G11" s="6"/>
      <c r="H11" s="6"/>
    </row>
    <row r="12" spans="1:12" x14ac:dyDescent="0.25">
      <c r="B12" s="11" t="s">
        <v>20</v>
      </c>
      <c r="C12" s="58">
        <f>COUNTIF(Resp[55],B12)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100</v>
      </c>
      <c r="E13" s="14">
        <f>SUM(E6:E12)</f>
        <v>100</v>
      </c>
    </row>
    <row r="14" spans="1:12" x14ac:dyDescent="0.25">
      <c r="B14" s="25"/>
      <c r="K14" s="14"/>
      <c r="L14" s="14"/>
    </row>
    <row r="15" spans="1:12" x14ac:dyDescent="0.25">
      <c r="B15" s="22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12</v>
      </c>
      <c r="E19" s="34">
        <f>ROUND(D19/SUM(D19:D22)*100,3)</f>
        <v>85.713999999999999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2</v>
      </c>
      <c r="E21" s="34">
        <f>ROUND(D21/SUM(D19:D22)*100,3)</f>
        <v>14.286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5" customWidth="1"/>
    <col min="2" max="2" width="17" style="5" customWidth="1"/>
    <col min="3" max="3" width="31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710937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56</v>
      </c>
    </row>
    <row r="2" spans="1:12" x14ac:dyDescent="0.25">
      <c r="A2" s="6" t="str">
        <f>TEXT(A1,"00")</f>
        <v>56</v>
      </c>
      <c r="B2" s="6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5" t="s">
        <v>223</v>
      </c>
      <c r="B3" s="6" t="str">
        <f>VLOOKUP(A$2, Pós[], 4, FALSE)</f>
        <v>Alunos Pós-Graduação Stricto Sensu: Questão 56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COUNTIF(Resp[56],B6)</f>
        <v>11</v>
      </c>
      <c r="D6" s="6">
        <f>ROUND($C6/C$13*100,2)</f>
        <v>78.569999999999993</v>
      </c>
      <c r="E6" s="16">
        <f t="shared" ref="E6:E12" si="0">ROUND($C6/SUM($C$6:$C$12)*100,3)</f>
        <v>78.570999999999998</v>
      </c>
      <c r="G6" s="6"/>
      <c r="H6" s="6"/>
    </row>
    <row r="7" spans="1:12" x14ac:dyDescent="0.25">
      <c r="B7" s="5" t="s">
        <v>14</v>
      </c>
      <c r="C7" s="6">
        <f>COUNTIF(Resp[56],B7)</f>
        <v>2</v>
      </c>
      <c r="D7" s="6">
        <f t="shared" ref="D7:D12" si="1">ROUND($C7/C$13*100,2)</f>
        <v>14.29</v>
      </c>
      <c r="E7" s="16">
        <f t="shared" si="0"/>
        <v>14.286</v>
      </c>
      <c r="G7" s="6"/>
      <c r="H7" s="6"/>
    </row>
    <row r="8" spans="1:12" x14ac:dyDescent="0.25">
      <c r="B8" s="5" t="s">
        <v>16</v>
      </c>
      <c r="C8" s="6">
        <f>COUNTIF(Resp[56],B8)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COUNTIF(Resp[56],B9)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COUNTIF(Resp[56],B10)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COUNTIF(Resp[56],B11)</f>
        <v>1</v>
      </c>
      <c r="D11" s="6">
        <f t="shared" si="1"/>
        <v>7.14</v>
      </c>
      <c r="E11" s="16">
        <f t="shared" si="0"/>
        <v>7.1429999999999998</v>
      </c>
      <c r="G11" s="6"/>
      <c r="H11" s="6"/>
    </row>
    <row r="12" spans="1:12" x14ac:dyDescent="0.25">
      <c r="B12" s="11" t="s">
        <v>20</v>
      </c>
      <c r="C12" s="58">
        <f>COUNTIF(Resp[56],B12)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99.999999999999986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15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13</v>
      </c>
      <c r="E19" s="34">
        <f>ROUND(D19/SUM(D19:D22)*100,3)</f>
        <v>92.856999999999999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1</v>
      </c>
      <c r="E21" s="34">
        <f>ROUND(D21/SUM(D19:D22)*100,3)</f>
        <v>7.1429999999999998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5" customWidth="1"/>
    <col min="2" max="2" width="23.42578125" style="5" customWidth="1"/>
    <col min="3" max="3" width="30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285156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57</v>
      </c>
    </row>
    <row r="2" spans="1:12" x14ac:dyDescent="0.25">
      <c r="A2" s="6" t="str">
        <f>TEXT(A1,"00")</f>
        <v>57</v>
      </c>
      <c r="B2" s="6" t="str">
        <f>VLOOKUP(A$2, Pós[], 3, FALSE)</f>
        <v>Avalie a qualidade do atendimento durante o ano de 2021 da: [PRPPG]</v>
      </c>
    </row>
    <row r="3" spans="1:12" x14ac:dyDescent="0.25">
      <c r="A3" s="5" t="s">
        <v>223</v>
      </c>
      <c r="B3" s="6" t="str">
        <f>VLOOKUP(A$2, Pós[], 4, FALSE)</f>
        <v>Alunos Pós-Graduação Stricto Sensu: Questão 57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238</v>
      </c>
      <c r="C6" s="6">
        <f>COUNTIF(Resp[57],B16)</f>
        <v>0</v>
      </c>
      <c r="D6" s="6">
        <f>ROUND($C6/C$14*100,2)</f>
        <v>0</v>
      </c>
      <c r="E6" s="10"/>
    </row>
    <row r="7" spans="1:12" x14ac:dyDescent="0.25">
      <c r="B7" s="5" t="s">
        <v>12</v>
      </c>
      <c r="C7" s="6">
        <f>COUNTIF(Resp[57],B7)</f>
        <v>10</v>
      </c>
      <c r="D7" s="6">
        <f>ROUND($C7/C$14*100,2)</f>
        <v>71.430000000000007</v>
      </c>
      <c r="E7" s="16">
        <f t="shared" ref="E7:E13" si="0">ROUND($C7/SUM($C$7:$C$13)*100,3)</f>
        <v>71.429000000000002</v>
      </c>
      <c r="G7" s="6"/>
      <c r="H7" s="6"/>
    </row>
    <row r="8" spans="1:12" x14ac:dyDescent="0.25">
      <c r="B8" s="5" t="s">
        <v>14</v>
      </c>
      <c r="C8" s="6">
        <f>COUNTIF(Resp[57],B8)</f>
        <v>2</v>
      </c>
      <c r="D8" s="6">
        <f t="shared" ref="D8:D13" si="1">ROUND($C8/C$14*100,2)</f>
        <v>14.29</v>
      </c>
      <c r="E8" s="16">
        <f t="shared" si="0"/>
        <v>14.286</v>
      </c>
      <c r="G8" s="6"/>
      <c r="H8" s="6"/>
    </row>
    <row r="9" spans="1:12" x14ac:dyDescent="0.25">
      <c r="B9" s="5" t="s">
        <v>16</v>
      </c>
      <c r="C9" s="6">
        <f>COUNTIF(Resp[57],B9)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17</v>
      </c>
      <c r="C10" s="6">
        <f>COUNTIF(Resp[57],B10)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18</v>
      </c>
      <c r="C11" s="6">
        <f>COUNTIF(Resp[57],B11)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5" t="s">
        <v>19</v>
      </c>
      <c r="C12" s="6">
        <f>COUNTIF(Resp[57],B12)</f>
        <v>2</v>
      </c>
      <c r="D12" s="6">
        <f t="shared" si="1"/>
        <v>14.29</v>
      </c>
      <c r="E12" s="16">
        <f t="shared" si="0"/>
        <v>14.286</v>
      </c>
      <c r="G12" s="6"/>
      <c r="H12" s="6"/>
    </row>
    <row r="13" spans="1:12" x14ac:dyDescent="0.25">
      <c r="B13" s="11" t="s">
        <v>20</v>
      </c>
      <c r="C13" s="12">
        <f>COUNTIF(Resp[57],B13)</f>
        <v>0</v>
      </c>
      <c r="D13" s="12">
        <f t="shared" si="1"/>
        <v>0</v>
      </c>
      <c r="E13" s="23">
        <f t="shared" si="0"/>
        <v>0</v>
      </c>
      <c r="G13" s="6"/>
      <c r="H13" s="6"/>
    </row>
    <row r="14" spans="1:12" x14ac:dyDescent="0.25">
      <c r="B14" s="5" t="s">
        <v>228</v>
      </c>
      <c r="C14" s="5">
        <f>SUM(C6:C13)</f>
        <v>14</v>
      </c>
      <c r="D14" s="14">
        <f>SUM(D6:D13)</f>
        <v>100.00999999999999</v>
      </c>
      <c r="E14" s="14">
        <f>SUM(E7:E13)</f>
        <v>100.001</v>
      </c>
    </row>
    <row r="15" spans="1:12" x14ac:dyDescent="0.25">
      <c r="K15" s="14"/>
      <c r="L15" s="14"/>
    </row>
    <row r="16" spans="1:12" x14ac:dyDescent="0.25">
      <c r="B16" s="60" t="s">
        <v>237</v>
      </c>
      <c r="C16" s="25"/>
      <c r="D16" s="26"/>
      <c r="E16" s="27"/>
    </row>
    <row r="17" spans="2:5" x14ac:dyDescent="0.25">
      <c r="B17" s="22"/>
      <c r="C17" s="22"/>
      <c r="D17" s="24"/>
      <c r="E17" s="36"/>
    </row>
    <row r="19" spans="2:5" x14ac:dyDescent="0.25">
      <c r="B19" s="29" t="s">
        <v>229</v>
      </c>
      <c r="C19" s="28" t="s">
        <v>230</v>
      </c>
      <c r="D19" s="28" t="s">
        <v>231</v>
      </c>
      <c r="E19" s="28" t="s">
        <v>232</v>
      </c>
    </row>
    <row r="20" spans="2:5" x14ac:dyDescent="0.25">
      <c r="B20" s="30" t="s">
        <v>27</v>
      </c>
      <c r="C20" s="5" t="s">
        <v>233</v>
      </c>
      <c r="D20" s="5">
        <f>SUM(C7,C8)</f>
        <v>12</v>
      </c>
      <c r="E20" s="34">
        <f>ROUND(D20/SUM(D20:D23)*100,3)</f>
        <v>85.713999999999999</v>
      </c>
    </row>
    <row r="21" spans="2:5" x14ac:dyDescent="0.25">
      <c r="B21" s="31" t="s">
        <v>26</v>
      </c>
      <c r="C21" s="5" t="s">
        <v>16</v>
      </c>
      <c r="D21" s="5">
        <f>C9</f>
        <v>0</v>
      </c>
      <c r="E21" s="34">
        <f>ROUND(D21/SUM(D20:D23)*100,3)</f>
        <v>0</v>
      </c>
    </row>
    <row r="22" spans="2:5" x14ac:dyDescent="0.25">
      <c r="B22" s="32" t="s">
        <v>234</v>
      </c>
      <c r="C22" s="5" t="s">
        <v>235</v>
      </c>
      <c r="D22" s="5">
        <f>SUM(C12,C13)</f>
        <v>2</v>
      </c>
      <c r="E22" s="34">
        <f>ROUND(D22/SUM(D20:D23)*100,3)</f>
        <v>14.286</v>
      </c>
    </row>
    <row r="23" spans="2:5" x14ac:dyDescent="0.25">
      <c r="B23" s="33" t="s">
        <v>24</v>
      </c>
      <c r="C23" s="11" t="s">
        <v>236</v>
      </c>
      <c r="D23" s="11">
        <f>SUM(C10:C11)</f>
        <v>0</v>
      </c>
      <c r="E23" s="35">
        <f>ROUND(D23/SUM(D20:D23)*100,3)</f>
        <v>0</v>
      </c>
    </row>
    <row r="24" spans="2:5" x14ac:dyDescent="0.25">
      <c r="E24" s="10"/>
    </row>
    <row r="25" spans="2:5" x14ac:dyDescent="0.25">
      <c r="B25" s="15"/>
      <c r="C25" s="15"/>
      <c r="D25" s="18"/>
    </row>
    <row r="27" spans="2:5" x14ac:dyDescent="0.25">
      <c r="D27" s="19"/>
      <c r="E27" s="20"/>
    </row>
    <row r="28" spans="2:5" x14ac:dyDescent="0.25">
      <c r="E28" s="20"/>
    </row>
    <row r="29" spans="2:5" x14ac:dyDescent="0.25">
      <c r="E29" s="20"/>
    </row>
    <row r="30" spans="2:5" x14ac:dyDescent="0.25">
      <c r="B30" s="15"/>
      <c r="C30" s="15"/>
    </row>
    <row r="32" spans="2:5" x14ac:dyDescent="0.25">
      <c r="B32" s="15"/>
      <c r="C32" s="15"/>
      <c r="D32" s="18"/>
    </row>
    <row r="33" spans="2:5" x14ac:dyDescent="0.25">
      <c r="D33" s="19"/>
      <c r="E33" s="20"/>
    </row>
    <row r="34" spans="2:5" x14ac:dyDescent="0.25">
      <c r="D34" s="19"/>
      <c r="E34" s="20"/>
    </row>
    <row r="35" spans="2:5" x14ac:dyDescent="0.25">
      <c r="E35" s="20"/>
    </row>
    <row r="36" spans="2:5" x14ac:dyDescent="0.25">
      <c r="E36" s="20"/>
    </row>
    <row r="37" spans="2:5" x14ac:dyDescent="0.25">
      <c r="B37" s="15"/>
      <c r="C37" s="15"/>
    </row>
    <row r="39" spans="2:5" x14ac:dyDescent="0.25">
      <c r="B39" s="15"/>
      <c r="C39" s="15"/>
      <c r="D39" s="18"/>
    </row>
    <row r="40" spans="2:5" x14ac:dyDescent="0.25">
      <c r="D40" s="19"/>
      <c r="E40" s="21"/>
    </row>
    <row r="41" spans="2:5" x14ac:dyDescent="0.25">
      <c r="D41" s="19"/>
      <c r="E41" s="21"/>
    </row>
    <row r="42" spans="2:5" x14ac:dyDescent="0.25">
      <c r="E42" s="21"/>
    </row>
    <row r="43" spans="2:5" x14ac:dyDescent="0.25">
      <c r="E43" s="21"/>
    </row>
    <row r="44" spans="2:5" x14ac:dyDescent="0.25">
      <c r="B44" s="15"/>
      <c r="C44" s="15"/>
    </row>
    <row r="46" spans="2:5" x14ac:dyDescent="0.25">
      <c r="B46" s="15"/>
      <c r="C46" s="15"/>
      <c r="D46" s="18"/>
    </row>
    <row r="47" spans="2:5" x14ac:dyDescent="0.25">
      <c r="D47" s="19"/>
      <c r="E47" s="20"/>
    </row>
    <row r="48" spans="2:5" x14ac:dyDescent="0.25">
      <c r="D48" s="19"/>
      <c r="E48" s="20"/>
    </row>
    <row r="49" spans="2:5" x14ac:dyDescent="0.25">
      <c r="E49" s="20"/>
    </row>
    <row r="50" spans="2:5" x14ac:dyDescent="0.25">
      <c r="E50" s="20"/>
    </row>
    <row r="51" spans="2:5" x14ac:dyDescent="0.25">
      <c r="B51" s="15"/>
      <c r="C51" s="15"/>
    </row>
    <row r="53" spans="2:5" x14ac:dyDescent="0.25">
      <c r="B53" s="15"/>
      <c r="C53" s="15"/>
      <c r="D53" s="18"/>
    </row>
    <row r="54" spans="2:5" x14ac:dyDescent="0.25">
      <c r="D54" s="19"/>
      <c r="E54" s="10"/>
    </row>
    <row r="55" spans="2:5" x14ac:dyDescent="0.25">
      <c r="D55" s="19"/>
      <c r="E55" s="10"/>
    </row>
    <row r="56" spans="2:5" x14ac:dyDescent="0.25">
      <c r="E56" s="10"/>
    </row>
    <row r="57" spans="2:5" x14ac:dyDescent="0.25">
      <c r="E57" s="10"/>
    </row>
    <row r="58" spans="2:5" x14ac:dyDescent="0.25">
      <c r="B58" s="15"/>
      <c r="C58" s="15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5" customWidth="1"/>
    <col min="2" max="2" width="17" style="5" customWidth="1"/>
    <col min="3" max="3" width="32.5703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42578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58</v>
      </c>
    </row>
    <row r="2" spans="1:12" x14ac:dyDescent="0.25">
      <c r="A2" s="6" t="str">
        <f>TEXT(A1,"00")</f>
        <v>58</v>
      </c>
      <c r="B2" s="6" t="str">
        <f>VLOOKUP(A$2, Pós[], 3, FALSE)</f>
        <v>Avalie a qualidade do atendimento durante o ano de 2021 da: [Biblioteca]</v>
      </c>
    </row>
    <row r="3" spans="1:12" x14ac:dyDescent="0.25">
      <c r="A3" s="5" t="s">
        <v>223</v>
      </c>
      <c r="B3" s="6" t="str">
        <f>VLOOKUP(A$2, Pós[], 4, FALSE)</f>
        <v>Alunos Pós-Graduação Stricto Sensu: Questão 58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COUNTIF(Resp[58],B6)</f>
        <v>5</v>
      </c>
      <c r="D6" s="6">
        <f>ROUND($C6/C$13*100,2)</f>
        <v>35.71</v>
      </c>
      <c r="E6" s="16">
        <f t="shared" ref="E6:E12" si="0">ROUND($C6/SUM($C$6:$C$12)*100,3)</f>
        <v>35.713999999999999</v>
      </c>
      <c r="G6" s="6"/>
      <c r="H6" s="6"/>
    </row>
    <row r="7" spans="1:12" x14ac:dyDescent="0.25">
      <c r="B7" s="5" t="s">
        <v>14</v>
      </c>
      <c r="C7" s="6">
        <f>COUNTIF(Resp[58],B7)</f>
        <v>2</v>
      </c>
      <c r="D7" s="6">
        <f t="shared" ref="D7:D12" si="1">ROUND($C7/C$13*100,2)</f>
        <v>14.29</v>
      </c>
      <c r="E7" s="16">
        <f t="shared" si="0"/>
        <v>14.286</v>
      </c>
      <c r="G7" s="6"/>
      <c r="H7" s="6"/>
    </row>
    <row r="8" spans="1:12" x14ac:dyDescent="0.25">
      <c r="B8" s="5" t="s">
        <v>16</v>
      </c>
      <c r="C8" s="6">
        <f>COUNTIF(Resp[58],B8)</f>
        <v>1</v>
      </c>
      <c r="D8" s="6">
        <f t="shared" si="1"/>
        <v>7.14</v>
      </c>
      <c r="E8" s="16">
        <f t="shared" si="0"/>
        <v>7.1429999999999998</v>
      </c>
      <c r="G8" s="6"/>
      <c r="H8" s="6"/>
    </row>
    <row r="9" spans="1:12" x14ac:dyDescent="0.25">
      <c r="B9" s="5" t="s">
        <v>17</v>
      </c>
      <c r="C9" s="6">
        <f>COUNTIF(Resp[58],B9)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COUNTIF(Resp[58],B10)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COUNTIF(Resp[58],B11)</f>
        <v>5</v>
      </c>
      <c r="D11" s="6">
        <f t="shared" si="1"/>
        <v>35.71</v>
      </c>
      <c r="E11" s="16">
        <f t="shared" si="0"/>
        <v>35.713999999999999</v>
      </c>
      <c r="G11" s="6"/>
      <c r="H11" s="6"/>
    </row>
    <row r="12" spans="1:12" x14ac:dyDescent="0.25">
      <c r="B12" s="11" t="s">
        <v>20</v>
      </c>
      <c r="C12" s="12">
        <f>COUNTIF(Resp[58],B12)</f>
        <v>1</v>
      </c>
      <c r="D12" s="12">
        <f t="shared" si="1"/>
        <v>7.14</v>
      </c>
      <c r="E12" s="23">
        <f t="shared" si="0"/>
        <v>7.1429999999999998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99.99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7</v>
      </c>
      <c r="E19" s="34">
        <f>ROUND(D19/SUM(D19:D22)*100,3)</f>
        <v>50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7.1429999999999998</v>
      </c>
    </row>
    <row r="21" spans="2:5" x14ac:dyDescent="0.25">
      <c r="B21" s="32" t="s">
        <v>234</v>
      </c>
      <c r="C21" s="5" t="s">
        <v>235</v>
      </c>
      <c r="D21" s="5">
        <f>SUM(C11,C12)</f>
        <v>6</v>
      </c>
      <c r="E21" s="34">
        <f>ROUND(D21/SUM(D19:D22)*100,3)</f>
        <v>42.856999999999999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5" customWidth="1"/>
    <col min="2" max="2" width="17" style="5" customWidth="1"/>
    <col min="3" max="3" width="32.4257812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.5703125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59</v>
      </c>
    </row>
    <row r="2" spans="1:12" x14ac:dyDescent="0.25">
      <c r="A2" s="6" t="str">
        <f>TEXT(A1,"00")</f>
        <v>59</v>
      </c>
      <c r="B2" s="6" t="str">
        <f>VLOOKUP(A$2, Pós[], 3, FALSE)</f>
        <v>Avalie este instrumento de pesquisa: [Abrangência dos temas]</v>
      </c>
    </row>
    <row r="3" spans="1:12" x14ac:dyDescent="0.25">
      <c r="A3" s="5" t="s">
        <v>223</v>
      </c>
      <c r="B3" s="6" t="str">
        <f>VLOOKUP(A$2, Pós[], 4, FALSE)</f>
        <v>Alunos Pós-Graduação Stricto Sensu: Questão 59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COUNTIF(Resp[59],B6)</f>
        <v>10</v>
      </c>
      <c r="D6" s="6">
        <f>ROUND($C6/C$13*100,2)</f>
        <v>71.430000000000007</v>
      </c>
      <c r="E6" s="16">
        <f t="shared" ref="E6:E12" si="0">ROUND($C6/SUM($C$6:$C$12)*100,3)</f>
        <v>71.429000000000002</v>
      </c>
      <c r="G6" s="6"/>
      <c r="H6" s="6"/>
    </row>
    <row r="7" spans="1:12" x14ac:dyDescent="0.25">
      <c r="B7" s="5" t="s">
        <v>14</v>
      </c>
      <c r="C7" s="6">
        <f>COUNTIF(Resp[59],B7)</f>
        <v>4</v>
      </c>
      <c r="D7" s="6">
        <f t="shared" ref="D7:D12" si="1">ROUND($C7/C$13*100,2)</f>
        <v>28.57</v>
      </c>
      <c r="E7" s="16">
        <f t="shared" si="0"/>
        <v>28.571000000000002</v>
      </c>
      <c r="G7" s="6"/>
      <c r="H7" s="6"/>
    </row>
    <row r="8" spans="1:12" x14ac:dyDescent="0.25">
      <c r="B8" s="5" t="s">
        <v>16</v>
      </c>
      <c r="C8" s="6">
        <f>COUNTIF(Resp[59],B8)</f>
        <v>0</v>
      </c>
      <c r="D8" s="6">
        <f t="shared" si="1"/>
        <v>0</v>
      </c>
      <c r="E8" s="16">
        <f t="shared" si="0"/>
        <v>0</v>
      </c>
      <c r="G8" s="6"/>
      <c r="H8" s="6"/>
    </row>
    <row r="9" spans="1:12" x14ac:dyDescent="0.25">
      <c r="B9" s="5" t="s">
        <v>17</v>
      </c>
      <c r="C9" s="6">
        <f>COUNTIF(Resp[59],B9)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COUNTIF(Resp[59],B10)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COUNTIF(Resp[59],B11)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COUNTIF(Resp[59],B12)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100</v>
      </c>
      <c r="E13" s="14">
        <f>SUM(E6:E12)</f>
        <v>100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14</v>
      </c>
      <c r="E19" s="34">
        <f>ROUND(D19/SUM(D19:D22)*100,3)</f>
        <v>100</v>
      </c>
    </row>
    <row r="20" spans="2:5" x14ac:dyDescent="0.25">
      <c r="B20" s="31" t="s">
        <v>26</v>
      </c>
      <c r="C20" s="5" t="s">
        <v>16</v>
      </c>
      <c r="D20" s="5">
        <f>C8</f>
        <v>0</v>
      </c>
      <c r="E20" s="34">
        <f>ROUND(D20/SUM(D19:D22)*100,3)</f>
        <v>0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D28" sqref="D28"/>
    </sheetView>
  </sheetViews>
  <sheetFormatPr defaultRowHeight="15" x14ac:dyDescent="0.25"/>
  <cols>
    <col min="1" max="1" width="8.28515625" style="5" customWidth="1"/>
    <col min="2" max="2" width="17" style="5" customWidth="1"/>
    <col min="3" max="3" width="30.85546875" style="5" customWidth="1"/>
    <col min="4" max="5" width="8.5703125" style="5" customWidth="1"/>
    <col min="6" max="6" width="3.7109375" style="5" customWidth="1"/>
    <col min="7" max="7" width="8.5703125" style="5" customWidth="1"/>
    <col min="8" max="8" width="4.42578125" style="5" customWidth="1"/>
    <col min="9" max="9" width="11.5703125" style="5" bestFit="1" customWidth="1"/>
    <col min="10" max="15" width="8.5703125" style="5" customWidth="1"/>
    <col min="16" max="16" width="3.7109375" style="5" customWidth="1"/>
    <col min="17" max="17" width="29" style="5" customWidth="1"/>
    <col min="18" max="20" width="9.140625" style="5"/>
    <col min="21" max="21" width="11.42578125" style="5" customWidth="1"/>
    <col min="22" max="16384" width="9.140625" style="5"/>
  </cols>
  <sheetData>
    <row r="1" spans="1:12" x14ac:dyDescent="0.25">
      <c r="A1" s="5">
        <v>60</v>
      </c>
    </row>
    <row r="2" spans="1:12" x14ac:dyDescent="0.25">
      <c r="A2" s="6" t="str">
        <f>TEXT(A1,"00")</f>
        <v>60</v>
      </c>
      <c r="B2" s="6" t="str">
        <f>VLOOKUP(A$2, Pós[], 3, FALSE)</f>
        <v>Avalie este instrumento de pesquisa: [Objetividade e clareza]</v>
      </c>
    </row>
    <row r="3" spans="1:12" x14ac:dyDescent="0.25">
      <c r="A3" s="5" t="s">
        <v>223</v>
      </c>
      <c r="B3" s="6" t="str">
        <f>VLOOKUP(A$2, Pós[], 4, FALSE)</f>
        <v>Alunos Pós-Graduação Stricto Sensu: Questão 60</v>
      </c>
    </row>
    <row r="4" spans="1:12" x14ac:dyDescent="0.25">
      <c r="B4" s="22"/>
    </row>
    <row r="5" spans="1:12" x14ac:dyDescent="0.25">
      <c r="B5" s="7" t="s">
        <v>224</v>
      </c>
      <c r="C5" s="7" t="s">
        <v>225</v>
      </c>
      <c r="D5" s="8" t="s">
        <v>226</v>
      </c>
      <c r="E5" s="8" t="s">
        <v>227</v>
      </c>
      <c r="G5" s="18"/>
      <c r="H5" s="18"/>
    </row>
    <row r="6" spans="1:12" x14ac:dyDescent="0.25">
      <c r="B6" s="5" t="s">
        <v>12</v>
      </c>
      <c r="C6" s="6">
        <f>COUNTIF(Resp[60],B6)</f>
        <v>10</v>
      </c>
      <c r="D6" s="6">
        <f>ROUND($C6/C$13*100,2)</f>
        <v>71.430000000000007</v>
      </c>
      <c r="E6" s="16">
        <f t="shared" ref="E6:E12" si="0">ROUND($C6/SUM($C$6:$C$12)*100,3)</f>
        <v>71.429000000000002</v>
      </c>
      <c r="G6" s="6"/>
      <c r="H6" s="6"/>
    </row>
    <row r="7" spans="1:12" x14ac:dyDescent="0.25">
      <c r="B7" s="5" t="s">
        <v>14</v>
      </c>
      <c r="C7" s="6">
        <f>COUNTIF(Resp[60],B7)</f>
        <v>3</v>
      </c>
      <c r="D7" s="6">
        <f t="shared" ref="D7:D12" si="1">ROUND($C7/C$13*100,2)</f>
        <v>21.43</v>
      </c>
      <c r="E7" s="16">
        <f t="shared" si="0"/>
        <v>21.428999999999998</v>
      </c>
      <c r="G7" s="6"/>
      <c r="H7" s="6"/>
    </row>
    <row r="8" spans="1:12" x14ac:dyDescent="0.25">
      <c r="B8" s="5" t="s">
        <v>16</v>
      </c>
      <c r="C8" s="6">
        <f>COUNTIF(Resp[60],B8)</f>
        <v>1</v>
      </c>
      <c r="D8" s="6">
        <f t="shared" si="1"/>
        <v>7.14</v>
      </c>
      <c r="E8" s="16">
        <f t="shared" si="0"/>
        <v>7.1429999999999998</v>
      </c>
      <c r="G8" s="6"/>
      <c r="H8" s="6"/>
    </row>
    <row r="9" spans="1:12" x14ac:dyDescent="0.25">
      <c r="B9" s="5" t="s">
        <v>17</v>
      </c>
      <c r="C9" s="6">
        <f>COUNTIF(Resp[60],B9)</f>
        <v>0</v>
      </c>
      <c r="D9" s="6">
        <f t="shared" si="1"/>
        <v>0</v>
      </c>
      <c r="E9" s="16">
        <f t="shared" si="0"/>
        <v>0</v>
      </c>
      <c r="G9" s="6"/>
      <c r="H9" s="6"/>
    </row>
    <row r="10" spans="1:12" x14ac:dyDescent="0.25">
      <c r="B10" s="5" t="s">
        <v>18</v>
      </c>
      <c r="C10" s="6">
        <f>COUNTIF(Resp[60],B10)</f>
        <v>0</v>
      </c>
      <c r="D10" s="6">
        <f t="shared" si="1"/>
        <v>0</v>
      </c>
      <c r="E10" s="16">
        <f t="shared" si="0"/>
        <v>0</v>
      </c>
      <c r="G10" s="6"/>
      <c r="H10" s="6"/>
    </row>
    <row r="11" spans="1:12" x14ac:dyDescent="0.25">
      <c r="B11" s="5" t="s">
        <v>19</v>
      </c>
      <c r="C11" s="6">
        <f>COUNTIF(Resp[60],B11)</f>
        <v>0</v>
      </c>
      <c r="D11" s="6">
        <f t="shared" si="1"/>
        <v>0</v>
      </c>
      <c r="E11" s="16">
        <f t="shared" si="0"/>
        <v>0</v>
      </c>
      <c r="G11" s="6"/>
      <c r="H11" s="6"/>
    </row>
    <row r="12" spans="1:12" x14ac:dyDescent="0.25">
      <c r="B12" s="11" t="s">
        <v>20</v>
      </c>
      <c r="C12" s="58">
        <f>COUNTIF(Resp[60],B12)</f>
        <v>0</v>
      </c>
      <c r="D12" s="12">
        <f t="shared" si="1"/>
        <v>0</v>
      </c>
      <c r="E12" s="23">
        <f t="shared" si="0"/>
        <v>0</v>
      </c>
      <c r="G12" s="6"/>
      <c r="H12" s="6"/>
    </row>
    <row r="13" spans="1:12" x14ac:dyDescent="0.25">
      <c r="B13" s="5" t="s">
        <v>228</v>
      </c>
      <c r="C13" s="5">
        <f>SUM(C6:C12)</f>
        <v>14</v>
      </c>
      <c r="D13" s="14">
        <f>SUM(D6:D12)</f>
        <v>100.00000000000001</v>
      </c>
      <c r="E13" s="14">
        <f>SUM(E6:E12)</f>
        <v>100.001</v>
      </c>
    </row>
    <row r="14" spans="1:12" x14ac:dyDescent="0.25">
      <c r="K14" s="14"/>
      <c r="L14" s="14"/>
    </row>
    <row r="15" spans="1:12" x14ac:dyDescent="0.25">
      <c r="B15" s="60"/>
      <c r="C15" s="25"/>
      <c r="D15" s="26"/>
      <c r="E15" s="27"/>
    </row>
    <row r="16" spans="1:12" x14ac:dyDescent="0.25">
      <c r="B16" s="22"/>
      <c r="C16" s="22"/>
      <c r="D16" s="24"/>
      <c r="E16" s="36"/>
    </row>
    <row r="18" spans="2:5" x14ac:dyDescent="0.25">
      <c r="B18" s="29" t="s">
        <v>229</v>
      </c>
      <c r="C18" s="28" t="s">
        <v>230</v>
      </c>
      <c r="D18" s="28" t="s">
        <v>231</v>
      </c>
      <c r="E18" s="28" t="s">
        <v>232</v>
      </c>
    </row>
    <row r="19" spans="2:5" x14ac:dyDescent="0.25">
      <c r="B19" s="30" t="s">
        <v>27</v>
      </c>
      <c r="C19" s="5" t="s">
        <v>233</v>
      </c>
      <c r="D19" s="5">
        <f>SUM(C6,C7)</f>
        <v>13</v>
      </c>
      <c r="E19" s="34">
        <f>ROUND(D19/SUM(D19:D22)*100,3)</f>
        <v>92.856999999999999</v>
      </c>
    </row>
    <row r="20" spans="2:5" x14ac:dyDescent="0.25">
      <c r="B20" s="31" t="s">
        <v>26</v>
      </c>
      <c r="C20" s="5" t="s">
        <v>16</v>
      </c>
      <c r="D20" s="5">
        <f>C8</f>
        <v>1</v>
      </c>
      <c r="E20" s="34">
        <f>ROUND(D20/SUM(D19:D22)*100,3)</f>
        <v>7.1429999999999998</v>
      </c>
    </row>
    <row r="21" spans="2:5" x14ac:dyDescent="0.25">
      <c r="B21" s="32" t="s">
        <v>234</v>
      </c>
      <c r="C21" s="5" t="s">
        <v>235</v>
      </c>
      <c r="D21" s="5">
        <f>SUM(C11,C12)</f>
        <v>0</v>
      </c>
      <c r="E21" s="34">
        <f>ROUND(D21/SUM(D19:D22)*100,3)</f>
        <v>0</v>
      </c>
    </row>
    <row r="22" spans="2:5" x14ac:dyDescent="0.25">
      <c r="B22" s="33" t="s">
        <v>24</v>
      </c>
      <c r="C22" s="11" t="s">
        <v>236</v>
      </c>
      <c r="D22" s="11">
        <f>SUM(C9:C10)</f>
        <v>0</v>
      </c>
      <c r="E22" s="35">
        <f>ROUND(D22/SUM(D19:D22)*100,3)</f>
        <v>0</v>
      </c>
    </row>
    <row r="23" spans="2:5" x14ac:dyDescent="0.25">
      <c r="E23" s="10"/>
    </row>
    <row r="24" spans="2:5" x14ac:dyDescent="0.25">
      <c r="B24" s="15"/>
      <c r="C24" s="15"/>
      <c r="D24" s="18"/>
    </row>
    <row r="26" spans="2:5" x14ac:dyDescent="0.25">
      <c r="D26" s="19"/>
      <c r="E26" s="20"/>
    </row>
    <row r="27" spans="2:5" x14ac:dyDescent="0.25">
      <c r="E27" s="20"/>
    </row>
    <row r="28" spans="2:5" x14ac:dyDescent="0.25">
      <c r="E28" s="20"/>
    </row>
    <row r="29" spans="2:5" x14ac:dyDescent="0.25">
      <c r="B29" s="15"/>
      <c r="C29" s="15"/>
    </row>
    <row r="31" spans="2:5" x14ac:dyDescent="0.25">
      <c r="B31" s="15"/>
      <c r="C31" s="15"/>
      <c r="D31" s="18"/>
    </row>
    <row r="32" spans="2:5" x14ac:dyDescent="0.25">
      <c r="D32" s="19"/>
      <c r="E32" s="20"/>
    </row>
    <row r="33" spans="2:5" x14ac:dyDescent="0.25">
      <c r="D33" s="19"/>
      <c r="E33" s="20"/>
    </row>
    <row r="34" spans="2:5" x14ac:dyDescent="0.25">
      <c r="E34" s="20"/>
    </row>
    <row r="35" spans="2:5" x14ac:dyDescent="0.25">
      <c r="E35" s="20"/>
    </row>
    <row r="36" spans="2:5" x14ac:dyDescent="0.25">
      <c r="B36" s="15"/>
      <c r="C36" s="15"/>
    </row>
    <row r="38" spans="2:5" x14ac:dyDescent="0.25">
      <c r="B38" s="15"/>
      <c r="C38" s="15"/>
      <c r="D38" s="18"/>
    </row>
    <row r="39" spans="2:5" x14ac:dyDescent="0.25">
      <c r="D39" s="19"/>
      <c r="E39" s="21"/>
    </row>
    <row r="40" spans="2:5" x14ac:dyDescent="0.25">
      <c r="D40" s="19"/>
      <c r="E40" s="21"/>
    </row>
    <row r="41" spans="2:5" x14ac:dyDescent="0.25">
      <c r="E41" s="21"/>
    </row>
    <row r="42" spans="2:5" x14ac:dyDescent="0.25">
      <c r="E42" s="21"/>
    </row>
    <row r="43" spans="2:5" x14ac:dyDescent="0.25">
      <c r="B43" s="15"/>
      <c r="C43" s="15"/>
    </row>
    <row r="45" spans="2:5" x14ac:dyDescent="0.25">
      <c r="B45" s="15"/>
      <c r="C45" s="15"/>
      <c r="D45" s="18"/>
    </row>
    <row r="46" spans="2:5" x14ac:dyDescent="0.25">
      <c r="D46" s="19"/>
      <c r="E46" s="20"/>
    </row>
    <row r="47" spans="2:5" x14ac:dyDescent="0.25">
      <c r="D47" s="19"/>
      <c r="E47" s="20"/>
    </row>
    <row r="48" spans="2:5" x14ac:dyDescent="0.25">
      <c r="E48" s="20"/>
    </row>
    <row r="49" spans="2:5" x14ac:dyDescent="0.25">
      <c r="E49" s="20"/>
    </row>
    <row r="50" spans="2:5" x14ac:dyDescent="0.25">
      <c r="B50" s="15"/>
      <c r="C50" s="15"/>
    </row>
    <row r="52" spans="2:5" x14ac:dyDescent="0.25">
      <c r="B52" s="15"/>
      <c r="C52" s="15"/>
      <c r="D52" s="18"/>
    </row>
    <row r="53" spans="2:5" x14ac:dyDescent="0.25">
      <c r="D53" s="19"/>
      <c r="E53" s="10"/>
    </row>
    <row r="54" spans="2:5" x14ac:dyDescent="0.25">
      <c r="D54" s="19"/>
      <c r="E54" s="10"/>
    </row>
    <row r="55" spans="2:5" x14ac:dyDescent="0.25">
      <c r="E55" s="10"/>
    </row>
    <row r="56" spans="2:5" x14ac:dyDescent="0.25">
      <c r="E56" s="10"/>
    </row>
    <row r="57" spans="2:5" x14ac:dyDescent="0.25">
      <c r="B57" s="15"/>
      <c r="C57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2022-03-03T23:26:27Z</dcterms:modified>
  <cp:category/>
  <cp:contentStatus/>
</cp:coreProperties>
</file>