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<sst xmlns="http://schemas.openxmlformats.org/spreadsheetml/2006/main" count="9182" uniqueCount="512">
  <si>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</si>
  <si>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</si>
  <si>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</si>
  <si>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</si>
  <si>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</si>
  <si>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</si>
  <si>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</si>
  <si>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</si>
  <si>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</si>
  <si>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</si>
  <si>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</si>
  <si>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</si>
  <si>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</si>
  <si>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</si>
  <si>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</si>
  <si>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</si>
  <si>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</si>
  <si>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</si>
  <si>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</si>
  <si>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</si>
  <si>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</si>
  <si>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</si>
  <si>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</si>
  <si>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</si>
  <si>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</si>
  <si>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</si>
  <si>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</si>
  <si>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</si>
  <si>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</si>
  <si>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</si>
  <si>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</si>
  <si>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</si>
  <si>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</si>
  <si>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</si>
  <si>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</si>
  <si>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</si>
  <si>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</si>
  <si>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</si>
  <si>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</si>
  <si>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</si>
  <si>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</si>
  <si>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</si>
  <si>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</si>
  <si>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</si>
  <si>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</si>
  <si>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</si>
  <si>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</si>
  <si>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</si>
  <si>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</si>
  <si>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</si>
  <si>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</si>
  <si>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</si>
  <si>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</si>
  <si>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</si>
  <si>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</si>
  <si>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</si>
  <si>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</si>
  <si>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</si>
  <si>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</si>
  <si>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</si>
  <si>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</si>
  <si>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</si>
  <si>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</si>
  <si>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</si>
  <si>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</si>
  <si>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</si>
  <si>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</si>
  <si>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</si>
  <si>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</si>
  <si>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</si>
  <si>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</si>
  <si>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</si>
  <si>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</si>
  <si>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</si>
  <si>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</si>
  <si>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</si>
  <si>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</si>
  <si>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</si>
  <si>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</si>
  <si>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</si>
  <si>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</si>
  <si>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</si>
  <si>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</si>
  <si>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</si>
  <si>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</si>
  <si>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</si>
  <si>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</si>
  <si>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</si>
  <si>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</si>
  <si>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</si>
  <si>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</si>
  <si>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</si>
  <si>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</si>
  <si>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</si>
  <si>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</si>
  <si>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</si>
  <si>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</si>
  <si>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</si>
  <si>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</si>
  <si>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</si>
  <si>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</si>
  <si>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</si>
  <si>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</si>
  <si>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</si>
  <si>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</si>
  <si>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</si>
  <si>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</si>
  <si>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</si>
  <si>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</si>
  <si>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</si>
  <si>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</si>
  <si>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</si>
  <si>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</si>
  <si>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</si>
  <si>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</si>
  <si>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</si>
  <si>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</si>
  <si>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</si>
  <si>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</si>
  <si>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</si>
  <si>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</si>
  <si>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</si>
  <si>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</si>
  <si>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</si>
  <si>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</si>
  <si>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</si>
  <si>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</si>
  <si>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</si>
  <si>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</si>
  <si>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</si>
  <si>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</si>
  <si>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</si>
  <si>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</si>
  <si>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</si>
  <si>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</si>
  <si>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</si>
  <si>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</si>
  <si>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</si>
  <si>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</si>
  <si>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</si>
  <si>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</si>
  <si>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</si>
  <si>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</si>
  <si>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</si>
  <si>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</si>
  <si>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</si>
  <si>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</si>
  <si>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</si>
  <si>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</si>
  <si>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</si>
  <si>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</si>
  <si>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</si>
  <si>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</si>
  <si>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</si>
  <si>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</si>
  <si>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</si>
  <si>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</si>
  <si>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</si>
  <si>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</si>
  <si>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</si>
  <si>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</si>
  <si>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</si>
  <si>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</si>
  <si>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</si>
  <si>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</si>
  <si>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</si>
  <si>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</si>
  <si>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</si>
  <si>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</si>
  <si>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</si>
  <si>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</si>
  <si>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</si>
  <si>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</si>
  <si>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</si>
  <si>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</si>
  <si>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</si>
  <si>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</si>
  <si>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</si>
  <si>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</si>
  <si>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</si>
  <si>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</si>
  <si>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</si>
  <si>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</si>
  <si>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</si>
  <si>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</si>
  <si>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</si>
  <si>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</si>
  <si>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</si>
  <si>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</si>
  <si>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</si>
  <si>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</si>
  <si>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</si>
  <si>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</si>
  <si>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SUINFRA</t>
  </si>
  <si>
    <t>Não</t>
  </si>
  <si>
    <t>NULL</t>
  </si>
  <si>
    <t>Técnico</t>
  </si>
  <si>
    <t>Não se aplica</t>
  </si>
  <si>
    <t>Não tive condições em acessar as ações</t>
  </si>
  <si>
    <t>Sim</t>
  </si>
  <si>
    <t>Bom</t>
  </si>
  <si>
    <t>Não sei responder</t>
  </si>
  <si>
    <t>Outro</t>
  </si>
  <si>
    <t>Excelente</t>
  </si>
  <si>
    <t>Não são atividades do meu interesse</t>
  </si>
  <si>
    <t>Não tive conhecimento das ações</t>
  </si>
  <si>
    <t>Ruim</t>
  </si>
  <si>
    <t>Péssimo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</si>
  <si>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</si>
  <si>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</si>
  <si>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</si>
  <si>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</si>
  <si>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</si>
  <si>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</si>
  <si>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</si>
  <si>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</si>
  <si>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</si>
  <si>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</si>
  <si>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</si>
  <si>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</si>
  <si>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</si>
  <si>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</si>
  <si>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</si>
  <si>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</si>
  <si>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</si>
  <si>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</si>
  <si>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</si>
  <si>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</si>
  <si>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</si>
  <si>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</si>
  <si>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</si>
  <si>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</si>
  <si>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</si>
  <si>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</si>
  <si>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</si>
  <si>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</si>
  <si>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</si>
  <si>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</si>
  <si>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</si>
  <si>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</si>
  <si>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</si>
  <si>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</si>
  <si>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</si>
  <si>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</si>
  <si>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</si>
  <si>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</si>
  <si>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</si>
  <si>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</si>
  <si>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</si>
  <si>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</si>
  <si>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</si>
  <si>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</si>
  <si>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</si>
  <si>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</si>
  <si>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</si>
  <si>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</si>
  <si>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</si>
  <si>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</si>
  <si>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</si>
  <si>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</si>
  <si>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</si>
  <si>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</si>
  <si>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</si>
  <si>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</si>
  <si>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</si>
  <si>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</si>
  <si>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</si>
  <si>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</si>
  <si>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</si>
  <si>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</si>
  <si>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</si>
  <si>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</si>
  <si>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</si>
  <si>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</si>
  <si>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</si>
  <si>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</si>
  <si>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</si>
  <si>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</si>
  <si>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</si>
  <si>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</si>
  <si>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</si>
  <si>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</si>
  <si>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</si>
  <si>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</si>
  <si>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</si>
  <si>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</si>
  <si>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</si>
  <si>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</si>
  <si>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</si>
  <si>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</si>
  <si>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</si>
  <si>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</si>
  <si>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</si>
  <si>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</si>
  <si>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</si>
  <si>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</si>
  <si>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</si>
  <si>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</si>
  <si>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</si>
  <si>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</si>
  <si>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</si>
  <si>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</si>
  <si>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</si>
  <si>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</si>
  <si>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</si>
  <si>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</si>
  <si>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</si>
  <si>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</si>
  <si>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</si>
  <si>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</si>
  <si>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</si>
  <si>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</si>
  <si>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</si>
  <si>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</si>
  <si>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</si>
  <si>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</si>
  <si>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</si>
  <si>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</si>
  <si>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</si>
  <si>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</si>
  <si>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</si>
  <si>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</si>
  <si>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</si>
  <si>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</si>
  <si>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</si>
  <si>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</si>
  <si>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</si>
  <si>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</si>
  <si>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</si>
  <si>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</si>
  <si>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</si>
  <si>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</si>
  <si>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</si>
  <si>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</si>
  <si>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</si>
  <si>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</si>
  <si>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</si>
  <si>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</si>
  <si>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</si>
  <si>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</si>
  <si>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</si>
  <si>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</si>
  <si>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</si>
  <si>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</si>
  <si>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</si>
  <si>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</si>
  <si>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</si>
  <si>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</si>
  <si>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</si>
  <si>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</si>
  <si>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</si>
  <si>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</si>
  <si>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</si>
  <si>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</si>
  <si>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</si>
  <si>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</si>
  <si>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</si>
  <si>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</si>
  <si>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</si>
  <si>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</si>
  <si>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</si>
  <si>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</si>
  <si>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</si>
  <si>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</si>
  <si>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</si>
  <si>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</si>
  <si>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</si>
  <si>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</si>
  <si>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</si>
  <si>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</si>
  <si>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</si>
  <si>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</si>
  <si>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</si>
  <si>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</si>
  <si>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</si>
  <si>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</si>
  <si>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</si>
  <si>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</si>
  <si>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</si>
  <si>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</si>
  <si>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</si>
  <si>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</si>
  <si>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</si>
  <si>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</si>
  <si>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</si>
  <si>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</si>
  <si>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</si>
  <si>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</si>
  <si>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</si>
  <si>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</si>
  <si>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</si>
  <si>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</si>
  <si>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</si>
  <si>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</si>
  <si>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</si>
  <si>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</si>
  <si>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</si>
  <si>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</si>
  <si>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</si>
  <si>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</si>
  <si>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</si>
  <si>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</si>
  <si>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</si>
  <si>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</si>
  <si>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</si>
  <si>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</si>
  <si>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</si>
  <si>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</si>
  <si>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</si>
  <si>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</si>
  <si>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</si>
  <si>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</si>
  <si>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</si>
  <si>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</si>
  <si>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</si>
  <si>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</si>
  <si>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</si>
  <si>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</si>
  <si>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</si>
  <si>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</si>
  <si>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</si>
  <si>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</si>
  <si>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</si>
  <si>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</si>
  <si>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</si>
  <si>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</si>
  <si>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</si>
  <si>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</si>
  <si>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</si>
  <si>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</si>
  <si>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</si>
  <si>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</si>
  <si>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</si>
  <si>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</si>
  <si>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</si>
  <si>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</si>
  <si>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</si>
  <si>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</si>
  <si>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</si>
  <si>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</si>
  <si>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</si>
  <si>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</si>
  <si>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</si>
  <si>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</si>
  <si>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</si>
  <si>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</si>
  <si>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</si>
  <si>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</si>
  <si>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</si>
  <si>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</si>
  <si>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</si>
  <si>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</si>
  <si>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</si>
  <si>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</si>
  <si>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</si>
  <si>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</si>
  <si>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</si>
  <si>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</si>
  <si>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</si>
  <si>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</si>
  <si>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</si>
  <si>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</si>
  <si>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</si>
  <si>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</si>
  <si>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</si>
  <si>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</si>
  <si>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</si>
  <si>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</si>
  <si>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</si>
  <si>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</si>
  <si>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</si>
  <si>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</si>
  <si>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</si>
  <si>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</si>
  <si>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</si>
  <si>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</si>
  <si>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</si>
  <si>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</si>
  <si>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</si>
  <si>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</si>
  <si>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</si>
  <si>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</si>
  <si>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</si>
  <si>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</si>
  <si>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</si>
  <si>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</si>
  <si>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</si>
  <si>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</si>
  <si>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</si>
  <si>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</si>
  <si>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</si>
  <si>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</si>
  <si>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</si>
  <si>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</si>
  <si>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</si>
  <si>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</si>
  <si>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</si>
  <si>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</si>
  <si>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</si>
  <si>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</si>
  <si>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</si>
  <si>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</si>
  <si>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</si>
  <si>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</si>
  <si>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</si>
  <si>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</si>
  <si>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Docente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</si>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</sst>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82432"/>
        <c:axId val="83683968"/>
      </c:barChart>
      <c:catAx>
        <c:axId val="836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83968"/>
        <c:crosses val="autoZero"/>
        <c:auto val="1"/>
        <c:lblAlgn val="ctr"/>
        <c:lblOffset val="100"/>
        <c:noMultiLvlLbl val="0"/>
      </c:catAx>
      <c:valAx>
        <c:axId val="836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8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559552"/>
        <c:axId val="127561088"/>
      </c:barChart>
      <c:catAx>
        <c:axId val="12755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61088"/>
        <c:crosses val="autoZero"/>
        <c:auto val="1"/>
        <c:lblAlgn val="ctr"/>
        <c:lblOffset val="100"/>
        <c:noMultiLvlLbl val="0"/>
      </c:catAx>
      <c:valAx>
        <c:axId val="12756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5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28640"/>
        <c:axId val="127734528"/>
      </c:barChart>
      <c:catAx>
        <c:axId val="1277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34528"/>
        <c:crosses val="autoZero"/>
        <c:auto val="1"/>
        <c:lblAlgn val="ctr"/>
        <c:lblOffset val="100"/>
        <c:noMultiLvlLbl val="0"/>
      </c:catAx>
      <c:valAx>
        <c:axId val="12773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2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03392"/>
        <c:axId val="127804928"/>
      </c:barChart>
      <c:catAx>
        <c:axId val="1278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04928"/>
        <c:crosses val="autoZero"/>
        <c:auto val="1"/>
        <c:lblAlgn val="ctr"/>
        <c:lblOffset val="100"/>
        <c:noMultiLvlLbl val="0"/>
      </c:catAx>
      <c:valAx>
        <c:axId val="1278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0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116224"/>
        <c:axId val="128117760"/>
      </c:barChart>
      <c:catAx>
        <c:axId val="1281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117760"/>
        <c:crosses val="autoZero"/>
        <c:auto val="1"/>
        <c:lblAlgn val="ctr"/>
        <c:lblOffset val="100"/>
        <c:noMultiLvlLbl val="0"/>
      </c:catAx>
      <c:valAx>
        <c:axId val="12811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11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39328"/>
        <c:axId val="85940864"/>
      </c:barChart>
      <c:catAx>
        <c:axId val="85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0864"/>
        <c:crosses val="autoZero"/>
        <c:auto val="1"/>
        <c:lblAlgn val="ctr"/>
        <c:lblOffset val="100"/>
        <c:noMultiLvlLbl val="0"/>
      </c:catAx>
      <c:valAx>
        <c:axId val="8594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3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51936"/>
        <c:axId val="128566016"/>
      </c:barChart>
      <c:catAx>
        <c:axId val="1285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66016"/>
        <c:crosses val="autoZero"/>
        <c:auto val="1"/>
        <c:lblAlgn val="ctr"/>
        <c:lblOffset val="100"/>
        <c:noMultiLvlLbl val="0"/>
      </c:catAx>
      <c:valAx>
        <c:axId val="12856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5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29856"/>
        <c:axId val="128731392"/>
      </c:barChart>
      <c:catAx>
        <c:axId val="1287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31392"/>
        <c:crosses val="autoZero"/>
        <c:auto val="1"/>
        <c:lblAlgn val="ctr"/>
        <c:lblOffset val="100"/>
        <c:noMultiLvlLbl val="0"/>
      </c:catAx>
      <c:valAx>
        <c:axId val="1287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2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414656"/>
        <c:axId val="129416192"/>
      </c:barChart>
      <c:catAx>
        <c:axId val="1294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16192"/>
        <c:crosses val="autoZero"/>
        <c:auto val="1"/>
        <c:lblAlgn val="ctr"/>
        <c:lblOffset val="100"/>
        <c:noMultiLvlLbl val="0"/>
      </c:catAx>
      <c:valAx>
        <c:axId val="12941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4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132224"/>
        <c:axId val="86133760"/>
      </c:barChart>
      <c:catAx>
        <c:axId val="861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33760"/>
        <c:crosses val="autoZero"/>
        <c:auto val="1"/>
        <c:lblAlgn val="ctr"/>
        <c:lblOffset val="100"/>
        <c:noMultiLvlLbl val="0"/>
      </c:catAx>
      <c:valAx>
        <c:axId val="8613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3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899136"/>
        <c:axId val="129900928"/>
      </c:barChart>
      <c:catAx>
        <c:axId val="1298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00928"/>
        <c:crosses val="autoZero"/>
        <c:auto val="1"/>
        <c:lblAlgn val="ctr"/>
        <c:lblOffset val="100"/>
        <c:noMultiLvlLbl val="0"/>
      </c:catAx>
      <c:valAx>
        <c:axId val="12990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428928"/>
        <c:axId val="130430464"/>
      </c:barChart>
      <c:catAx>
        <c:axId val="1304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30464"/>
        <c:crosses val="autoZero"/>
        <c:auto val="1"/>
        <c:lblAlgn val="ctr"/>
        <c:lblOffset val="100"/>
        <c:noMultiLvlLbl val="0"/>
      </c:catAx>
      <c:valAx>
        <c:axId val="13043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2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245568"/>
        <c:axId val="131247104"/>
      </c:barChart>
      <c:catAx>
        <c:axId val="1312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47104"/>
        <c:crosses val="autoZero"/>
        <c:auto val="1"/>
        <c:lblAlgn val="ctr"/>
        <c:lblOffset val="100"/>
        <c:noMultiLvlLbl val="0"/>
      </c:catAx>
      <c:valAx>
        <c:axId val="13124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70688"/>
        <c:axId val="131588864"/>
      </c:barChart>
      <c:catAx>
        <c:axId val="1315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88864"/>
        <c:crosses val="autoZero"/>
        <c:auto val="1"/>
        <c:lblAlgn val="ctr"/>
        <c:lblOffset val="100"/>
        <c:noMultiLvlLbl val="0"/>
      </c:catAx>
      <c:valAx>
        <c:axId val="13158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7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256128"/>
        <c:axId val="132257664"/>
      </c:barChart>
      <c:catAx>
        <c:axId val="1322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57664"/>
        <c:crosses val="autoZero"/>
        <c:auto val="1"/>
        <c:lblAlgn val="ctr"/>
        <c:lblOffset val="100"/>
        <c:noMultiLvlLbl val="0"/>
      </c:catAx>
      <c:valAx>
        <c:axId val="13225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5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638208"/>
        <c:axId val="132639744"/>
      </c:barChart>
      <c:catAx>
        <c:axId val="1326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639744"/>
        <c:crosses val="autoZero"/>
        <c:auto val="1"/>
        <c:lblAlgn val="ctr"/>
        <c:lblOffset val="100"/>
        <c:noMultiLvlLbl val="0"/>
      </c:catAx>
      <c:valAx>
        <c:axId val="1326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63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08224"/>
        <c:axId val="132709760"/>
      </c:barChart>
      <c:catAx>
        <c:axId val="13270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09760"/>
        <c:crosses val="autoZero"/>
        <c:auto val="1"/>
        <c:lblAlgn val="ctr"/>
        <c:lblOffset val="100"/>
        <c:noMultiLvlLbl val="0"/>
      </c:catAx>
      <c:valAx>
        <c:axId val="13270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0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40064"/>
        <c:axId val="132985216"/>
      </c:barChart>
      <c:catAx>
        <c:axId val="1328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985216"/>
        <c:crosses val="autoZero"/>
        <c:auto val="1"/>
        <c:lblAlgn val="ctr"/>
        <c:lblOffset val="100"/>
        <c:noMultiLvlLbl val="0"/>
      </c:catAx>
      <c:valAx>
        <c:axId val="13298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55552"/>
        <c:axId val="133257088"/>
      </c:barChart>
      <c:catAx>
        <c:axId val="1332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57088"/>
        <c:crosses val="autoZero"/>
        <c:auto val="1"/>
        <c:lblAlgn val="ctr"/>
        <c:lblOffset val="100"/>
        <c:noMultiLvlLbl val="0"/>
      </c:catAx>
      <c:valAx>
        <c:axId val="13325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723648"/>
        <c:axId val="133725184"/>
      </c:barChart>
      <c:catAx>
        <c:axId val="1337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25184"/>
        <c:crosses val="autoZero"/>
        <c:auto val="1"/>
        <c:lblAlgn val="ctr"/>
        <c:lblOffset val="100"/>
        <c:noMultiLvlLbl val="0"/>
      </c:catAx>
      <c:valAx>
        <c:axId val="13372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2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34624"/>
        <c:axId val="135852800"/>
      </c:barChart>
      <c:catAx>
        <c:axId val="135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52800"/>
        <c:crosses val="autoZero"/>
        <c:auto val="1"/>
        <c:lblAlgn val="ctr"/>
        <c:lblOffset val="100"/>
        <c:noMultiLvlLbl val="0"/>
      </c:catAx>
      <c:valAx>
        <c:axId val="1358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3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268544"/>
        <c:axId val="86270336"/>
      </c:barChart>
      <c:catAx>
        <c:axId val="86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270336"/>
        <c:crosses val="autoZero"/>
        <c:auto val="1"/>
        <c:lblAlgn val="ctr"/>
        <c:lblOffset val="100"/>
        <c:noMultiLvlLbl val="0"/>
      </c:catAx>
      <c:valAx>
        <c:axId val="8627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2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08864"/>
        <c:axId val="136710400"/>
      </c:barChart>
      <c:catAx>
        <c:axId val="1367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10400"/>
        <c:crosses val="autoZero"/>
        <c:auto val="1"/>
        <c:lblAlgn val="ctr"/>
        <c:lblOffset val="100"/>
        <c:noMultiLvlLbl val="0"/>
      </c:catAx>
      <c:valAx>
        <c:axId val="1367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0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365184"/>
        <c:axId val="138379264"/>
      </c:barChart>
      <c:catAx>
        <c:axId val="138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379264"/>
        <c:crosses val="autoZero"/>
        <c:auto val="1"/>
        <c:lblAlgn val="ctr"/>
        <c:lblOffset val="100"/>
        <c:noMultiLvlLbl val="0"/>
      </c:catAx>
      <c:valAx>
        <c:axId val="13837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36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77344"/>
        <c:axId val="139183232"/>
      </c:barChart>
      <c:catAx>
        <c:axId val="1391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83232"/>
        <c:crosses val="autoZero"/>
        <c:auto val="1"/>
        <c:lblAlgn val="ctr"/>
        <c:lblOffset val="100"/>
        <c:noMultiLvlLbl val="0"/>
      </c:catAx>
      <c:valAx>
        <c:axId val="13918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7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18016"/>
        <c:axId val="139319552"/>
      </c:barChart>
      <c:catAx>
        <c:axId val="1393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19552"/>
        <c:crosses val="autoZero"/>
        <c:auto val="1"/>
        <c:lblAlgn val="ctr"/>
        <c:lblOffset val="100"/>
        <c:noMultiLvlLbl val="0"/>
      </c:catAx>
      <c:valAx>
        <c:axId val="1393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978432"/>
        <c:axId val="140988416"/>
      </c:barChart>
      <c:catAx>
        <c:axId val="1409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88416"/>
        <c:crosses val="autoZero"/>
        <c:auto val="1"/>
        <c:lblAlgn val="ctr"/>
        <c:lblOffset val="100"/>
        <c:noMultiLvlLbl val="0"/>
      </c:catAx>
      <c:valAx>
        <c:axId val="14098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97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29440"/>
        <c:axId val="141231232"/>
      </c:barChart>
      <c:catAx>
        <c:axId val="141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31232"/>
        <c:crosses val="autoZero"/>
        <c:auto val="1"/>
        <c:lblAlgn val="ctr"/>
        <c:lblOffset val="100"/>
        <c:noMultiLvlLbl val="0"/>
      </c:catAx>
      <c:valAx>
        <c:axId val="14123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2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714176"/>
        <c:axId val="141715712"/>
      </c:barChart>
      <c:catAx>
        <c:axId val="1417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15712"/>
        <c:crosses val="autoZero"/>
        <c:auto val="1"/>
        <c:lblAlgn val="ctr"/>
        <c:lblOffset val="100"/>
        <c:noMultiLvlLbl val="0"/>
      </c:catAx>
      <c:valAx>
        <c:axId val="14171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1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088064"/>
        <c:axId val="142089600"/>
      </c:barChart>
      <c:catAx>
        <c:axId val="1420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089600"/>
        <c:crosses val="autoZero"/>
        <c:auto val="1"/>
        <c:lblAlgn val="ctr"/>
        <c:lblOffset val="100"/>
        <c:noMultiLvlLbl val="0"/>
      </c:catAx>
      <c:valAx>
        <c:axId val="14208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08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949376"/>
        <c:axId val="142959360"/>
      </c:barChart>
      <c:catAx>
        <c:axId val="14294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959360"/>
        <c:crosses val="autoZero"/>
        <c:auto val="1"/>
        <c:lblAlgn val="ctr"/>
        <c:lblOffset val="100"/>
        <c:noMultiLvlLbl val="0"/>
      </c:catAx>
      <c:valAx>
        <c:axId val="1429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94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376768"/>
        <c:axId val="143378304"/>
      </c:barChart>
      <c:catAx>
        <c:axId val="1433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378304"/>
        <c:crosses val="autoZero"/>
        <c:auto val="1"/>
        <c:lblAlgn val="ctr"/>
        <c:lblOffset val="100"/>
        <c:noMultiLvlLbl val="0"/>
      </c:catAx>
      <c:valAx>
        <c:axId val="14337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37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16416"/>
        <c:axId val="86717952"/>
      </c:barChart>
      <c:catAx>
        <c:axId val="867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17952"/>
        <c:crosses val="autoZero"/>
        <c:auto val="1"/>
        <c:lblAlgn val="ctr"/>
        <c:lblOffset val="100"/>
        <c:noMultiLvlLbl val="0"/>
      </c:catAx>
      <c:valAx>
        <c:axId val="867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1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894016"/>
        <c:axId val="143895552"/>
      </c:barChart>
      <c:catAx>
        <c:axId val="1438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95552"/>
        <c:crosses val="autoZero"/>
        <c:auto val="1"/>
        <c:lblAlgn val="ctr"/>
        <c:lblOffset val="100"/>
        <c:noMultiLvlLbl val="0"/>
      </c:catAx>
      <c:valAx>
        <c:axId val="1438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9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206464"/>
        <c:axId val="144224640"/>
      </c:barChart>
      <c:catAx>
        <c:axId val="1442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224640"/>
        <c:crosses val="autoZero"/>
        <c:auto val="1"/>
        <c:lblAlgn val="ctr"/>
        <c:lblOffset val="100"/>
        <c:noMultiLvlLbl val="0"/>
      </c:catAx>
      <c:valAx>
        <c:axId val="14422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20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990208"/>
        <c:axId val="144991744"/>
      </c:barChart>
      <c:catAx>
        <c:axId val="1449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991744"/>
        <c:crosses val="autoZero"/>
        <c:auto val="1"/>
        <c:lblAlgn val="ctr"/>
        <c:lblOffset val="100"/>
        <c:noMultiLvlLbl val="0"/>
      </c:catAx>
      <c:valAx>
        <c:axId val="14499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99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015360"/>
        <c:axId val="146016896"/>
      </c:barChart>
      <c:catAx>
        <c:axId val="1460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16896"/>
        <c:crosses val="autoZero"/>
        <c:auto val="1"/>
        <c:lblAlgn val="ctr"/>
        <c:lblOffset val="100"/>
        <c:noMultiLvlLbl val="0"/>
      </c:catAx>
      <c:valAx>
        <c:axId val="14601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1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5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57888"/>
        <c:axId val="146767872"/>
      </c:barChart>
      <c:catAx>
        <c:axId val="1467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67872"/>
        <c:crosses val="autoZero"/>
        <c:auto val="1"/>
        <c:lblAlgn val="ctr"/>
        <c:lblOffset val="100"/>
        <c:noMultiLvlLbl val="0"/>
      </c:catAx>
      <c:valAx>
        <c:axId val="14676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5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5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64608"/>
        <c:axId val="148166144"/>
      </c:barChart>
      <c:catAx>
        <c:axId val="14816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6144"/>
        <c:crosses val="autoZero"/>
        <c:auto val="1"/>
        <c:lblAlgn val="ctr"/>
        <c:lblOffset val="100"/>
        <c:noMultiLvlLbl val="0"/>
      </c:catAx>
      <c:valAx>
        <c:axId val="14816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6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632704"/>
        <c:axId val="148634240"/>
      </c:barChart>
      <c:catAx>
        <c:axId val="1486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34240"/>
        <c:crosses val="autoZero"/>
        <c:auto val="1"/>
        <c:lblAlgn val="ctr"/>
        <c:lblOffset val="100"/>
        <c:noMultiLvlLbl val="0"/>
      </c:catAx>
      <c:valAx>
        <c:axId val="14863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3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6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924096"/>
        <c:axId val="149925888"/>
      </c:barChart>
      <c:catAx>
        <c:axId val="1499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925888"/>
        <c:crosses val="autoZero"/>
        <c:auto val="1"/>
        <c:lblAlgn val="ctr"/>
        <c:lblOffset val="100"/>
        <c:noMultiLvlLbl val="0"/>
      </c:catAx>
      <c:valAx>
        <c:axId val="14992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92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6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22400"/>
        <c:axId val="152024192"/>
      </c:barChart>
      <c:catAx>
        <c:axId val="152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24192"/>
        <c:crosses val="autoZero"/>
        <c:auto val="1"/>
        <c:lblAlgn val="ctr"/>
        <c:lblOffset val="100"/>
        <c:noMultiLvlLbl val="0"/>
      </c:catAx>
      <c:valAx>
        <c:axId val="15202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2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7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35808"/>
        <c:axId val="152537344"/>
      </c:barChart>
      <c:catAx>
        <c:axId val="1525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3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69120"/>
        <c:axId val="86870656"/>
      </c:barChart>
      <c:catAx>
        <c:axId val="868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70656"/>
        <c:crosses val="autoZero"/>
        <c:auto val="1"/>
        <c:lblAlgn val="ctr"/>
        <c:lblOffset val="100"/>
        <c:noMultiLvlLbl val="0"/>
      </c:catAx>
      <c:valAx>
        <c:axId val="8687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8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48960"/>
        <c:axId val="153050496"/>
      </c:barChart>
      <c:catAx>
        <c:axId val="1530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50496"/>
        <c:crosses val="autoZero"/>
        <c:auto val="1"/>
        <c:lblAlgn val="ctr"/>
        <c:lblOffset val="100"/>
        <c:noMultiLvlLbl val="0"/>
      </c:catAx>
      <c:valAx>
        <c:axId val="15305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4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14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12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594880"/>
        <c:axId val="153613056"/>
      </c:barChart>
      <c:catAx>
        <c:axId val="1535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613056"/>
        <c:crosses val="autoZero"/>
        <c:auto val="1"/>
        <c:lblAlgn val="ctr"/>
        <c:lblOffset val="100"/>
        <c:noMultiLvlLbl val="0"/>
      </c:catAx>
      <c:valAx>
        <c:axId val="15361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59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013696"/>
        <c:axId val="160015488"/>
      </c:barChart>
      <c:catAx>
        <c:axId val="1600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15488"/>
        <c:crosses val="autoZero"/>
        <c:auto val="1"/>
        <c:lblAlgn val="ctr"/>
        <c:lblOffset val="100"/>
        <c:noMultiLvlLbl val="0"/>
      </c:catAx>
      <c:valAx>
        <c:axId val="16001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1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399360"/>
        <c:axId val="160400896"/>
      </c:barChart>
      <c:catAx>
        <c:axId val="16039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00896"/>
        <c:crosses val="autoZero"/>
        <c:auto val="1"/>
        <c:lblAlgn val="ctr"/>
        <c:lblOffset val="100"/>
        <c:noMultiLvlLbl val="0"/>
      </c:catAx>
      <c:valAx>
        <c:axId val="16040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39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18912"/>
        <c:axId val="160520448"/>
      </c:barChart>
      <c:catAx>
        <c:axId val="1605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20448"/>
        <c:crosses val="autoZero"/>
        <c:auto val="1"/>
        <c:lblAlgn val="ctr"/>
        <c:lblOffset val="100"/>
        <c:noMultiLvlLbl val="0"/>
      </c:catAx>
      <c:valAx>
        <c:axId val="1605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1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089408"/>
        <c:axId val="161090944"/>
      </c:barChart>
      <c:catAx>
        <c:axId val="1610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090944"/>
        <c:crosses val="autoZero"/>
        <c:auto val="1"/>
        <c:lblAlgn val="ctr"/>
        <c:lblOffset val="100"/>
        <c:noMultiLvlLbl val="0"/>
      </c:catAx>
      <c:valAx>
        <c:axId val="16109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08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22336"/>
        <c:axId val="161436416"/>
      </c:barChart>
      <c:catAx>
        <c:axId val="1614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36416"/>
        <c:crosses val="autoZero"/>
        <c:auto val="1"/>
        <c:lblAlgn val="ctr"/>
        <c:lblOffset val="100"/>
        <c:noMultiLvlLbl val="0"/>
      </c:catAx>
      <c:valAx>
        <c:axId val="16143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2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45888"/>
        <c:axId val="164247424"/>
      </c:barChart>
      <c:catAx>
        <c:axId val="1642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47424"/>
        <c:crosses val="autoZero"/>
        <c:auto val="1"/>
        <c:lblAlgn val="ctr"/>
        <c:lblOffset val="100"/>
        <c:noMultiLvlLbl val="0"/>
      </c:catAx>
      <c:valAx>
        <c:axId val="16424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4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80512"/>
        <c:axId val="164482048"/>
      </c:barChart>
      <c:catAx>
        <c:axId val="1644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82048"/>
        <c:crosses val="autoZero"/>
        <c:auto val="1"/>
        <c:lblAlgn val="ctr"/>
        <c:lblOffset val="100"/>
        <c:noMultiLvlLbl val="0"/>
      </c:catAx>
      <c:valAx>
        <c:axId val="1644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19936"/>
        <c:axId val="164929920"/>
      </c:barChart>
      <c:catAx>
        <c:axId val="16491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29920"/>
        <c:crosses val="autoZero"/>
        <c:auto val="1"/>
        <c:lblAlgn val="ctr"/>
        <c:lblOffset val="100"/>
        <c:noMultiLvlLbl val="0"/>
      </c:catAx>
      <c:valAx>
        <c:axId val="16492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1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03968"/>
        <c:axId val="165205504"/>
      </c:barChart>
      <c:catAx>
        <c:axId val="1652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05504"/>
        <c:crosses val="autoZero"/>
        <c:auto val="1"/>
        <c:lblAlgn val="ctr"/>
        <c:lblOffset val="100"/>
        <c:noMultiLvlLbl val="0"/>
      </c:catAx>
      <c:valAx>
        <c:axId val="16520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0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25728"/>
        <c:axId val="166427264"/>
      </c:barChart>
      <c:catAx>
        <c:axId val="1664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27264"/>
        <c:crosses val="autoZero"/>
        <c:auto val="1"/>
        <c:lblAlgn val="ctr"/>
        <c:lblOffset val="100"/>
        <c:noMultiLvlLbl val="0"/>
      </c:catAx>
      <c:valAx>
        <c:axId val="16642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2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80992"/>
        <c:axId val="88186880"/>
      </c:barChart>
      <c:catAx>
        <c:axId val="881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86880"/>
        <c:crosses val="autoZero"/>
        <c:auto val="1"/>
        <c:lblAlgn val="ctr"/>
        <c:lblOffset val="100"/>
        <c:noMultiLvlLbl val="0"/>
      </c:catAx>
      <c:valAx>
        <c:axId val="8818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8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53696"/>
        <c:axId val="168259584"/>
      </c:barChart>
      <c:catAx>
        <c:axId val="1682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59584"/>
        <c:crosses val="autoZero"/>
        <c:auto val="1"/>
        <c:lblAlgn val="ctr"/>
        <c:lblOffset val="100"/>
        <c:noMultiLvlLbl val="0"/>
      </c:catAx>
      <c:valAx>
        <c:axId val="16825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5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70592"/>
        <c:axId val="169072128"/>
      </c:barChart>
      <c:catAx>
        <c:axId val="1690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2128"/>
        <c:crosses val="autoZero"/>
        <c:auto val="1"/>
        <c:lblAlgn val="ctr"/>
        <c:lblOffset val="100"/>
        <c:noMultiLvlLbl val="0"/>
      </c:catAx>
      <c:valAx>
        <c:axId val="16907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09024"/>
        <c:axId val="169810560"/>
      </c:barChart>
      <c:catAx>
        <c:axId val="1698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10560"/>
        <c:crosses val="autoZero"/>
        <c:auto val="1"/>
        <c:lblAlgn val="ctr"/>
        <c:lblOffset val="100"/>
        <c:noMultiLvlLbl val="0"/>
      </c:catAx>
      <c:valAx>
        <c:axId val="16981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0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06496"/>
        <c:axId val="170512384"/>
      </c:barChart>
      <c:catAx>
        <c:axId val="1705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12384"/>
        <c:crosses val="autoZero"/>
        <c:auto val="1"/>
        <c:lblAlgn val="ctr"/>
        <c:lblOffset val="100"/>
        <c:noMultiLvlLbl val="0"/>
      </c:catAx>
      <c:valAx>
        <c:axId val="17051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0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60320"/>
        <c:axId val="171570304"/>
      </c:barChart>
      <c:catAx>
        <c:axId val="1715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70304"/>
        <c:crosses val="autoZero"/>
        <c:auto val="1"/>
        <c:lblAlgn val="ctr"/>
        <c:lblOffset val="100"/>
        <c:noMultiLvlLbl val="0"/>
      </c:catAx>
      <c:valAx>
        <c:axId val="17157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6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08608"/>
        <c:axId val="172710144"/>
      </c:barChart>
      <c:catAx>
        <c:axId val="17270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10144"/>
        <c:crosses val="autoZero"/>
        <c:auto val="1"/>
        <c:lblAlgn val="ctr"/>
        <c:lblOffset val="100"/>
        <c:noMultiLvlLbl val="0"/>
      </c:catAx>
      <c:valAx>
        <c:axId val="172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0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778816"/>
        <c:axId val="173780352"/>
      </c:barChart>
      <c:catAx>
        <c:axId val="1737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0352"/>
        <c:crosses val="autoZero"/>
        <c:auto val="1"/>
        <c:lblAlgn val="ctr"/>
        <c:lblOffset val="100"/>
        <c:noMultiLvlLbl val="0"/>
      </c:catAx>
      <c:valAx>
        <c:axId val="17378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7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23328"/>
        <c:axId val="173925120"/>
      </c:barChart>
      <c:catAx>
        <c:axId val="1739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25120"/>
        <c:crosses val="autoZero"/>
        <c:auto val="1"/>
        <c:lblAlgn val="ctr"/>
        <c:lblOffset val="100"/>
        <c:noMultiLvlLbl val="0"/>
      </c:catAx>
      <c:valAx>
        <c:axId val="17392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2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870912"/>
        <c:axId val="174872448"/>
      </c:barChart>
      <c:catAx>
        <c:axId val="1748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72448"/>
        <c:crosses val="autoZero"/>
        <c:auto val="1"/>
        <c:lblAlgn val="ctr"/>
        <c:lblOffset val="100"/>
        <c:noMultiLvlLbl val="0"/>
      </c:catAx>
      <c:valAx>
        <c:axId val="1748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7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78784"/>
        <c:axId val="176680320"/>
      </c:barChart>
      <c:catAx>
        <c:axId val="1766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80320"/>
        <c:crosses val="autoZero"/>
        <c:auto val="1"/>
        <c:lblAlgn val="ctr"/>
        <c:lblOffset val="100"/>
        <c:noMultiLvlLbl val="0"/>
      </c:catAx>
      <c:valAx>
        <c:axId val="17668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7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20416"/>
        <c:axId val="88638592"/>
      </c:barChart>
      <c:catAx>
        <c:axId val="886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38592"/>
        <c:crosses val="autoZero"/>
        <c:auto val="1"/>
        <c:lblAlgn val="ctr"/>
        <c:lblOffset val="100"/>
        <c:noMultiLvlLbl val="0"/>
      </c:catAx>
      <c:valAx>
        <c:axId val="8863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77248"/>
        <c:axId val="177275648"/>
      </c:barChart>
      <c:catAx>
        <c:axId val="1770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75648"/>
        <c:crosses val="autoZero"/>
        <c:auto val="1"/>
        <c:lblAlgn val="ctr"/>
        <c:lblOffset val="100"/>
        <c:noMultiLvlLbl val="0"/>
      </c:catAx>
      <c:valAx>
        <c:axId val="1772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7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525120"/>
        <c:axId val="177526656"/>
      </c:barChart>
      <c:catAx>
        <c:axId val="177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26656"/>
        <c:crosses val="autoZero"/>
        <c:auto val="1"/>
        <c:lblAlgn val="ctr"/>
        <c:lblOffset val="100"/>
        <c:noMultiLvlLbl val="0"/>
      </c:catAx>
      <c:valAx>
        <c:axId val="17752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52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58752"/>
        <c:axId val="178060288"/>
      </c:barChart>
      <c:catAx>
        <c:axId val="17805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60288"/>
        <c:crosses val="autoZero"/>
        <c:auto val="1"/>
        <c:lblAlgn val="ctr"/>
        <c:lblOffset val="100"/>
        <c:noMultiLvlLbl val="0"/>
      </c:catAx>
      <c:valAx>
        <c:axId val="17806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5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68800"/>
        <c:axId val="178274688"/>
      </c:barChart>
      <c:catAx>
        <c:axId val="1782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74688"/>
        <c:crosses val="autoZero"/>
        <c:auto val="1"/>
        <c:lblAlgn val="ctr"/>
        <c:lblOffset val="100"/>
        <c:noMultiLvlLbl val="0"/>
      </c:catAx>
      <c:valAx>
        <c:axId val="17827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6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518912"/>
        <c:axId val="180520448"/>
      </c:barChart>
      <c:catAx>
        <c:axId val="18051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20448"/>
        <c:crosses val="autoZero"/>
        <c:auto val="1"/>
        <c:lblAlgn val="ctr"/>
        <c:lblOffset val="100"/>
        <c:noMultiLvlLbl val="0"/>
      </c:catAx>
      <c:valAx>
        <c:axId val="1805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1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68352"/>
        <c:axId val="182069888"/>
      </c:barChart>
      <c:catAx>
        <c:axId val="1820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69888"/>
        <c:crosses val="autoZero"/>
        <c:auto val="1"/>
        <c:lblAlgn val="ctr"/>
        <c:lblOffset val="100"/>
        <c:noMultiLvlLbl val="0"/>
      </c:catAx>
      <c:valAx>
        <c:axId val="18206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6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91392"/>
        <c:axId val="182501376"/>
      </c:barChart>
      <c:catAx>
        <c:axId val="1824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01376"/>
        <c:crosses val="autoZero"/>
        <c:auto val="1"/>
        <c:lblAlgn val="ctr"/>
        <c:lblOffset val="100"/>
        <c:noMultiLvlLbl val="0"/>
      </c:catAx>
      <c:valAx>
        <c:axId val="18250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9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33888"/>
        <c:axId val="186147968"/>
      </c:barChart>
      <c:catAx>
        <c:axId val="1861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47968"/>
        <c:crosses val="autoZero"/>
        <c:auto val="1"/>
        <c:lblAlgn val="ctr"/>
        <c:lblOffset val="100"/>
        <c:noMultiLvlLbl val="0"/>
      </c:catAx>
      <c:valAx>
        <c:axId val="18614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3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08448"/>
        <c:axId val="187209984"/>
      </c:barChart>
      <c:catAx>
        <c:axId val="1872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09984"/>
        <c:crosses val="autoZero"/>
        <c:auto val="1"/>
        <c:lblAlgn val="ctr"/>
        <c:lblOffset val="100"/>
        <c:noMultiLvlLbl val="0"/>
      </c:catAx>
      <c:valAx>
        <c:axId val="18720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0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090240"/>
        <c:axId val="188091776"/>
      </c:barChart>
      <c:catAx>
        <c:axId val="1880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091776"/>
        <c:crosses val="autoZero"/>
        <c:auto val="1"/>
        <c:lblAlgn val="ctr"/>
        <c:lblOffset val="100"/>
        <c:noMultiLvlLbl val="0"/>
      </c:catAx>
      <c:valAx>
        <c:axId val="188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09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70848"/>
        <c:axId val="188280832"/>
      </c:barChart>
      <c:catAx>
        <c:axId val="1882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80832"/>
        <c:crosses val="autoZero"/>
        <c:auto val="1"/>
        <c:lblAlgn val="ctr"/>
        <c:lblOffset val="100"/>
        <c:noMultiLvlLbl val="0"/>
      </c:catAx>
      <c:valAx>
        <c:axId val="18828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7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75776"/>
        <c:axId val="88877312"/>
      </c:barChart>
      <c:catAx>
        <c:axId val="888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77312"/>
        <c:crosses val="autoZero"/>
        <c:auto val="1"/>
        <c:lblAlgn val="ctr"/>
        <c:lblOffset val="100"/>
        <c:noMultiLvlLbl val="0"/>
      </c:catAx>
      <c:valAx>
        <c:axId val="888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7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13664"/>
        <c:axId val="188535936"/>
      </c:barChart>
      <c:catAx>
        <c:axId val="1885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35936"/>
        <c:crosses val="autoZero"/>
        <c:auto val="1"/>
        <c:lblAlgn val="ctr"/>
        <c:lblOffset val="100"/>
        <c:noMultiLvlLbl val="0"/>
      </c:catAx>
      <c:valAx>
        <c:axId val="1885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1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080320"/>
        <c:axId val="189081856"/>
      </c:barChart>
      <c:catAx>
        <c:axId val="1890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081856"/>
        <c:crosses val="autoZero"/>
        <c:auto val="1"/>
        <c:lblAlgn val="ctr"/>
        <c:lblOffset val="100"/>
        <c:noMultiLvlLbl val="0"/>
      </c:catAx>
      <c:valAx>
        <c:axId val="18908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08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511936"/>
        <c:axId val="191434752"/>
      </c:barChart>
      <c:catAx>
        <c:axId val="1895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34752"/>
        <c:crosses val="autoZero"/>
        <c:auto val="1"/>
        <c:lblAlgn val="ctr"/>
        <c:lblOffset val="100"/>
        <c:noMultiLvlLbl val="0"/>
      </c:catAx>
      <c:valAx>
        <c:axId val="19143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1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29120"/>
        <c:axId val="195839104"/>
      </c:barChart>
      <c:catAx>
        <c:axId val="1958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39104"/>
        <c:crosses val="autoZero"/>
        <c:auto val="1"/>
        <c:lblAlgn val="ctr"/>
        <c:lblOffset val="100"/>
        <c:noMultiLvlLbl val="0"/>
      </c:catAx>
      <c:valAx>
        <c:axId val="19583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2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383488"/>
        <c:axId val="196385024"/>
      </c:barChart>
      <c:catAx>
        <c:axId val="19638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85024"/>
        <c:crosses val="autoZero"/>
        <c:auto val="1"/>
        <c:lblAlgn val="ctr"/>
        <c:lblOffset val="100"/>
        <c:noMultiLvlLbl val="0"/>
      </c:catAx>
      <c:valAx>
        <c:axId val="19638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8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82496"/>
        <c:axId val="198684032"/>
      </c:barChart>
      <c:catAx>
        <c:axId val="1986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84032"/>
        <c:crosses val="autoZero"/>
        <c:auto val="1"/>
        <c:lblAlgn val="ctr"/>
        <c:lblOffset val="100"/>
        <c:noMultiLvlLbl val="0"/>
      </c:catAx>
      <c:valAx>
        <c:axId val="19868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8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03552"/>
        <c:axId val="199713536"/>
      </c:barChart>
      <c:catAx>
        <c:axId val="1997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13536"/>
        <c:crosses val="autoZero"/>
        <c:auto val="1"/>
        <c:lblAlgn val="ctr"/>
        <c:lblOffset val="100"/>
        <c:noMultiLvlLbl val="0"/>
      </c:catAx>
      <c:valAx>
        <c:axId val="19971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0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76704"/>
        <c:axId val="200378240"/>
      </c:barChart>
      <c:catAx>
        <c:axId val="2003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78240"/>
        <c:crosses val="autoZero"/>
        <c:auto val="1"/>
        <c:lblAlgn val="ctr"/>
        <c:lblOffset val="100"/>
        <c:noMultiLvlLbl val="0"/>
      </c:catAx>
      <c:valAx>
        <c:axId val="20037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7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58880"/>
        <c:axId val="201260416"/>
      </c:barChart>
      <c:catAx>
        <c:axId val="201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60416"/>
        <c:crosses val="autoZero"/>
        <c:auto val="1"/>
        <c:lblAlgn val="ctr"/>
        <c:lblOffset val="100"/>
        <c:noMultiLvlLbl val="0"/>
      </c:catAx>
      <c:valAx>
        <c:axId val="2012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94720"/>
        <c:axId val="206848768"/>
      </c:barChart>
      <c:catAx>
        <c:axId val="2064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48768"/>
        <c:crosses val="autoZero"/>
        <c:auto val="1"/>
        <c:lblAlgn val="ctr"/>
        <c:lblOffset val="100"/>
        <c:noMultiLvlLbl val="0"/>
      </c:catAx>
      <c:valAx>
        <c:axId val="2068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9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46752"/>
        <c:axId val="106348544"/>
      </c:barChart>
      <c:catAx>
        <c:axId val="1063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48544"/>
        <c:crosses val="autoZero"/>
        <c:auto val="1"/>
        <c:lblAlgn val="ctr"/>
        <c:lblOffset val="100"/>
        <c:noMultiLvlLbl val="0"/>
      </c:catAx>
      <c:valAx>
        <c:axId val="10634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4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09536"/>
        <c:axId val="207411072"/>
      </c:barChart>
      <c:catAx>
        <c:axId val="2074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1072"/>
        <c:crosses val="autoZero"/>
        <c:auto val="1"/>
        <c:lblAlgn val="ctr"/>
        <c:lblOffset val="100"/>
        <c:noMultiLvlLbl val="0"/>
      </c:catAx>
      <c:valAx>
        <c:axId val="20741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0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01216"/>
        <c:axId val="208202752"/>
      </c:barChart>
      <c:catAx>
        <c:axId val="2082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02752"/>
        <c:crosses val="autoZero"/>
        <c:auto val="1"/>
        <c:lblAlgn val="ctr"/>
        <c:lblOffset val="100"/>
        <c:noMultiLvlLbl val="0"/>
      </c:catAx>
      <c:valAx>
        <c:axId val="2082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0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52640"/>
        <c:axId val="209158528"/>
      </c:barChart>
      <c:catAx>
        <c:axId val="2091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58528"/>
        <c:crosses val="autoZero"/>
        <c:auto val="1"/>
        <c:lblAlgn val="ctr"/>
        <c:lblOffset val="100"/>
        <c:noMultiLvlLbl val="0"/>
      </c:catAx>
      <c:valAx>
        <c:axId val="2091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5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28192"/>
        <c:axId val="209929728"/>
      </c:barChart>
      <c:catAx>
        <c:axId val="2099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9728"/>
        <c:crosses val="autoZero"/>
        <c:auto val="1"/>
        <c:lblAlgn val="ctr"/>
        <c:lblOffset val="100"/>
        <c:noMultiLvlLbl val="0"/>
      </c:catAx>
      <c:valAx>
        <c:axId val="20992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2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49760"/>
        <c:axId val="210151296"/>
      </c:barChart>
      <c:catAx>
        <c:axId val="2101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51296"/>
        <c:crosses val="autoZero"/>
        <c:auto val="1"/>
        <c:lblAlgn val="ctr"/>
        <c:lblOffset val="100"/>
        <c:noMultiLvlLbl val="0"/>
      </c:catAx>
      <c:valAx>
        <c:axId val="21015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4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695680"/>
        <c:axId val="210697216"/>
      </c:barChart>
      <c:catAx>
        <c:axId val="2106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97216"/>
        <c:crosses val="autoZero"/>
        <c:auto val="1"/>
        <c:lblAlgn val="ctr"/>
        <c:lblOffset val="100"/>
        <c:noMultiLvlLbl val="0"/>
      </c:catAx>
      <c:valAx>
        <c:axId val="2106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26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51488"/>
        <c:axId val="211157376"/>
      </c:barChart>
      <c:catAx>
        <c:axId val="2111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57376"/>
        <c:crosses val="autoZero"/>
        <c:auto val="1"/>
        <c:lblAlgn val="ctr"/>
        <c:lblOffset val="100"/>
        <c:noMultiLvlLbl val="0"/>
      </c:catAx>
      <c:valAx>
        <c:axId val="21115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5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582976"/>
        <c:axId val="211584512"/>
      </c:barChart>
      <c:catAx>
        <c:axId val="2115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84512"/>
        <c:crosses val="autoZero"/>
        <c:auto val="1"/>
        <c:lblAlgn val="ctr"/>
        <c:lblOffset val="100"/>
        <c:noMultiLvlLbl val="0"/>
      </c:catAx>
      <c:valAx>
        <c:axId val="21158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8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518016"/>
        <c:axId val="212519552"/>
      </c:barChart>
      <c:catAx>
        <c:axId val="21251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9552"/>
        <c:crosses val="autoZero"/>
        <c:auto val="1"/>
        <c:lblAlgn val="ctr"/>
        <c:lblOffset val="100"/>
        <c:noMultiLvlLbl val="0"/>
      </c:catAx>
      <c:valAx>
        <c:axId val="2125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100608"/>
        <c:axId val="214114688"/>
      </c:barChart>
      <c:catAx>
        <c:axId val="21410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114688"/>
        <c:crosses val="autoZero"/>
        <c:auto val="1"/>
        <c:lblAlgn val="ctr"/>
        <c:lblOffset val="100"/>
        <c:noMultiLvlLbl val="0"/>
      </c:catAx>
      <c:valAx>
        <c:axId val="2141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10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35584"/>
        <c:axId val="109237376"/>
      </c:barChart>
      <c:catAx>
        <c:axId val="1092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7376"/>
        <c:crosses val="autoZero"/>
        <c:auto val="1"/>
        <c:lblAlgn val="ctr"/>
        <c:lblOffset val="100"/>
        <c:noMultiLvlLbl val="0"/>
      </c:catAx>
      <c:valAx>
        <c:axId val="1092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73632"/>
        <c:axId val="109575168"/>
      </c:barChart>
      <c:catAx>
        <c:axId val="1095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5168"/>
        <c:crosses val="autoZero"/>
        <c:auto val="1"/>
        <c:lblAlgn val="ctr"/>
        <c:lblOffset val="100"/>
        <c:noMultiLvlLbl val="0"/>
      </c:catAx>
      <c:valAx>
        <c:axId val="1095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33856"/>
        <c:axId val="84643840"/>
      </c:barChart>
      <c:catAx>
        <c:axId val="846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43840"/>
        <c:crosses val="autoZero"/>
        <c:auto val="1"/>
        <c:lblAlgn val="ctr"/>
        <c:lblOffset val="100"/>
        <c:noMultiLvlLbl val="0"/>
      </c:catAx>
      <c:valAx>
        <c:axId val="846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3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75488"/>
        <c:axId val="109777280"/>
      </c:barChart>
      <c:catAx>
        <c:axId val="1097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77280"/>
        <c:crosses val="autoZero"/>
        <c:auto val="1"/>
        <c:lblAlgn val="ctr"/>
        <c:lblOffset val="100"/>
        <c:noMultiLvlLbl val="0"/>
      </c:catAx>
      <c:valAx>
        <c:axId val="10977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7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91584"/>
        <c:axId val="109893120"/>
      </c:barChart>
      <c:catAx>
        <c:axId val="1098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3120"/>
        <c:crosses val="autoZero"/>
        <c:auto val="1"/>
        <c:lblAlgn val="ctr"/>
        <c:lblOffset val="100"/>
        <c:noMultiLvlLbl val="0"/>
      </c:catAx>
      <c:valAx>
        <c:axId val="10989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380160"/>
        <c:axId val="110381696"/>
      </c:barChart>
      <c:catAx>
        <c:axId val="1103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81696"/>
        <c:crosses val="autoZero"/>
        <c:auto val="1"/>
        <c:lblAlgn val="ctr"/>
        <c:lblOffset val="100"/>
        <c:noMultiLvlLbl val="0"/>
      </c:catAx>
      <c:valAx>
        <c:axId val="11038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5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79296"/>
        <c:axId val="84685184"/>
      </c:barChart>
      <c:catAx>
        <c:axId val="846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5184"/>
        <c:crosses val="autoZero"/>
        <c:auto val="1"/>
        <c:lblAlgn val="ctr"/>
        <c:lblOffset val="100"/>
        <c:noMultiLvlLbl val="0"/>
      </c:catAx>
      <c:valAx>
        <c:axId val="8468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38848"/>
        <c:axId val="118661120"/>
      </c:barChart>
      <c:catAx>
        <c:axId val="118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61120"/>
        <c:crosses val="autoZero"/>
        <c:auto val="1"/>
        <c:lblAlgn val="ctr"/>
        <c:lblOffset val="100"/>
        <c:noMultiLvlLbl val="0"/>
      </c:catAx>
      <c:valAx>
        <c:axId val="11866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204864"/>
        <c:axId val="119546624"/>
      </c:barChart>
      <c:catAx>
        <c:axId val="11920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46624"/>
        <c:crosses val="autoZero"/>
        <c:auto val="1"/>
        <c:lblAlgn val="ctr"/>
        <c:lblOffset val="100"/>
        <c:noMultiLvlLbl val="0"/>
      </c:catAx>
      <c:valAx>
        <c:axId val="11954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20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43552"/>
        <c:axId val="119945088"/>
      </c:barChart>
      <c:catAx>
        <c:axId val="11994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45088"/>
        <c:crosses val="autoZero"/>
        <c:auto val="1"/>
        <c:lblAlgn val="ctr"/>
        <c:lblOffset val="100"/>
        <c:noMultiLvlLbl val="0"/>
      </c:catAx>
      <c:valAx>
        <c:axId val="11994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4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57312"/>
        <c:axId val="120158848"/>
      </c:barChart>
      <c:catAx>
        <c:axId val="120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58848"/>
        <c:crosses val="autoZero"/>
        <c:auto val="1"/>
        <c:lblAlgn val="ctr"/>
        <c:lblOffset val="100"/>
        <c:noMultiLvlLbl val="0"/>
      </c:catAx>
      <c:valAx>
        <c:axId val="12015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5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16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36000"/>
        <c:axId val="120758272"/>
      </c:barChart>
      <c:catAx>
        <c:axId val="1207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58272"/>
        <c:crosses val="autoZero"/>
        <c:auto val="1"/>
        <c:lblAlgn val="ctr"/>
        <c:lblOffset val="100"/>
        <c:noMultiLvlLbl val="0"/>
      </c:catAx>
      <c:valAx>
        <c:axId val="12075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3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634816"/>
        <c:axId val="121636352"/>
      </c:barChart>
      <c:catAx>
        <c:axId val="1216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6352"/>
        <c:crosses val="autoZero"/>
        <c:auto val="1"/>
        <c:lblAlgn val="ctr"/>
        <c:lblOffset val="100"/>
        <c:noMultiLvlLbl val="0"/>
      </c:catAx>
      <c:valAx>
        <c:axId val="12163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80032"/>
        <c:axId val="121981568"/>
      </c:barChart>
      <c:catAx>
        <c:axId val="12198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81568"/>
        <c:crosses val="autoZero"/>
        <c:auto val="1"/>
        <c:lblAlgn val="ctr"/>
        <c:lblOffset val="100"/>
        <c:noMultiLvlLbl val="0"/>
      </c:catAx>
      <c:valAx>
        <c:axId val="12198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8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28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373824"/>
        <c:axId val="123387904"/>
      </c:barChart>
      <c:catAx>
        <c:axId val="1233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7904"/>
        <c:crosses val="autoZero"/>
        <c:auto val="1"/>
        <c:lblAlgn val="ctr"/>
        <c:lblOffset val="100"/>
        <c:noMultiLvlLbl val="0"/>
      </c:catAx>
      <c:valAx>
        <c:axId val="12338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70816"/>
        <c:axId val="123576704"/>
      </c:barChart>
      <c:catAx>
        <c:axId val="1235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76704"/>
        <c:crosses val="autoZero"/>
        <c:auto val="1"/>
        <c:lblAlgn val="ctr"/>
        <c:lblOffset val="100"/>
        <c:noMultiLvlLbl val="0"/>
      </c:catAx>
      <c:valAx>
        <c:axId val="12357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883904"/>
        <c:axId val="123885440"/>
      </c:barChart>
      <c:catAx>
        <c:axId val="1238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885440"/>
        <c:crosses val="autoZero"/>
        <c:auto val="1"/>
        <c:lblAlgn val="ctr"/>
        <c:lblOffset val="100"/>
        <c:noMultiLvlLbl val="0"/>
      </c:catAx>
      <c:valAx>
        <c:axId val="12388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88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213120"/>
        <c:axId val="124214656"/>
      </c:barChart>
      <c:catAx>
        <c:axId val="124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14656"/>
        <c:crosses val="autoZero"/>
        <c:auto val="1"/>
        <c:lblAlgn val="ctr"/>
        <c:lblOffset val="100"/>
        <c:noMultiLvlLbl val="0"/>
      </c:catAx>
      <c:valAx>
        <c:axId val="12421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21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83104"/>
        <c:axId val="84784640"/>
      </c:barChart>
      <c:catAx>
        <c:axId val="847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84640"/>
        <c:crosses val="autoZero"/>
        <c:auto val="1"/>
        <c:lblAlgn val="ctr"/>
        <c:lblOffset val="100"/>
        <c:noMultiLvlLbl val="0"/>
      </c:catAx>
      <c:valAx>
        <c:axId val="8478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8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509568"/>
        <c:axId val="124527744"/>
      </c:barChart>
      <c:catAx>
        <c:axId val="1245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27744"/>
        <c:crosses val="autoZero"/>
        <c:auto val="1"/>
        <c:lblAlgn val="ctr"/>
        <c:lblOffset val="100"/>
        <c:noMultiLvlLbl val="0"/>
      </c:catAx>
      <c:valAx>
        <c:axId val="12452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0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77920"/>
        <c:axId val="124979456"/>
      </c:barChart>
      <c:catAx>
        <c:axId val="1249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79456"/>
        <c:crosses val="autoZero"/>
        <c:auto val="1"/>
        <c:lblAlgn val="ctr"/>
        <c:lblOffset val="100"/>
        <c:noMultiLvlLbl val="0"/>
      </c:catAx>
      <c:valAx>
        <c:axId val="12497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7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675776"/>
        <c:axId val="125689856"/>
      </c:barChart>
      <c:catAx>
        <c:axId val="1256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89856"/>
        <c:crosses val="autoZero"/>
        <c:auto val="1"/>
        <c:lblAlgn val="ctr"/>
        <c:lblOffset val="100"/>
        <c:noMultiLvlLbl val="0"/>
      </c:catAx>
      <c:valAx>
        <c:axId val="1256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7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968384"/>
        <c:axId val="125969920"/>
      </c:barChart>
      <c:catAx>
        <c:axId val="1259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69920"/>
        <c:crosses val="autoZero"/>
        <c:auto val="1"/>
        <c:lblAlgn val="ctr"/>
        <c:lblOffset val="100"/>
        <c:noMultiLvlLbl val="0"/>
      </c:catAx>
      <c:valAx>
        <c:axId val="12596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6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510592"/>
        <c:axId val="126512128"/>
      </c:barChart>
      <c:catAx>
        <c:axId val="12651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12128"/>
        <c:crosses val="autoZero"/>
        <c:auto val="1"/>
        <c:lblAlgn val="ctr"/>
        <c:lblOffset val="100"/>
        <c:noMultiLvlLbl val="0"/>
      </c:catAx>
      <c:valAx>
        <c:axId val="12651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1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50016"/>
        <c:axId val="126951808"/>
      </c:barChart>
      <c:catAx>
        <c:axId val="1269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51808"/>
        <c:crosses val="autoZero"/>
        <c:auto val="1"/>
        <c:lblAlgn val="ctr"/>
        <c:lblOffset val="100"/>
        <c:noMultiLvlLbl val="0"/>
      </c:catAx>
      <c:valAx>
        <c:axId val="12695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999936"/>
        <c:axId val="127001728"/>
      </c:barChart>
      <c:catAx>
        <c:axId val="1269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01728"/>
        <c:crosses val="autoZero"/>
        <c:auto val="1"/>
        <c:lblAlgn val="ctr"/>
        <c:lblOffset val="100"/>
        <c:noMultiLvlLbl val="0"/>
      </c:catAx>
      <c:valAx>
        <c:axId val="1270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99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74080"/>
        <c:axId val="127375616"/>
      </c:barChart>
      <c:catAx>
        <c:axId val="1273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75616"/>
        <c:crosses val="autoZero"/>
        <c:auto val="1"/>
        <c:lblAlgn val="ctr"/>
        <c:lblOffset val="100"/>
        <c:noMultiLvlLbl val="0"/>
      </c:catAx>
      <c:valAx>
        <c:axId val="1273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7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D28" sqref="D28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29</v>
      </c>
      <c r="C15" s="57">
        <v>48</v>
      </c>
      <c r="D15" s="58">
        <f>ROUND(B15/C15*100,3)</f>
        <v>60.417000000000002</v>
      </c>
    </row>
    <row r="16" spans="1:13" x14ac:dyDescent="0.2">
      <c r="A16" s="59" t="s">
        <v>17</v>
      </c>
      <c r="B16" s="57">
        <f>COUNTIF(Resp4[Vínculo],A16)</f>
        <v>0</v>
      </c>
      <c r="C16" s="57">
        <v>0</v>
      </c>
      <c r="D16" s="58" t="e">
        <f t="shared" ref="D16:D17" si="0">ROUND(B16/C16*100,3)</f>
        <v>#DIV/0!</v>
      </c>
    </row>
    <row r="17" spans="1:10" x14ac:dyDescent="0.2">
      <c r="A17" s="60" t="s">
        <v>18</v>
      </c>
      <c r="B17" s="57">
        <f>SUM(B15:B16)</f>
        <v>29</v>
      </c>
      <c r="C17" s="57">
        <f>SUM(C15:C16)</f>
        <v>48</v>
      </c>
      <c r="D17" s="58">
        <f t="shared" si="0"/>
        <v>60.417000000000002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493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COUNTIFS(Resp4[Vínculo],"tecnico",Resp4[4.04],B9)</f>
        <v>0</v>
      </c>
      <c r="D9" s="4">
        <f>COUNTIFS(Resp4[Vínculo],"docente",Resp4[4.04],B9)</f>
        <v>0</v>
      </c>
      <c r="E9" s="4">
        <f>COUNTIF(Resp4[4.04],B9)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COUNTIFS(Resp4[Vínculo],"tecnico",Resp4[4.04],B10)</f>
        <v>1</v>
      </c>
      <c r="D10" s="4">
        <f>COUNTIFS(Resp4[Vínculo],"docente",Resp4[4.04],B10)</f>
        <v>0</v>
      </c>
      <c r="E10" s="4">
        <f>COUNTIF(Resp4[4.04],B10)</f>
        <v>1</v>
      </c>
      <c r="F10" s="4">
        <f t="shared" si="0"/>
        <v>3.45</v>
      </c>
      <c r="G10" s="3">
        <f t="shared" si="1"/>
        <v>100</v>
      </c>
    </row>
    <row r="11" spans="1:7" x14ac:dyDescent="0.25">
      <c r="B11" s="2" t="s">
        <v>200</v>
      </c>
      <c r="C11" s="4">
        <f>COUNTIFS(Resp4[Vínculo],"tecnico",Resp4[4.04],B11)</f>
        <v>0</v>
      </c>
      <c r="D11" s="4">
        <f>COUNTIFS(Resp4[Vínculo],"docente",Resp4[4.04],B11)</f>
        <v>0</v>
      </c>
      <c r="E11" s="4">
        <f>COUNTIF(Resp4[4.04],B11)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COUNTIFS(Resp4[Vínculo],"tecnico",Resp4[4.04],B12)</f>
        <v>0</v>
      </c>
      <c r="D12" s="4">
        <f>COUNTIFS(Resp4[Vínculo],"docente",Resp4[4.04],B12)</f>
        <v>0</v>
      </c>
      <c r="E12" s="4">
        <f>COUNTIF(Resp4[4.04],B12)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493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COUNTIFS(Resp4[Vínculo],"tecnico",Resp4[4.103],B8)</f>
        <v>1</v>
      </c>
      <c r="D8" s="4">
        <f>COUNTIFS(Resp4[Vínculo],"docente",Resp4[4.103],B8)</f>
        <v>0</v>
      </c>
      <c r="E8" s="4">
        <f>COUNTIF(Resp4[4.103],B8)</f>
        <v>1</v>
      </c>
      <c r="F8" s="4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COUNTIFS(Resp4[Vínculo],"tecnico",Resp4[4.103],B9)</f>
        <v>1</v>
      </c>
      <c r="D9" s="4">
        <f>COUNTIFS(Resp4[Vínculo],"docente",Resp4[4.103],B9)</f>
        <v>0</v>
      </c>
      <c r="E9" s="4">
        <f>COUNTIF(Resp4[4.103],B9)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0</v>
      </c>
      <c r="E10" s="4">
        <f>COUNTIF(Resp4[4.103],B10)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COUNTIFS(Resp4[Vínculo],"tecnico",Resp4[4.103],B11)</f>
        <v>1</v>
      </c>
      <c r="D11" s="4">
        <f>COUNTIFS(Resp4[Vínculo],"docente",Resp4[4.103],B11)</f>
        <v>0</v>
      </c>
      <c r="E11" s="4">
        <f>COUNTIF(Resp4[4.103],B11)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COUNTIFS(Resp4[Vínculo],"tecnico",Resp4[4.103],B12)</f>
        <v>0</v>
      </c>
      <c r="D12" s="4">
        <f>COUNTIFS(Resp4[Vínculo],"docente",Resp4[4.103],B12)</f>
        <v>0</v>
      </c>
      <c r="E12" s="4">
        <f>COUNTIF(Resp4[4.103],B12)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493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COUNTIFS(Resp4[Vínculo],"tecnico",Resp4[4.104],B7)</f>
        <v>1</v>
      </c>
      <c r="D7" s="4">
        <f>COUNTIFS(Resp4[Vínculo],"docente",Resp4[4.104],B7)</f>
        <v>0</v>
      </c>
      <c r="E7" s="4">
        <f>COUNTIF(Resp4[4.104],B7)</f>
        <v>1</v>
      </c>
      <c r="F7" s="15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COUNTIFS(Resp4[Vínculo],"tecnico",Resp4[4.104],B9)</f>
        <v>1</v>
      </c>
      <c r="D9" s="4">
        <f>COUNTIFS(Resp4[Vínculo],"docente",Resp4[4.104],B9)</f>
        <v>0</v>
      </c>
      <c r="E9" s="4">
        <f>COUNTIF(Resp4[4.104],B9)</f>
        <v>1</v>
      </c>
      <c r="F9" s="15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COUNTIFS(Resp4[Vínculo],"tecnico",Resp4[4.104],B10)</f>
        <v>1</v>
      </c>
      <c r="D10" s="4">
        <f>COUNTIFS(Resp4[Vínculo],"docente",Resp4[4.104],B10)</f>
        <v>0</v>
      </c>
      <c r="E10" s="4">
        <f>COUNTIF(Resp4[4.104],B10)</f>
        <v>1</v>
      </c>
      <c r="F10" s="15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COUNTIFS(Resp4[Vínculo],"tecnico",Resp4[4.104],B11)</f>
        <v>0</v>
      </c>
      <c r="D11" s="4">
        <f>COUNTIFS(Resp4[Vínculo],"docente",Resp4[4.104],B11)</f>
        <v>0</v>
      </c>
      <c r="E11" s="4">
        <f>COUNTIF(Resp4[4.104],B11)</f>
        <v>0</v>
      </c>
      <c r="F11" s="15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COUNTIFS(Resp4[Vínculo],"tecnico",Resp4[4.104],B12)</f>
        <v>0</v>
      </c>
      <c r="D12" s="4">
        <f>COUNTIFS(Resp4[Vínculo],"docente",Resp4[4.104],B12)</f>
        <v>0</v>
      </c>
      <c r="E12" s="4">
        <f>COUNTIF(Resp4[4.104],B12)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493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COUNTIFS(Resp4[Vínculo],"tecnico",Resp4[4.105],B7)</f>
        <v>1</v>
      </c>
      <c r="D7" s="4">
        <f>COUNTIFS(Resp4[Vínculo],"docente",Resp4[4.105],B7)</f>
        <v>0</v>
      </c>
      <c r="E7" s="4">
        <f>COUNTIF(Resp4[4.105],B7)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COUNTIFS(Resp4[Vínculo],"tecnico",Resp4[4.105],B9)</f>
        <v>1</v>
      </c>
      <c r="D9" s="4">
        <f>COUNTIFS(Resp4[Vínculo],"docente",Resp4[4.105],B9)</f>
        <v>0</v>
      </c>
      <c r="E9" s="4">
        <f>COUNTIF(Resp4[4.105],B9)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COUNTIFS(Resp4[Vínculo],"tecnico",Resp4[4.105],B10)</f>
        <v>1</v>
      </c>
      <c r="D10" s="4">
        <f>COUNTIFS(Resp4[Vínculo],"docente",Resp4[4.105],B10)</f>
        <v>0</v>
      </c>
      <c r="E10" s="4">
        <f>COUNTIF(Resp4[4.105],B10)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COUNTIFS(Resp4[Vínculo],"tecnico",Resp4[4.105],B11)</f>
        <v>0</v>
      </c>
      <c r="D11" s="4">
        <f>COUNTIFS(Resp4[Vínculo],"docente",Resp4[4.105],B11)</f>
        <v>0</v>
      </c>
      <c r="E11" s="4">
        <f>COUNTIF(Resp4[4.105],B11)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COUNTIFS(Resp4[Vínculo],"tecnico",Resp4[4.105],B12)</f>
        <v>0</v>
      </c>
      <c r="D12" s="4">
        <f>COUNTIFS(Resp4[Vínculo],"docente",Resp4[4.105],B12)</f>
        <v>0</v>
      </c>
      <c r="E12" s="4">
        <f>COUNTIF(Resp4[4.105],B12)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493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COUNTIFS(Resp4[Vínculo],"tecnico",Resp4[4.106],B7)</f>
        <v>1</v>
      </c>
      <c r="D7" s="4">
        <f>COUNTIFS(Resp4[Vínculo],"docente",Resp4[4.106],B7)</f>
        <v>0</v>
      </c>
      <c r="E7" s="4">
        <f>COUNTIF(Resp4[4.106],B7)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COUNTIFS(Resp4[Vínculo],"tecnico",Resp4[4.106],B9)</f>
        <v>2</v>
      </c>
      <c r="D9" s="4">
        <f>COUNTIFS(Resp4[Vínculo],"docente",Resp4[4.106],B9)</f>
        <v>0</v>
      </c>
      <c r="E9" s="4">
        <f>COUNTIF(Resp4[4.106],B9)</f>
        <v>2</v>
      </c>
      <c r="F9" s="4">
        <f t="shared" si="0"/>
        <v>6.9</v>
      </c>
      <c r="G9" s="3">
        <f t="shared" si="1"/>
        <v>66.667000000000002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COUNTIFS(Resp4[Vínculo],"tecnico",Resp4[4.106],B11)</f>
        <v>0</v>
      </c>
      <c r="D11" s="4">
        <f>COUNTIFS(Resp4[Vínculo],"docente",Resp4[4.106],B11)</f>
        <v>0</v>
      </c>
      <c r="E11" s="4">
        <f>COUNTIF(Resp4[4.106],B11)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COUNTIFS(Resp4[Vínculo],"tecnico",Resp4[4.106],B12)</f>
        <v>0</v>
      </c>
      <c r="D12" s="4">
        <f>COUNTIFS(Resp4[Vínculo],"docente",Resp4[4.106],B12)</f>
        <v>0</v>
      </c>
      <c r="E12" s="4">
        <f>COUNTIF(Resp4[4.106],B12)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493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COUNTIFS(Resp4[Vínculo],"tecnico",Resp4[4.107],B7)</f>
        <v>1</v>
      </c>
      <c r="D7" s="4">
        <f>COUNTIFS(Resp4[Vínculo],"docente",Resp4[4.107],B7)</f>
        <v>0</v>
      </c>
      <c r="E7" s="4">
        <f>COUNTIF(Resp4[4.107],B7)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COUNTIFS(Resp4[Vínculo],"tecnico",Resp4[4.107],B8)</f>
        <v>1</v>
      </c>
      <c r="D8" s="4">
        <f>COUNTIFS(Resp4[Vínculo],"docente",Resp4[4.107],B8)</f>
        <v>0</v>
      </c>
      <c r="E8" s="4">
        <f>COUNTIF(Resp4[4.107],B8)</f>
        <v>1</v>
      </c>
      <c r="F8" s="4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COUNTIFS(Resp4[Vínculo],"tecnico",Resp4[4.107],B9)</f>
        <v>1</v>
      </c>
      <c r="D9" s="4">
        <f>COUNTIFS(Resp4[Vínculo],"docente",Resp4[4.107],B9)</f>
        <v>0</v>
      </c>
      <c r="E9" s="4">
        <f>COUNTIF(Resp4[4.107],B9)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COUNTIFS(Resp4[Vínculo],"tecnico",Resp4[4.107],B11)</f>
        <v>0</v>
      </c>
      <c r="D11" s="4">
        <f>COUNTIFS(Resp4[Vínculo],"docente",Resp4[4.107],B11)</f>
        <v>0</v>
      </c>
      <c r="E11" s="4">
        <f>COUNTIF(Resp4[4.107],B11)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COUNTIFS(Resp4[Vínculo],"tecnico",Resp4[4.107],B12)</f>
        <v>0</v>
      </c>
      <c r="D12" s="4">
        <f>COUNTIFS(Resp4[Vínculo],"docente",Resp4[4.107],B12)</f>
        <v>0</v>
      </c>
      <c r="E12" s="4">
        <f>COUNTIF(Resp4[4.107],B12)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493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COUNTIFS(Resp4[Vínculo],"tecnico",Resp4[4.108],B7)</f>
        <v>1</v>
      </c>
      <c r="D7" s="4">
        <f>COUNTIFS(Resp4[Vínculo],"docente",Resp4[4.108],B7)</f>
        <v>0</v>
      </c>
      <c r="E7" s="4">
        <f>COUNTIF(Resp4[4.108],B7)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COUNTIFS(Resp4[Vínculo],"tecnico",Resp4[4.108],B9)</f>
        <v>2</v>
      </c>
      <c r="D9" s="4">
        <f>COUNTIFS(Resp4[Vínculo],"docente",Resp4[4.108],B9)</f>
        <v>0</v>
      </c>
      <c r="E9" s="4">
        <f>COUNTIF(Resp4[4.108],B9)</f>
        <v>2</v>
      </c>
      <c r="F9" s="4">
        <f t="shared" si="0"/>
        <v>6.9</v>
      </c>
      <c r="G9" s="3">
        <f t="shared" si="1"/>
        <v>66.667000000000002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0</v>
      </c>
      <c r="E10" s="4">
        <f>COUNTIF(Resp4[4.108],B10)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COUNTIFS(Resp4[Vínculo],"tecnico",Resp4[4.108],B11)</f>
        <v>0</v>
      </c>
      <c r="D11" s="4">
        <f>COUNTIFS(Resp4[Vínculo],"docente",Resp4[4.108],B11)</f>
        <v>0</v>
      </c>
      <c r="E11" s="4">
        <f>COUNTIF(Resp4[4.108],B11)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COUNTIFS(Resp4[Vínculo],"tecnico",Resp4[4.108],B12)</f>
        <v>0</v>
      </c>
      <c r="D12" s="4">
        <f>COUNTIFS(Resp4[Vínculo],"docente",Resp4[4.108],B12)</f>
        <v>0</v>
      </c>
      <c r="E12" s="4">
        <f>COUNTIF(Resp4[4.108],B12)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493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COUNTIFS(Resp4[Vínculo],"tecnico",Resp4[4.109],B7)</f>
        <v>1</v>
      </c>
      <c r="D7" s="4">
        <f>COUNTIFS(Resp4[Vínculo],"docente",Resp4[4.109],B7)</f>
        <v>0</v>
      </c>
      <c r="E7" s="4">
        <f>COUNTIF(Resp4[4.109],B7)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COUNTIFS(Resp4[Vínculo],"tecnico",Resp4[4.109],B9)</f>
        <v>1</v>
      </c>
      <c r="D9" s="4">
        <f>COUNTIFS(Resp4[Vínculo],"docente",Resp4[4.109],B9)</f>
        <v>0</v>
      </c>
      <c r="E9" s="4">
        <f>COUNTIF(Resp4[4.109],B9)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COUNTIFS(Resp4[Vínculo],"tecnico",Resp4[4.109],B10)</f>
        <v>1</v>
      </c>
      <c r="D10" s="4">
        <f>COUNTIFS(Resp4[Vínculo],"docente",Resp4[4.109],B10)</f>
        <v>0</v>
      </c>
      <c r="E10" s="4">
        <f>COUNTIF(Resp4[4.109],B10)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COUNTIFS(Resp4[Vínculo],"tecnico",Resp4[4.109],B11)</f>
        <v>0</v>
      </c>
      <c r="D11" s="4">
        <f>COUNTIFS(Resp4[Vínculo],"docente",Resp4[4.109],B11)</f>
        <v>0</v>
      </c>
      <c r="E11" s="4">
        <f>COUNTIF(Resp4[4.109],B11)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COUNTIFS(Resp4[Vínculo],"tecnico",Resp4[4.109],B12)</f>
        <v>0</v>
      </c>
      <c r="D12" s="4">
        <f>COUNTIFS(Resp4[Vínculo],"docente",Resp4[4.109],B12)</f>
        <v>0</v>
      </c>
      <c r="E12" s="4">
        <f>COUNTIF(Resp4[4.109],B12)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493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COUNTIFS(Resp4[Vínculo],"tecnico",Resp4[4.110],B7)</f>
        <v>1</v>
      </c>
      <c r="D7" s="4">
        <f>COUNTIFS(Resp4[Vínculo],"docente",Resp4[4.110],B7)</f>
        <v>0</v>
      </c>
      <c r="E7" s="4">
        <f>COUNTIF(Resp4[4.110],B7)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COUNTIFS(Resp4[Vínculo],"tecnico",Resp4[4.110],B9)</f>
        <v>1</v>
      </c>
      <c r="D9" s="4">
        <f>COUNTIFS(Resp4[Vínculo],"docente",Resp4[4.110],B9)</f>
        <v>0</v>
      </c>
      <c r="E9" s="4">
        <f>COUNTIF(Resp4[4.110],B9)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COUNTIFS(Resp4[Vínculo],"tecnico",Resp4[4.110],B10)</f>
        <v>1</v>
      </c>
      <c r="D10" s="4">
        <f>COUNTIFS(Resp4[Vínculo],"docente",Resp4[4.110],B10)</f>
        <v>0</v>
      </c>
      <c r="E10" s="4">
        <f>COUNTIF(Resp4[4.110],B10)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COUNTIFS(Resp4[Vínculo],"tecnico",Resp4[4.110],B11)</f>
        <v>0</v>
      </c>
      <c r="D11" s="4">
        <f>COUNTIFS(Resp4[Vínculo],"docente",Resp4[4.110],B11)</f>
        <v>0</v>
      </c>
      <c r="E11" s="4">
        <f>COUNTIF(Resp4[4.110],B11)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COUNTIFS(Resp4[Vínculo],"tecnico",Resp4[4.110],B12)</f>
        <v>0</v>
      </c>
      <c r="D12" s="4">
        <f>COUNTIFS(Resp4[Vínculo],"docente",Resp4[4.110],B12)</f>
        <v>0</v>
      </c>
      <c r="E12" s="4">
        <f>COUNTIF(Resp4[4.110],B12)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493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COUNTIFS(Resp4[Vínculo],"tecnico",Resp4[4.111],B7)</f>
        <v>1</v>
      </c>
      <c r="D7" s="4">
        <f>COUNTIFS(Resp4[Vínculo],"docente",Resp4[4.111],B7)</f>
        <v>0</v>
      </c>
      <c r="E7" s="4">
        <f>COUNTIF(Resp4[4.111],B7)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COUNTIFS(Resp4[Vínculo],"tecnico",Resp4[4.111],B9)</f>
        <v>1</v>
      </c>
      <c r="D9" s="4">
        <f>COUNTIFS(Resp4[Vínculo],"docente",Resp4[4.111],B9)</f>
        <v>0</v>
      </c>
      <c r="E9" s="4">
        <f>COUNTIF(Resp4[4.111],B9)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COUNTIFS(Resp4[Vínculo],"tecnico",Resp4[4.111],B10)</f>
        <v>1</v>
      </c>
      <c r="D10" s="4">
        <f>COUNTIFS(Resp4[Vínculo],"docente",Resp4[4.111],B10)</f>
        <v>0</v>
      </c>
      <c r="E10" s="4">
        <f>COUNTIF(Resp4[4.111],B10)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COUNTIFS(Resp4[Vínculo],"tecnico",Resp4[4.111],B11)</f>
        <v>0</v>
      </c>
      <c r="D11" s="4">
        <f>COUNTIFS(Resp4[Vínculo],"docente",Resp4[4.111],B11)</f>
        <v>0</v>
      </c>
      <c r="E11" s="4">
        <f>COUNTIF(Resp4[4.111],B11)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COUNTIFS(Resp4[Vínculo],"tecnico",Resp4[4.111],B12)</f>
        <v>0</v>
      </c>
      <c r="D12" s="4">
        <f>COUNTIFS(Resp4[Vínculo],"docente",Resp4[4.111],B12)</f>
        <v>0</v>
      </c>
      <c r="E12" s="4">
        <f>COUNTIF(Resp4[4.111],B12)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493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COUNTIFS(Resp4[Vínculo],"tecnico",Resp4[4.112],B7)</f>
        <v>1</v>
      </c>
      <c r="D7" s="4">
        <f>COUNTIFS(Resp4[Vínculo],"docente",Resp4[4.112],B7)</f>
        <v>0</v>
      </c>
      <c r="E7" s="4">
        <f>COUNTIF(Resp4[4.112],B7)</f>
        <v>1</v>
      </c>
      <c r="F7" s="3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COUNTIFS(Resp4[Vínculo],"tecnico",Resp4[4.112],B9)</f>
        <v>1</v>
      </c>
      <c r="D9" s="4">
        <f>COUNTIFS(Resp4[Vínculo],"docente",Resp4[4.112],B9)</f>
        <v>0</v>
      </c>
      <c r="E9" s="4">
        <f>COUNTIF(Resp4[4.112],B9)</f>
        <v>1</v>
      </c>
      <c r="F9" s="3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COUNTIFS(Resp4[Vínculo],"tecnico",Resp4[4.112],B10)</f>
        <v>1</v>
      </c>
      <c r="D10" s="4">
        <f>COUNTIFS(Resp4[Vínculo],"docente",Resp4[4.112],B10)</f>
        <v>0</v>
      </c>
      <c r="E10" s="4">
        <f>COUNTIF(Resp4[4.112],B10)</f>
        <v>1</v>
      </c>
      <c r="F10" s="3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COUNTIFS(Resp4[Vínculo],"tecnico",Resp4[4.112],B11)</f>
        <v>0</v>
      </c>
      <c r="D11" s="4">
        <f>COUNTIFS(Resp4[Vínculo],"docente",Resp4[4.112],B11)</f>
        <v>0</v>
      </c>
      <c r="E11" s="4">
        <f>COUNTIF(Resp4[4.112],B11)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COUNTIFS(Resp4[Vínculo],"tecnico",Resp4[4.112],B12)</f>
        <v>0</v>
      </c>
      <c r="D12" s="4">
        <f>COUNTIFS(Resp4[Vínculo],"docente",Resp4[4.112],B12)</f>
        <v>0</v>
      </c>
      <c r="E12" s="4">
        <f>COUNTIF(Resp4[4.112],B12)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493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COUNTIFS(Resp4[Vínculo],"tecnico",Resp4[4.05],B7)</f>
        <v>0</v>
      </c>
      <c r="D7" s="4">
        <f>COUNTIFS(Resp4[Vínculo],"docente",Resp4[4.05],B7)</f>
        <v>0</v>
      </c>
      <c r="E7" s="4">
        <f>COUNTIF(Resp4[4.05],B7)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0</v>
      </c>
      <c r="E10" s="4">
        <f>COUNTIF(Resp4[4.05],B10)</f>
        <v>1</v>
      </c>
      <c r="F10" s="4">
        <f t="shared" si="0"/>
        <v>3.45</v>
      </c>
      <c r="G10" s="3">
        <f t="shared" si="1"/>
        <v>100</v>
      </c>
    </row>
    <row r="11" spans="1:7" x14ac:dyDescent="0.25">
      <c r="B11" s="2" t="s">
        <v>200</v>
      </c>
      <c r="C11" s="4">
        <f>COUNTIFS(Resp4[Vínculo],"tecnico",Resp4[4.02],B$11)</f>
        <v>1</v>
      </c>
      <c r="D11" s="4">
        <f>COUNTIFS(Resp4[Vínculo],"docente",Resp4[4.05],B11)</f>
        <v>0</v>
      </c>
      <c r="E11" s="4">
        <f>COUNTIF(Resp4[4.05],B11)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COUNTIFS(Resp4[Vínculo],"tecnico",Resp4[4.02],B$12)</f>
        <v>0</v>
      </c>
      <c r="D12" s="4">
        <f>COUNTIFS(Resp4[Vínculo],"docente",Resp4[4.05],B12)</f>
        <v>0</v>
      </c>
      <c r="E12" s="4">
        <f>COUNTIF(Resp4[4.05],B12)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0</v>
      </c>
      <c r="D7" s="4">
        <f>COUNTIFS(Resp4[Vínculo],"docente",Resp4[4.114],B7)</f>
        <v>0</v>
      </c>
      <c r="E7" s="2">
        <f>COUNTIF(Resp4[4.114],B7)</f>
        <v>0</v>
      </c>
      <c r="F7" s="15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29</v>
      </c>
      <c r="D8" s="4">
        <f>COUNTIFS(Resp4[Vínculo],"docente",Resp4[4.114],B8)</f>
        <v>0</v>
      </c>
      <c r="E8" s="2">
        <f>COUNTIF(Resp4[4.114],B8)</f>
        <v>29</v>
      </c>
      <c r="F8" s="19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493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493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493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493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493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COUNTIFS(Resp4[Vínculo],"tecnico",Resp4[4.119],B11)</f>
        <v>0</v>
      </c>
      <c r="D11" s="4">
        <f>COUNTIFS(Resp4[Vínculo],"docente",Resp4[4.119],B11)</f>
        <v>0</v>
      </c>
      <c r="E11" s="4">
        <f>COUNTIF(Resp4[4.119],B11)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COUNTIFS(Resp4[Vínculo],"tecnico",Resp4[4.119],B12)</f>
        <v>0</v>
      </c>
      <c r="D12" s="4">
        <f>COUNTIFS(Resp4[Vínculo],"docente",Resp4[4.119],B12)</f>
        <v>0</v>
      </c>
      <c r="E12" s="4">
        <f>COUNTIF(Resp4[4.119],B12)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493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COUNTIFS(Resp4[Vínculo],"tecnico",Resp4[4.120],B11)</f>
        <v>0</v>
      </c>
      <c r="D11" s="4">
        <f>COUNTIFS(Resp4[Vínculo],"docente",Resp4[4.120],B11)</f>
        <v>0</v>
      </c>
      <c r="E11" s="4">
        <f>COUNTIF(Resp4[4.120],B11)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COUNTIFS(Resp4[Vínculo],"tecnico",Resp4[4.120],B12)</f>
        <v>0</v>
      </c>
      <c r="D12" s="4">
        <f>COUNTIFS(Resp4[Vínculo],"docente",Resp4[4.120],B12)</f>
        <v>0</v>
      </c>
      <c r="E12" s="4">
        <f>COUNTIF(Resp4[4.120],B12)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493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493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COUNTIFS(Resp4[Vínculo],"tecnico",Resp4[4.122],B11)</f>
        <v>0</v>
      </c>
      <c r="D11" s="4">
        <f>COUNTIFS(Resp4[Vínculo],"docente",Resp4[4.122],B11)</f>
        <v>0</v>
      </c>
      <c r="E11" s="4">
        <f>COUNTIF(Resp4[4.122],B11)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COUNTIFS(Resp4[Vínculo],"tecnico",Resp4[4.122],B12)</f>
        <v>0</v>
      </c>
      <c r="D12" s="4">
        <f>COUNTIFS(Resp4[Vínculo],"docente",Resp4[4.122],B12)</f>
        <v>0</v>
      </c>
      <c r="E12" s="4">
        <f>COUNTIF(Resp4[4.122],B12)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493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493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COUNTIFS(Resp4[Vínculo],"tecnico",Resp4[4.06],B7)</f>
        <v>0</v>
      </c>
      <c r="D7" s="4">
        <f>COUNTIFS(Resp4[Vínculo],"docente",Resp4[4.06],B7)</f>
        <v>0</v>
      </c>
      <c r="E7" s="4">
        <f>COUNTIF(Resp4[4.06],B7)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0</v>
      </c>
      <c r="E10" s="4">
        <f>COUNTIF(Resp4[4.06],B10)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COUNTIFS(Resp4[Vínculo],"tecnico",Resp4[4.06],B11)</f>
        <v>1</v>
      </c>
      <c r="D11" s="4">
        <f>COUNTIFS(Resp4[Vínculo],"docente",Resp4[4.06],B11)</f>
        <v>0</v>
      </c>
      <c r="E11" s="4">
        <f>COUNTIF(Resp4[4.06],B11)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COUNTIFS(Resp4[Vínculo],"tecnico",Resp4[4.06],B12)</f>
        <v>0</v>
      </c>
      <c r="D12" s="4">
        <f>COUNTIFS(Resp4[Vínculo],"docente",Resp4[4.06],B12)</f>
        <v>0</v>
      </c>
      <c r="E12" s="4">
        <f>COUNTIF(Resp4[4.06],B12)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493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COUNTIFS(Resp4[Vínculo],"tecnico",Resp4[4.124],B11)</f>
        <v>0</v>
      </c>
      <c r="D11" s="4">
        <f>COUNTIFS(Resp4[Vínculo],"docente",Resp4[4.124],B11)</f>
        <v>0</v>
      </c>
      <c r="E11" s="4">
        <f>COUNTIF(Resp4[4.124],B11)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493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COUNTIFS(Resp4[Vínculo],"tecnico",Resp4[4.125],B12)</f>
        <v>0</v>
      </c>
      <c r="D12" s="4">
        <f>COUNTIFS(Resp4[Vínculo],"docente",Resp4[4.125],B12)</f>
        <v>0</v>
      </c>
      <c r="E12" s="4">
        <f>COUNTIF(Resp4[4.125],B12)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493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COUNTIFS(Resp4[Vínculo],"tecnico",Resp4[4.126],B12)</f>
        <v>0</v>
      </c>
      <c r="D12" s="4">
        <f>COUNTIFS(Resp4[Vínculo],"docente",Resp4[4.126],B12)</f>
        <v>0</v>
      </c>
      <c r="E12" s="4">
        <f>COUNTIF(Resp4[4.126],B12)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493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493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3">
        <f>ROUND($E6/E$13*100,2)</f>
        <v>100</v>
      </c>
    </row>
    <row r="7" spans="1:7" x14ac:dyDescent="0.25">
      <c r="B7" s="2" t="s">
        <v>201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3</v>
      </c>
      <c r="D7" s="4">
        <f>COUNTIFS(Resp4[Vínculo],"docente",Resp4[4.130],B7)</f>
        <v>0</v>
      </c>
      <c r="E7" s="2">
        <f>COUNTIF(Resp4[4.130],B7)</f>
        <v>3</v>
      </c>
      <c r="F7" s="4">
        <f t="shared" ref="F7:F9" si="0">ROUND($E7/E$9*100,2)</f>
        <v>10.34</v>
      </c>
      <c r="G7" s="4">
        <f>ROUND($E7/SUM($E$7:$E$8)*100,2)</f>
        <v>10.34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26</v>
      </c>
      <c r="D8" s="4">
        <f>COUNTIFS(Resp4[Vínculo],"docente",Resp4[4.130],B8)</f>
        <v>0</v>
      </c>
      <c r="E8" s="2">
        <f>COUNTIF(Resp4[4.130],B8)</f>
        <v>26</v>
      </c>
      <c r="F8" s="22">
        <f t="shared" si="0"/>
        <v>89.66</v>
      </c>
      <c r="G8" s="4">
        <f>ROUND($E8/SUM($E$7:$E$8)*100,2)</f>
        <v>89.66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493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COUNTIFS(Resp4[Vínculo],"tecnico",Resp4[4.131],B7)</f>
        <v>1</v>
      </c>
      <c r="D7" s="4">
        <f>COUNTIFS(Resp4[Vínculo],"docente",Resp4[4.131],B7)</f>
        <v>0</v>
      </c>
      <c r="E7" s="4">
        <f>COUNTIF(Resp4[4.131],B7)</f>
        <v>1</v>
      </c>
      <c r="F7" s="3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COUNTIFS(Resp4[Vínculo],"tecnico",Resp4[4.131],B8)</f>
        <v>1</v>
      </c>
      <c r="D8" s="4">
        <f>COUNTIFS(Resp4[Vínculo],"docente",Resp4[4.131],B8)</f>
        <v>0</v>
      </c>
      <c r="E8" s="4">
        <f>COUNTIF(Resp4[4.131],B8)</f>
        <v>1</v>
      </c>
      <c r="F8" s="3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0</v>
      </c>
      <c r="E10" s="4">
        <f>COUNTIF(Resp4[4.131],B10)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COUNTIFS(Resp4[Vínculo],"tecnico",Resp4[4.131],B11)</f>
        <v>0</v>
      </c>
      <c r="D11" s="4">
        <f>COUNTIFS(Resp4[Vínculo],"docente",Resp4[4.131],B11)</f>
        <v>0</v>
      </c>
      <c r="E11" s="4">
        <f>COUNTIF(Resp4[4.131],B11)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COUNTIFS(Resp4[Vínculo],"tecnico",Resp4[4.131],B12)</f>
        <v>1</v>
      </c>
      <c r="D12" s="4">
        <f>COUNTIFS(Resp4[Vínculo],"docente",Resp4[4.131],B12)</f>
        <v>0</v>
      </c>
      <c r="E12" s="4">
        <f>COUNTIF(Resp4[4.131],B12)</f>
        <v>1</v>
      </c>
      <c r="F12" s="24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493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COUNTIFS(Resp4[Vínculo],"tecnico",Resp4[4.132],B7)</f>
        <v>1</v>
      </c>
      <c r="D7" s="4">
        <f>COUNTIFS(Resp4[Vínculo],"docente",Resp4[4.132],B7)</f>
        <v>0</v>
      </c>
      <c r="E7" s="4">
        <f>COUNTIF(Resp4[4.132],B7)</f>
        <v>1</v>
      </c>
      <c r="F7" s="3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COUNTIFS(Resp4[Vínculo],"tecnico",Resp4[4.132],B8)</f>
        <v>1</v>
      </c>
      <c r="D8" s="4">
        <f>COUNTIFS(Resp4[Vínculo],"docente",Resp4[4.132],B8)</f>
        <v>0</v>
      </c>
      <c r="E8" s="4">
        <f>COUNTIF(Resp4[4.132],B8)</f>
        <v>1</v>
      </c>
      <c r="F8" s="3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COUNTIFS(Resp4[Vínculo],"tecnico",Resp4[4.132],B9)</f>
        <v>0</v>
      </c>
      <c r="D9" s="4">
        <f>COUNTIFS(Resp4[Vínculo],"docente",Resp4[4.132],B9)</f>
        <v>0</v>
      </c>
      <c r="E9" s="4">
        <f>COUNTIF(Resp4[4.132],B9)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0</v>
      </c>
      <c r="E10" s="4">
        <f>COUNTIF(Resp4[4.132],B10)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COUNTIFS(Resp4[Vínculo],"tecnico",Resp4[4.132],B12)</f>
        <v>1</v>
      </c>
      <c r="D12" s="4">
        <f>COUNTIFS(Resp4[Vínculo],"docente",Resp4[4.132],B12)</f>
        <v>0</v>
      </c>
      <c r="E12" s="4">
        <f>COUNTIF(Resp4[4.132],B12)</f>
        <v>1</v>
      </c>
      <c r="F12" s="24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493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COUNTIFS(Resp4[Vínculo],"tecnico",Resp4[4.133],B7)</f>
        <v>1</v>
      </c>
      <c r="D7" s="4">
        <f>COUNTIFS(Resp4[Vínculo],"docente",Resp4[4.133],B7)</f>
        <v>0</v>
      </c>
      <c r="E7" s="4">
        <f>COUNTIF(Resp4[4.133],B7)</f>
        <v>1</v>
      </c>
      <c r="F7" s="3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0</v>
      </c>
      <c r="E10" s="4">
        <f>COUNTIF(Resp4[4.133],B10)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COUNTIFS(Resp4[Vínculo],"tecnico",Resp4[4.133],B12)</f>
        <v>2</v>
      </c>
      <c r="D12" s="4">
        <f>COUNTIFS(Resp4[Vínculo],"docente",Resp4[4.133],B12)</f>
        <v>0</v>
      </c>
      <c r="E12" s="4">
        <f>COUNTIF(Resp4[4.133],B12)</f>
        <v>2</v>
      </c>
      <c r="F12" s="24">
        <f t="shared" si="0"/>
        <v>6.9</v>
      </c>
      <c r="G12" s="3">
        <f t="shared" si="1"/>
        <v>66.667000000000002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493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COUNTIFS(Resp4[Vínculo],"tecnico",Resp4[4.134],B8)</f>
        <v>1</v>
      </c>
      <c r="D8" s="4">
        <f>COUNTIFS(Resp4[Vínculo],"docente",Resp4[4.134],B8)</f>
        <v>0</v>
      </c>
      <c r="E8" s="4">
        <f>COUNTIF(Resp4[4.134],B8)</f>
        <v>1</v>
      </c>
      <c r="F8" s="3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COUNTIFS(Resp4[Vínculo],"tecnico",Resp4[4.134],B9)</f>
        <v>0</v>
      </c>
      <c r="D9" s="4">
        <f>COUNTIFS(Resp4[Vínculo],"docente",Resp4[4.134],B9)</f>
        <v>0</v>
      </c>
      <c r="E9" s="4">
        <f>COUNTIF(Resp4[4.134],B9)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0</v>
      </c>
      <c r="E10" s="4">
        <f>COUNTIF(Resp4[4.134],B10)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COUNTIFS(Resp4[Vínculo],"tecnico",Resp4[4.134],B11)</f>
        <v>1</v>
      </c>
      <c r="D11" s="4">
        <f>COUNTIFS(Resp4[Vínculo],"docente",Resp4[4.134],B11)</f>
        <v>0</v>
      </c>
      <c r="E11" s="4">
        <f>COUNTIF(Resp4[4.134],B11)</f>
        <v>1</v>
      </c>
      <c r="F11" s="3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COUNTIFS(Resp4[Vínculo],"tecnico",Resp4[4.134],B12)</f>
        <v>1</v>
      </c>
      <c r="D12" s="4">
        <f>COUNTIFS(Resp4[Vínculo],"docente",Resp4[4.134],B12)</f>
        <v>0</v>
      </c>
      <c r="E12" s="4">
        <f>COUNTIF(Resp4[4.134],B12)</f>
        <v>1</v>
      </c>
      <c r="F12" s="24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>ROUND($E13/E$13*100,2)</f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493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COUNTIFS(Resp4[Vínculo],"tecnico",Resp4[4.07],B9)</f>
        <v>0</v>
      </c>
      <c r="D9" s="4">
        <f>COUNTIFS(Resp4[Vínculo],"docente",Resp4[4.07],B9)</f>
        <v>0</v>
      </c>
      <c r="E9" s="4">
        <f>COUNTIF(Resp4[4.07],B9)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COUNTIFS(Resp4[Vínculo],"tecnico",Resp4[4.07],B11)</f>
        <v>0</v>
      </c>
      <c r="D11" s="4">
        <f>COUNTIFS(Resp4[Vínculo],"docente",Resp4[4.07],B11)</f>
        <v>0</v>
      </c>
      <c r="E11" s="4">
        <f>COUNTIF(Resp4[4.07],B11)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COUNTIFS(Resp4[Vínculo],"tecnico",Resp4[4.07],B12)</f>
        <v>1</v>
      </c>
      <c r="D12" s="4">
        <f>COUNTIFS(Resp4[Vínculo],"docente",Resp4[4.07],B12)</f>
        <v>0</v>
      </c>
      <c r="E12" s="4">
        <f>COUNTIF(Resp4[4.07],B12)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493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COUNTIFS(Resp4[Vínculo],"tecnico",Resp4[4.135],B7)</f>
        <v>0</v>
      </c>
      <c r="D7" s="4">
        <f>COUNTIFS(Resp4[Vínculo],"docente",Resp4[4.135],B7)</f>
        <v>0</v>
      </c>
      <c r="E7" s="4">
        <f>COUNTIF(Resp4[4.135],B7)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COUNTIFS(Resp4[Vínculo],"tecnico",Resp4[4.135],B8)</f>
        <v>1</v>
      </c>
      <c r="D8" s="4">
        <f>COUNTIFS(Resp4[Vínculo],"docente",Resp4[4.135],B8)</f>
        <v>0</v>
      </c>
      <c r="E8" s="4">
        <f>COUNTIF(Resp4[4.135],B8)</f>
        <v>1</v>
      </c>
      <c r="F8" s="3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0</v>
      </c>
      <c r="E10" s="4">
        <f>COUNTIF(Resp4[4.135],B10)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COUNTIFS(Resp4[Vínculo],"tecnico",Resp4[4.135],B11)</f>
        <v>1</v>
      </c>
      <c r="D11" s="4">
        <f>COUNTIFS(Resp4[Vínculo],"docente",Resp4[4.135],B11)</f>
        <v>0</v>
      </c>
      <c r="E11" s="4">
        <f>COUNTIF(Resp4[4.135],B11)</f>
        <v>1</v>
      </c>
      <c r="F11" s="3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COUNTIFS(Resp4[Vínculo],"tecnico",Resp4[4.135],B12)</f>
        <v>1</v>
      </c>
      <c r="D12" s="4">
        <f>COUNTIFS(Resp4[Vínculo],"docente",Resp4[4.135],B12)</f>
        <v>0</v>
      </c>
      <c r="E12" s="4">
        <f>COUNTIF(Resp4[4.135],B12)</f>
        <v>1</v>
      </c>
      <c r="F12" s="24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493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3">
        <f>ROUND($E6/E$13*100,2)</f>
        <v>89.66</v>
      </c>
    </row>
    <row r="7" spans="1:7" x14ac:dyDescent="0.25">
      <c r="B7" s="2" t="s">
        <v>201</v>
      </c>
      <c r="C7" s="4">
        <f>COUNTIFS(Resp4[Vínculo],"tecnico",Resp4[4.136],B7)</f>
        <v>0</v>
      </c>
      <c r="D7" s="4">
        <f>COUNTIFS(Resp4[Vínculo],"docente",Resp4[4.136],B7)</f>
        <v>0</v>
      </c>
      <c r="E7" s="4">
        <f>COUNTIF(Resp4[4.136],B7)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COUNTIFS(Resp4[Vínculo],"tecnico",Resp4[4.136],B8)</f>
        <v>0</v>
      </c>
      <c r="D8" s="4">
        <f>COUNTIFS(Resp4[Vínculo],"docente",Resp4[4.136],B8)</f>
        <v>0</v>
      </c>
      <c r="E8" s="4">
        <f>COUNTIF(Resp4[4.136],B8)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COUNTIFS(Resp4[Vínculo],"tecnico",Resp4[4.136],B9)</f>
        <v>1</v>
      </c>
      <c r="D9" s="4">
        <f>COUNTIFS(Resp4[Vínculo],"docente",Resp4[4.136],B9)</f>
        <v>0</v>
      </c>
      <c r="E9" s="4">
        <f>COUNTIF(Resp4[4.136],B9)</f>
        <v>1</v>
      </c>
      <c r="F9" s="3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0</v>
      </c>
      <c r="E10" s="4">
        <f>COUNTIF(Resp4[4.136],B10)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COUNTIFS(Resp4[Vínculo],"tecnico",Resp4[4.136],B11)</f>
        <v>1</v>
      </c>
      <c r="D11" s="4">
        <f>COUNTIFS(Resp4[Vínculo],"docente",Resp4[4.136],B11)</f>
        <v>0</v>
      </c>
      <c r="E11" s="4">
        <f>COUNTIF(Resp4[4.136],B11)</f>
        <v>1</v>
      </c>
      <c r="F11" s="3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COUNTIFS(Resp4[Vínculo],"tecnico",Resp4[4.136],B12)</f>
        <v>1</v>
      </c>
      <c r="D12" s="4">
        <f>COUNTIFS(Resp4[Vínculo],"docente",Resp4[4.136],B12)</f>
        <v>0</v>
      </c>
      <c r="E12" s="4">
        <f>COUNTIF(Resp4[4.136],B12)</f>
        <v>1</v>
      </c>
      <c r="F12" s="24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493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COUNTIFS(Resp4[Vínculo],"tecnico",Resp4[4.08],B7)</f>
        <v>0</v>
      </c>
      <c r="D7" s="4">
        <f>COUNTIFS(Resp4[Vínculo],"docente",Resp4[4.08],B7)</f>
        <v>0</v>
      </c>
      <c r="E7" s="4">
        <f>COUNTIF(Resp4[4.08],B7)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COUNTIFS(Resp4[Vínculo],"tecnico",Resp4[4.08],B9)</f>
        <v>0</v>
      </c>
      <c r="D9" s="4">
        <f>COUNTIFS(Resp4[Vínculo],"docente",Resp4[4.08],B9)</f>
        <v>0</v>
      </c>
      <c r="E9" s="4">
        <f>COUNTIF(Resp4[4.08],B9)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0</v>
      </c>
      <c r="E10" s="4">
        <f>COUNTIF(Resp4[4.08],B10)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COUNTIFS(Resp4[Vínculo],"tecnico",Resp4[4.08],B11)</f>
        <v>1</v>
      </c>
      <c r="D11" s="4">
        <f>COUNTIFS(Resp4[Vínculo],"docente",Resp4[4.08],B11)</f>
        <v>0</v>
      </c>
      <c r="E11" s="4">
        <f>COUNTIF(Resp4[4.08],B11)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COUNTIFS(Resp4[Vínculo],"tecnico",Resp4[4.08],B12)</f>
        <v>0</v>
      </c>
      <c r="D12" s="4">
        <f>COUNTIFS(Resp4[Vínculo],"docente",Resp4[4.08],B12)</f>
        <v>0</v>
      </c>
      <c r="E12" s="4">
        <f>COUNTIF(Resp4[4.08],B12)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493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COUNTIFS(Resp4[Vínculo],"tecnico",Resp4[4.09],B7)</f>
        <v>0</v>
      </c>
      <c r="D7" s="4">
        <f>COUNTIFS(Resp4[Vínculo],"docente",Resp4[4.09],B7)</f>
        <v>0</v>
      </c>
      <c r="E7" s="4">
        <f>COUNTIF(Resp4[4.09],B7)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COUNTIFS(Resp4[Vínculo],"tecnico",Resp4[4.09],B9)</f>
        <v>0</v>
      </c>
      <c r="D9" s="4">
        <f>COUNTIFS(Resp4[Vínculo],"docente",Resp4[4.09],B9)</f>
        <v>0</v>
      </c>
      <c r="E9" s="4">
        <f>COUNTIF(Resp4[4.09],B9)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COUNTIFS(Resp4[Vínculo],"tecnico",Resp4[4.09],B11)</f>
        <v>0</v>
      </c>
      <c r="D11" s="4">
        <f>COUNTIFS(Resp4[Vínculo],"docente",Resp4[4.09],B11)</f>
        <v>0</v>
      </c>
      <c r="E11" s="4">
        <f>COUNTIF(Resp4[4.09],B11)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COUNTIFS(Resp4[Vínculo],"tecnico",Resp4[4.09],B12)</f>
        <v>1</v>
      </c>
      <c r="D12" s="4">
        <f>COUNTIFS(Resp4[Vínculo],"docente",Resp4[4.09],B12)</f>
        <v>0</v>
      </c>
      <c r="E12" s="22">
        <f>COUNTIF(Resp4[4.09],B12)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2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493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COUNTIFS(Resp4[Vínculo],"tecnico",Resp4[4.10],B7)</f>
        <v>0</v>
      </c>
      <c r="D7" s="4">
        <f>COUNTIFS(Resp4[Vínculo],"docente",Resp4[4.10],B7)</f>
        <v>0</v>
      </c>
      <c r="E7" s="4">
        <f>COUNTIF(Resp4[4.10],B7)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COUNTIFS(Resp4[Vínculo],"tecnico",Resp4[4.10],B8)</f>
        <v>0</v>
      </c>
      <c r="D8" s="4">
        <f>COUNTIFS(Resp4[Vínculo],"docente",Resp4[4.10],B8)</f>
        <v>0</v>
      </c>
      <c r="E8" s="4">
        <f>COUNTIF(Resp4[4.10],B8)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COUNTIFS(Resp4[Vínculo],"tecnico",Resp4[4.10],B9)</f>
        <v>0</v>
      </c>
      <c r="D9" s="4">
        <f>COUNTIFS(Resp4[Vínculo],"docente",Resp4[4.10],B9)</f>
        <v>0</v>
      </c>
      <c r="E9" s="4">
        <f>COUNTIF(Resp4[4.10],B9)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COUNTIFS(Resp4[Vínculo],"tecnico",Resp4[4.10],B10)</f>
        <v>1</v>
      </c>
      <c r="D10" s="4">
        <f>COUNTIFS(Resp4[Vínculo],"docente",Resp4[4.10],B10)</f>
        <v>0</v>
      </c>
      <c r="E10" s="4">
        <f>COUNTIF(Resp4[4.10],B10)</f>
        <v>1</v>
      </c>
      <c r="F10" s="4">
        <f t="shared" si="0"/>
        <v>3.45</v>
      </c>
      <c r="G10" s="3">
        <f t="shared" si="1"/>
        <v>100</v>
      </c>
    </row>
    <row r="11" spans="1:7" x14ac:dyDescent="0.25">
      <c r="B11" s="2" t="s">
        <v>200</v>
      </c>
      <c r="C11" s="4">
        <f>COUNTIFS(Resp4[Vínculo],"tecnico",Resp4[4.10],B11)</f>
        <v>0</v>
      </c>
      <c r="D11" s="4">
        <f>COUNTIFS(Resp4[Vínculo],"docente",Resp4[4.10],B11)</f>
        <v>0</v>
      </c>
      <c r="E11" s="4">
        <f>COUNTIF(Resp4[4.10],B11)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COUNTIFS(Resp4[Vínculo],"tecnico",Resp4[4.10],B12)</f>
        <v>0</v>
      </c>
      <c r="D12" s="4">
        <f>COUNTIFS(Resp4[Vínculo],"docente",Resp4[4.10],B12)</f>
        <v>0</v>
      </c>
      <c r="E12" s="4">
        <f>COUNTIF(Resp4[4.10],B12)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493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COUNTIFS(Resp4[Vínculo],"tecnico",Resp4[4.11],B7)</f>
        <v>0</v>
      </c>
      <c r="D7" s="4">
        <f>COUNTIFS(Resp4[Vínculo],"docente",Resp4[4.11],B7)</f>
        <v>0</v>
      </c>
      <c r="E7" s="4">
        <f>COUNTIF(Resp4[4.11],B7)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COUNTIFS(Resp4[Vínculo],"tecnico",Resp4[4.11],B9)</f>
        <v>0</v>
      </c>
      <c r="D9" s="4">
        <f>COUNTIFS(Resp4[Vínculo],"docente",Resp4[4.11],B9)</f>
        <v>0</v>
      </c>
      <c r="E9" s="4">
        <f>COUNTIF(Resp4[4.11],B9)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COUNTIFS(Resp4[Vínculo],"tecnico",Resp4[4.11],B10)</f>
        <v>1</v>
      </c>
      <c r="D10" s="4">
        <f>COUNTIFS(Resp4[Vínculo],"docente",Resp4[4.11],B10)</f>
        <v>0</v>
      </c>
      <c r="E10" s="4">
        <f>COUNTIF(Resp4[4.11],B10)</f>
        <v>1</v>
      </c>
      <c r="F10" s="4">
        <f t="shared" si="0"/>
        <v>3.45</v>
      </c>
      <c r="G10" s="3">
        <f t="shared" si="1"/>
        <v>100</v>
      </c>
    </row>
    <row r="11" spans="1:7" x14ac:dyDescent="0.25">
      <c r="B11" s="2" t="s">
        <v>200</v>
      </c>
      <c r="C11" s="4">
        <f>COUNTIFS(Resp4[Vínculo],"tecnico",Resp4[4.11],B11)</f>
        <v>0</v>
      </c>
      <c r="D11" s="4">
        <f>COUNTIFS(Resp4[Vínculo],"docente",Resp4[4.11],B11)</f>
        <v>0</v>
      </c>
      <c r="E11" s="4">
        <f>COUNTIF(Resp4[4.11],B11)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COUNTIFS(Resp4[Vínculo],"tecnico",Resp4[4.11],B12)</f>
        <v>0</v>
      </c>
      <c r="D12" s="4">
        <f>COUNTIFS(Resp4[Vínculo],"docente",Resp4[4.11],B12)</f>
        <v>0</v>
      </c>
      <c r="E12" s="4">
        <f>COUNTIF(Resp4[4.11],B12)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493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COUNTIFS(Resp4[Vínculo],"tecnico",Resp4[4.12],B7)</f>
        <v>0</v>
      </c>
      <c r="D7" s="4">
        <f>COUNTIFS(Resp4[Vínculo],"docente",Resp4[4.12],B7)</f>
        <v>0</v>
      </c>
      <c r="E7" s="4">
        <f>COUNTIF(Resp4[4.12],B7)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COUNTIFS(Resp4[Vínculo],"tecnico",Resp4[4.12],B8)</f>
        <v>0</v>
      </c>
      <c r="D8" s="4">
        <f>COUNTIFS(Resp4[Vínculo],"docente",Resp4[4.12],B8)</f>
        <v>0</v>
      </c>
      <c r="E8" s="4">
        <f>COUNTIF(Resp4[4.12],B8)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COUNTIFS(Resp4[Vínculo],"tecnico",Resp4[4.12],B9)</f>
        <v>0</v>
      </c>
      <c r="D9" s="4">
        <f>COUNTIFS(Resp4[Vínculo],"docente",Resp4[4.12],B9)</f>
        <v>0</v>
      </c>
      <c r="E9" s="4">
        <f>COUNTIF(Resp4[4.12],B9)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0</v>
      </c>
      <c r="E10" s="4">
        <f>COUNTIF(Resp4[4.12],B10)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COUNTIFS(Resp4[Vínculo],"tecnico",Resp4[4.12],B11)</f>
        <v>1</v>
      </c>
      <c r="D11" s="4">
        <f>COUNTIFS(Resp4[Vínculo],"docente",Resp4[4.12],B11)</f>
        <v>0</v>
      </c>
      <c r="E11" s="4">
        <f>COUNTIF(Resp4[4.12],B11)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COUNTIFS(Resp4[Vínculo],"tecnico",Resp4[4.12],B12)</f>
        <v>0</v>
      </c>
      <c r="D12" s="4">
        <f>COUNTIFS(Resp4[Vínculo],"docente",Resp4[4.12],B12)</f>
        <v>0</v>
      </c>
      <c r="E12" s="4">
        <f>COUNTIF(Resp4[4.12],B12)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493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COUNTIFS(Resp4[Vínculo],"tecnico",Resp4[4.13],B9)</f>
        <v>0</v>
      </c>
      <c r="D9" s="4">
        <f>COUNTIFS(Resp4[Vínculo],"docente",Resp4[4.13],B9)</f>
        <v>0</v>
      </c>
      <c r="E9" s="4">
        <f>COUNTIF(Resp4[4.13],B9)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0</v>
      </c>
      <c r="E10" s="4">
        <f>COUNTIF(Resp4[4.13],B10)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COUNTIFS(Resp4[Vínculo],"tecnico",Resp4[4.13],B11)</f>
        <v>1</v>
      </c>
      <c r="D11" s="4">
        <f>COUNTIFS(Resp4[Vínculo],"docente",Resp4[4.13],B11)</f>
        <v>0</v>
      </c>
      <c r="E11" s="4">
        <f>COUNTIF(Resp4[4.13],B11)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COUNTIFS(Resp4[Vínculo],"tecnico",Resp4[4.13],B12)</f>
        <v>0</v>
      </c>
      <c r="D12" s="4">
        <f>COUNTIFS(Resp4[Vínculo],"docente",Resp4[4.13],B12)</f>
        <v>0</v>
      </c>
      <c r="E12" s="4">
        <f>COUNTIF(Resp4[4.13],B12)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8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195</v>
      </c>
      <c r="CB2" s="99"/>
      <c r="CC2" s="99" t="s">
        <v>198</v>
      </c>
      <c r="CD2" s="99"/>
      <c r="CE2" s="99" t="s">
        <v>199</v>
      </c>
      <c r="CF2" s="99" t="s">
        <v>195</v>
      </c>
      <c r="CG2" s="99" t="s">
        <v>195</v>
      </c>
      <c r="CH2" s="99" t="s">
        <v>195</v>
      </c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197</v>
      </c>
      <c r="BV3" s="90" t="s">
        <v>197</v>
      </c>
      <c r="BW3" s="90" t="s">
        <v>197</v>
      </c>
      <c r="BX3" s="90" t="s">
        <v>197</v>
      </c>
      <c r="BY3" s="90" t="s">
        <v>197</v>
      </c>
      <c r="BZ3" s="90" t="s">
        <v>197</v>
      </c>
      <c r="CA3" s="90" t="s">
        <v>197</v>
      </c>
      <c r="CB3" s="90"/>
      <c r="CC3" s="90" t="s">
        <v>198</v>
      </c>
      <c r="CD3" s="90"/>
      <c r="CE3" s="90" t="s">
        <v>194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16</v>
      </c>
      <c r="B4" s="99" t="s">
        <v>193</v>
      </c>
      <c r="C4" s="99" t="s">
        <v>194</v>
      </c>
      <c r="D4" s="99" t="s">
        <v>195</v>
      </c>
      <c r="E4" s="99" t="s">
        <v>195</v>
      </c>
      <c r="F4" s="99" t="s">
        <v>195</v>
      </c>
      <c r="G4" s="99" t="s">
        <v>195</v>
      </c>
      <c r="H4" s="99" t="s">
        <v>195</v>
      </c>
      <c r="I4" s="99" t="s">
        <v>195</v>
      </c>
      <c r="J4" s="99" t="s">
        <v>195</v>
      </c>
      <c r="K4" s="99" t="s">
        <v>195</v>
      </c>
      <c r="L4" s="99" t="s">
        <v>195</v>
      </c>
      <c r="M4" s="99" t="s">
        <v>195</v>
      </c>
      <c r="N4" s="99" t="s">
        <v>195</v>
      </c>
      <c r="O4" s="99" t="s">
        <v>195</v>
      </c>
      <c r="P4" s="99" t="s">
        <v>195</v>
      </c>
      <c r="Q4" s="99" t="s">
        <v>195</v>
      </c>
      <c r="R4" s="99" t="s">
        <v>195</v>
      </c>
      <c r="S4" s="99" t="s">
        <v>195</v>
      </c>
      <c r="T4" s="99"/>
      <c r="U4" s="99" t="s">
        <v>199</v>
      </c>
      <c r="V4" s="99" t="s">
        <v>30</v>
      </c>
      <c r="W4" s="99" t="s">
        <v>200</v>
      </c>
      <c r="X4" s="99" t="s">
        <v>201</v>
      </c>
      <c r="Y4" s="99" t="s">
        <v>200</v>
      </c>
      <c r="Z4" s="99" t="s">
        <v>196</v>
      </c>
      <c r="AA4" s="99" t="s">
        <v>195</v>
      </c>
      <c r="AB4" s="99" t="s">
        <v>195</v>
      </c>
      <c r="AC4" s="99" t="s">
        <v>195</v>
      </c>
      <c r="AD4" s="99" t="s">
        <v>195</v>
      </c>
      <c r="AE4" s="99" t="s">
        <v>201</v>
      </c>
      <c r="AF4" s="99" t="s">
        <v>201</v>
      </c>
      <c r="AG4" s="99" t="s">
        <v>201</v>
      </c>
      <c r="AH4" s="99" t="s">
        <v>201</v>
      </c>
      <c r="AI4" s="99" t="s">
        <v>194</v>
      </c>
      <c r="AJ4" s="99" t="s">
        <v>195</v>
      </c>
      <c r="AK4" s="99" t="s">
        <v>195</v>
      </c>
      <c r="AL4" s="99" t="s">
        <v>195</v>
      </c>
      <c r="AM4" s="99"/>
      <c r="AN4" s="99" t="s">
        <v>194</v>
      </c>
      <c r="AO4" s="99" t="s">
        <v>195</v>
      </c>
      <c r="AP4" s="99" t="s">
        <v>195</v>
      </c>
      <c r="AQ4" s="99" t="s">
        <v>195</v>
      </c>
      <c r="AR4" s="99" t="s">
        <v>195</v>
      </c>
      <c r="AS4" s="99" t="s">
        <v>195</v>
      </c>
      <c r="AT4" s="99" t="s">
        <v>195</v>
      </c>
      <c r="AU4" s="99" t="s">
        <v>195</v>
      </c>
      <c r="AV4" s="99" t="s">
        <v>195</v>
      </c>
      <c r="AW4" s="99" t="s">
        <v>195</v>
      </c>
      <c r="AX4" s="99" t="s">
        <v>195</v>
      </c>
      <c r="AY4" s="99"/>
      <c r="AZ4" s="99" t="s">
        <v>194</v>
      </c>
      <c r="BA4" s="99" t="s">
        <v>194</v>
      </c>
      <c r="BB4" s="99" t="s">
        <v>195</v>
      </c>
      <c r="BC4" s="99" t="s">
        <v>195</v>
      </c>
      <c r="BD4" s="99" t="s">
        <v>195</v>
      </c>
      <c r="BE4" s="99" t="s">
        <v>195</v>
      </c>
      <c r="BF4" s="99" t="s">
        <v>195</v>
      </c>
      <c r="BG4" s="99" t="s">
        <v>195</v>
      </c>
      <c r="BH4" s="99" t="s">
        <v>195</v>
      </c>
      <c r="BI4" s="99" t="s">
        <v>195</v>
      </c>
      <c r="BJ4" s="99" t="s">
        <v>195</v>
      </c>
      <c r="BK4" s="99" t="s">
        <v>195</v>
      </c>
      <c r="BL4" s="99" t="s">
        <v>195</v>
      </c>
      <c r="BM4" s="99" t="s">
        <v>195</v>
      </c>
      <c r="BN4" s="99" t="s">
        <v>195</v>
      </c>
      <c r="BO4" s="99" t="s">
        <v>195</v>
      </c>
      <c r="BP4" s="99" t="s">
        <v>195</v>
      </c>
      <c r="BQ4" s="99" t="s">
        <v>195</v>
      </c>
      <c r="BR4" s="99" t="s">
        <v>195</v>
      </c>
      <c r="BS4" s="99" t="s">
        <v>195</v>
      </c>
      <c r="BT4" s="99"/>
      <c r="BU4" s="99" t="s">
        <v>200</v>
      </c>
      <c r="BV4" s="99" t="s">
        <v>30</v>
      </c>
      <c r="BW4" s="99" t="s">
        <v>200</v>
      </c>
      <c r="BX4" s="99" t="s">
        <v>200</v>
      </c>
      <c r="BY4" s="99" t="s">
        <v>200</v>
      </c>
      <c r="BZ4" s="99" t="s">
        <v>200</v>
      </c>
      <c r="CA4" s="99" t="s">
        <v>200</v>
      </c>
      <c r="CB4" s="99"/>
      <c r="CC4" s="99" t="s">
        <v>202</v>
      </c>
      <c r="CD4" s="99"/>
      <c r="CE4" s="99" t="s">
        <v>199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195</v>
      </c>
      <c r="CM4" s="99" t="s">
        <v>195</v>
      </c>
      <c r="CN4" s="99" t="s">
        <v>195</v>
      </c>
      <c r="CO4" s="99" t="s">
        <v>195</v>
      </c>
      <c r="CP4" s="99" t="s">
        <v>195</v>
      </c>
      <c r="CQ4" s="99" t="s">
        <v>195</v>
      </c>
      <c r="CR4" s="99" t="s">
        <v>195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195</v>
      </c>
      <c r="CZ4" s="99" t="s">
        <v>195</v>
      </c>
      <c r="DA4" s="99" t="s">
        <v>195</v>
      </c>
      <c r="DB4" s="99" t="s">
        <v>195</v>
      </c>
      <c r="DC4" s="99" t="s">
        <v>195</v>
      </c>
      <c r="DD4" s="99" t="s">
        <v>195</v>
      </c>
      <c r="DE4" s="99" t="s">
        <v>195</v>
      </c>
      <c r="DF4" s="99" t="s">
        <v>195</v>
      </c>
      <c r="DG4" s="99" t="s">
        <v>195</v>
      </c>
      <c r="DH4" s="99" t="s">
        <v>195</v>
      </c>
      <c r="DI4" s="99" t="s">
        <v>195</v>
      </c>
      <c r="DJ4" s="99" t="s">
        <v>195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199</v>
      </c>
      <c r="EC4" s="99" t="s">
        <v>201</v>
      </c>
      <c r="ED4" s="99" t="s">
        <v>201</v>
      </c>
      <c r="EE4" s="99" t="s">
        <v>203</v>
      </c>
      <c r="EF4" s="99" t="s">
        <v>200</v>
      </c>
      <c r="EG4" s="99" t="s">
        <v>200</v>
      </c>
      <c r="EH4" s="100" t="s">
        <v>200</v>
      </c>
    </row>
    <row r="5" spans="1:138" ht="23.25" customHeight="1" x14ac:dyDescent="0.25">
      <c r="A5" s="101" t="s">
        <v>16</v>
      </c>
      <c r="B5" s="90" t="s">
        <v>193</v>
      </c>
      <c r="C5" s="90" t="s">
        <v>194</v>
      </c>
      <c r="D5" s="90" t="s">
        <v>195</v>
      </c>
      <c r="E5" s="90" t="s">
        <v>195</v>
      </c>
      <c r="F5" s="90" t="s">
        <v>195</v>
      </c>
      <c r="G5" s="90" t="s">
        <v>195</v>
      </c>
      <c r="H5" s="90" t="s">
        <v>195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195</v>
      </c>
      <c r="N5" s="90" t="s">
        <v>195</v>
      </c>
      <c r="O5" s="90" t="s">
        <v>195</v>
      </c>
      <c r="P5" s="90" t="s">
        <v>195</v>
      </c>
      <c r="Q5" s="90" t="s">
        <v>195</v>
      </c>
      <c r="R5" s="90" t="s">
        <v>195</v>
      </c>
      <c r="S5" s="90" t="s">
        <v>195</v>
      </c>
      <c r="T5" s="90"/>
      <c r="U5" s="90" t="s">
        <v>194</v>
      </c>
      <c r="V5" s="90" t="s">
        <v>195</v>
      </c>
      <c r="W5" s="90" t="s">
        <v>195</v>
      </c>
      <c r="X5" s="90" t="s">
        <v>195</v>
      </c>
      <c r="Y5" s="90" t="s">
        <v>195</v>
      </c>
      <c r="Z5" s="90" t="s">
        <v>196</v>
      </c>
      <c r="AA5" s="90" t="s">
        <v>195</v>
      </c>
      <c r="AB5" s="90" t="s">
        <v>195</v>
      </c>
      <c r="AC5" s="90" t="s">
        <v>195</v>
      </c>
      <c r="AD5" s="90" t="s">
        <v>195</v>
      </c>
      <c r="AE5" s="90" t="s">
        <v>195</v>
      </c>
      <c r="AF5" s="90" t="s">
        <v>195</v>
      </c>
      <c r="AG5" s="90" t="s">
        <v>195</v>
      </c>
      <c r="AH5" s="90" t="s">
        <v>195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195</v>
      </c>
      <c r="AU5" s="90" t="s">
        <v>195</v>
      </c>
      <c r="AV5" s="90" t="s">
        <v>195</v>
      </c>
      <c r="AW5" s="90" t="s">
        <v>195</v>
      </c>
      <c r="AX5" s="90" t="s">
        <v>195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197</v>
      </c>
      <c r="BV5" s="90" t="s">
        <v>197</v>
      </c>
      <c r="BW5" s="90" t="s">
        <v>197</v>
      </c>
      <c r="BX5" s="90" t="s">
        <v>197</v>
      </c>
      <c r="BY5" s="90" t="s">
        <v>197</v>
      </c>
      <c r="BZ5" s="90" t="s">
        <v>197</v>
      </c>
      <c r="CA5" s="90" t="s">
        <v>197</v>
      </c>
      <c r="CB5" s="90"/>
      <c r="CC5" s="90" t="s">
        <v>204</v>
      </c>
      <c r="CD5" s="90"/>
      <c r="CE5" s="90" t="s">
        <v>199</v>
      </c>
      <c r="CF5" s="90"/>
      <c r="CG5" s="90"/>
      <c r="CH5" s="90"/>
      <c r="CI5" s="90" t="s">
        <v>194</v>
      </c>
      <c r="CJ5" s="90" t="s">
        <v>195</v>
      </c>
      <c r="CK5" s="90" t="s">
        <v>195</v>
      </c>
      <c r="CL5" s="90" t="s">
        <v>195</v>
      </c>
      <c r="CM5" s="90" t="s">
        <v>195</v>
      </c>
      <c r="CN5" s="90" t="s">
        <v>195</v>
      </c>
      <c r="CO5" s="90" t="s">
        <v>195</v>
      </c>
      <c r="CP5" s="90" t="s">
        <v>195</v>
      </c>
      <c r="CQ5" s="90" t="s">
        <v>195</v>
      </c>
      <c r="CR5" s="90" t="s">
        <v>195</v>
      </c>
      <c r="CS5" s="90" t="s">
        <v>195</v>
      </c>
      <c r="CT5" s="90" t="s">
        <v>195</v>
      </c>
      <c r="CU5" s="90" t="s">
        <v>195</v>
      </c>
      <c r="CV5" s="90" t="s">
        <v>195</v>
      </c>
      <c r="CW5" s="90" t="s">
        <v>195</v>
      </c>
      <c r="CX5" s="90" t="s">
        <v>195</v>
      </c>
      <c r="CY5" s="90" t="s">
        <v>195</v>
      </c>
      <c r="CZ5" s="90" t="s">
        <v>195</v>
      </c>
      <c r="DA5" s="90" t="s">
        <v>195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195</v>
      </c>
      <c r="DH5" s="90" t="s">
        <v>195</v>
      </c>
      <c r="DI5" s="90" t="s">
        <v>195</v>
      </c>
      <c r="DJ5" s="90" t="s">
        <v>195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194</v>
      </c>
      <c r="EC5" s="90" t="s">
        <v>195</v>
      </c>
      <c r="ED5" s="90" t="s">
        <v>195</v>
      </c>
      <c r="EE5" s="90" t="s">
        <v>195</v>
      </c>
      <c r="EF5" s="90" t="s">
        <v>195</v>
      </c>
      <c r="EG5" s="90" t="s">
        <v>195</v>
      </c>
      <c r="EH5" s="102" t="s">
        <v>195</v>
      </c>
    </row>
    <row r="6" spans="1:138" ht="23.25" customHeight="1" x14ac:dyDescent="0.25">
      <c r="A6" s="98" t="s">
        <v>16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195</v>
      </c>
      <c r="I6" s="99" t="s">
        <v>195</v>
      </c>
      <c r="J6" s="99" t="s">
        <v>195</v>
      </c>
      <c r="K6" s="99" t="s">
        <v>195</v>
      </c>
      <c r="L6" s="99" t="s">
        <v>195</v>
      </c>
      <c r="M6" s="99" t="s">
        <v>195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195</v>
      </c>
      <c r="T6" s="99"/>
      <c r="U6" s="99" t="s">
        <v>194</v>
      </c>
      <c r="V6" s="99" t="s">
        <v>195</v>
      </c>
      <c r="W6" s="99" t="s">
        <v>195</v>
      </c>
      <c r="X6" s="99" t="s">
        <v>195</v>
      </c>
      <c r="Y6" s="99" t="s">
        <v>195</v>
      </c>
      <c r="Z6" s="99" t="s">
        <v>196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194</v>
      </c>
      <c r="AJ6" s="99" t="s">
        <v>195</v>
      </c>
      <c r="AK6" s="99" t="s">
        <v>195</v>
      </c>
      <c r="AL6" s="99" t="s">
        <v>195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195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195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195</v>
      </c>
      <c r="BI6" s="99" t="s">
        <v>195</v>
      </c>
      <c r="BJ6" s="99" t="s">
        <v>195</v>
      </c>
      <c r="BK6" s="99" t="s">
        <v>195</v>
      </c>
      <c r="BL6" s="99" t="s">
        <v>195</v>
      </c>
      <c r="BM6" s="99" t="s">
        <v>195</v>
      </c>
      <c r="BN6" s="99" t="s">
        <v>195</v>
      </c>
      <c r="BO6" s="99" t="s">
        <v>195</v>
      </c>
      <c r="BP6" s="99" t="s">
        <v>195</v>
      </c>
      <c r="BQ6" s="99" t="s">
        <v>195</v>
      </c>
      <c r="BR6" s="99" t="s">
        <v>195</v>
      </c>
      <c r="BS6" s="99" t="s">
        <v>195</v>
      </c>
      <c r="BT6" s="99"/>
      <c r="BU6" s="99" t="s">
        <v>197</v>
      </c>
      <c r="BV6" s="99" t="s">
        <v>197</v>
      </c>
      <c r="BW6" s="99" t="s">
        <v>197</v>
      </c>
      <c r="BX6" s="99" t="s">
        <v>197</v>
      </c>
      <c r="BY6" s="99" t="s">
        <v>197</v>
      </c>
      <c r="BZ6" s="99" t="s">
        <v>197</v>
      </c>
      <c r="CA6" s="99" t="s">
        <v>197</v>
      </c>
      <c r="CB6" s="99"/>
      <c r="CC6" s="99" t="s">
        <v>198</v>
      </c>
      <c r="CD6" s="99"/>
      <c r="CE6" s="99" t="s">
        <v>199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194</v>
      </c>
      <c r="EC6" s="99" t="s">
        <v>195</v>
      </c>
      <c r="ED6" s="99" t="s">
        <v>195</v>
      </c>
      <c r="EE6" s="99" t="s">
        <v>195</v>
      </c>
      <c r="EF6" s="99" t="s">
        <v>195</v>
      </c>
      <c r="EG6" s="99" t="s">
        <v>195</v>
      </c>
      <c r="EH6" s="100" t="s">
        <v>195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195</v>
      </c>
      <c r="G7" s="90" t="s">
        <v>195</v>
      </c>
      <c r="H7" s="90" t="s">
        <v>195</v>
      </c>
      <c r="I7" s="90" t="s">
        <v>195</v>
      </c>
      <c r="J7" s="90" t="s">
        <v>195</v>
      </c>
      <c r="K7" s="90" t="s">
        <v>195</v>
      </c>
      <c r="L7" s="90" t="s">
        <v>195</v>
      </c>
      <c r="M7" s="90" t="s">
        <v>195</v>
      </c>
      <c r="N7" s="90" t="s">
        <v>195</v>
      </c>
      <c r="O7" s="90" t="s">
        <v>195</v>
      </c>
      <c r="P7" s="90" t="s">
        <v>195</v>
      </c>
      <c r="Q7" s="90" t="s">
        <v>195</v>
      </c>
      <c r="R7" s="90" t="s">
        <v>195</v>
      </c>
      <c r="S7" s="90" t="s">
        <v>195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197</v>
      </c>
      <c r="BV7" s="90" t="s">
        <v>197</v>
      </c>
      <c r="BW7" s="90" t="s">
        <v>197</v>
      </c>
      <c r="BX7" s="90" t="s">
        <v>197</v>
      </c>
      <c r="BY7" s="90" t="s">
        <v>197</v>
      </c>
      <c r="BZ7" s="90" t="s">
        <v>197</v>
      </c>
      <c r="CA7" s="90" t="s">
        <v>197</v>
      </c>
      <c r="CB7" s="90"/>
      <c r="CC7" s="90" t="s">
        <v>202</v>
      </c>
      <c r="CD7" s="90"/>
      <c r="CE7" s="90" t="s">
        <v>199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195</v>
      </c>
      <c r="CT7" s="90" t="s">
        <v>195</v>
      </c>
      <c r="CU7" s="90" t="s">
        <v>195</v>
      </c>
      <c r="CV7" s="90" t="s">
        <v>195</v>
      </c>
      <c r="CW7" s="90" t="s">
        <v>195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195</v>
      </c>
      <c r="DD7" s="90" t="s">
        <v>195</v>
      </c>
      <c r="DE7" s="90" t="s">
        <v>195</v>
      </c>
      <c r="DF7" s="90" t="s">
        <v>195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195</v>
      </c>
      <c r="DN7" s="90" t="s">
        <v>195</v>
      </c>
      <c r="DO7" s="90" t="s">
        <v>195</v>
      </c>
      <c r="DP7" s="90" t="s">
        <v>195</v>
      </c>
      <c r="DQ7" s="90" t="s">
        <v>195</v>
      </c>
      <c r="DR7" s="90" t="s">
        <v>195</v>
      </c>
      <c r="DS7" s="90" t="s">
        <v>195</v>
      </c>
      <c r="DT7" s="90" t="s">
        <v>195</v>
      </c>
      <c r="DU7" s="90" t="s">
        <v>195</v>
      </c>
      <c r="DV7" s="90" t="s">
        <v>195</v>
      </c>
      <c r="DW7" s="90" t="s">
        <v>195</v>
      </c>
      <c r="DX7" s="90" t="s">
        <v>195</v>
      </c>
      <c r="DY7" s="90" t="s">
        <v>195</v>
      </c>
      <c r="DZ7" s="90" t="s">
        <v>195</v>
      </c>
      <c r="EA7" s="90"/>
      <c r="EB7" s="90" t="s">
        <v>199</v>
      </c>
      <c r="EC7" s="90" t="s">
        <v>203</v>
      </c>
      <c r="ED7" s="90" t="s">
        <v>203</v>
      </c>
      <c r="EE7" s="90" t="s">
        <v>203</v>
      </c>
      <c r="EF7" s="90" t="s">
        <v>203</v>
      </c>
      <c r="EG7" s="90" t="s">
        <v>203</v>
      </c>
      <c r="EH7" s="102" t="s">
        <v>203</v>
      </c>
    </row>
    <row r="8" spans="1:138" ht="23.25" customHeight="1" x14ac:dyDescent="0.25">
      <c r="A8" s="98" t="s">
        <v>16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199</v>
      </c>
      <c r="V8" s="99" t="s">
        <v>200</v>
      </c>
      <c r="W8" s="99" t="s">
        <v>200</v>
      </c>
      <c r="X8" s="99" t="s">
        <v>200</v>
      </c>
      <c r="Y8" s="99" t="s">
        <v>203</v>
      </c>
      <c r="Z8" s="99" t="s">
        <v>196</v>
      </c>
      <c r="AA8" s="99" t="s">
        <v>195</v>
      </c>
      <c r="AB8" s="99" t="s">
        <v>195</v>
      </c>
      <c r="AC8" s="99" t="s">
        <v>195</v>
      </c>
      <c r="AD8" s="99" t="s">
        <v>195</v>
      </c>
      <c r="AE8" s="99" t="s">
        <v>30</v>
      </c>
      <c r="AF8" s="99" t="s">
        <v>30</v>
      </c>
      <c r="AG8" s="99" t="s">
        <v>200</v>
      </c>
      <c r="AH8" s="99" t="s">
        <v>30</v>
      </c>
      <c r="AI8" s="99" t="s">
        <v>199</v>
      </c>
      <c r="AJ8" s="99" t="s">
        <v>203</v>
      </c>
      <c r="AK8" s="99" t="s">
        <v>203</v>
      </c>
      <c r="AL8" s="99" t="s">
        <v>203</v>
      </c>
      <c r="AM8" s="99"/>
      <c r="AN8" s="99" t="s">
        <v>199</v>
      </c>
      <c r="AO8" s="99" t="s">
        <v>200</v>
      </c>
      <c r="AP8" s="99" t="s">
        <v>200</v>
      </c>
      <c r="AQ8" s="99" t="s">
        <v>200</v>
      </c>
      <c r="AR8" s="99" t="s">
        <v>200</v>
      </c>
      <c r="AS8" s="99" t="s">
        <v>30</v>
      </c>
      <c r="AT8" s="99" t="s">
        <v>200</v>
      </c>
      <c r="AU8" s="99" t="s">
        <v>200</v>
      </c>
      <c r="AV8" s="99" t="s">
        <v>200</v>
      </c>
      <c r="AW8" s="99" t="s">
        <v>200</v>
      </c>
      <c r="AX8" s="99" t="s">
        <v>200</v>
      </c>
      <c r="AY8" s="99"/>
      <c r="AZ8" s="99" t="s">
        <v>199</v>
      </c>
      <c r="BA8" s="99" t="s">
        <v>199</v>
      </c>
      <c r="BB8" s="99" t="s">
        <v>203</v>
      </c>
      <c r="BC8" s="99" t="s">
        <v>203</v>
      </c>
      <c r="BD8" s="99" t="s">
        <v>203</v>
      </c>
      <c r="BE8" s="99" t="s">
        <v>200</v>
      </c>
      <c r="BF8" s="99" t="s">
        <v>203</v>
      </c>
      <c r="BG8" s="99" t="s">
        <v>203</v>
      </c>
      <c r="BH8" s="99" t="s">
        <v>203</v>
      </c>
      <c r="BI8" s="99" t="s">
        <v>203</v>
      </c>
      <c r="BJ8" s="99" t="s">
        <v>200</v>
      </c>
      <c r="BK8" s="99" t="s">
        <v>203</v>
      </c>
      <c r="BL8" s="99" t="s">
        <v>203</v>
      </c>
      <c r="BM8" s="99" t="s">
        <v>203</v>
      </c>
      <c r="BN8" s="99" t="s">
        <v>200</v>
      </c>
      <c r="BO8" s="99" t="s">
        <v>30</v>
      </c>
      <c r="BP8" s="99" t="s">
        <v>203</v>
      </c>
      <c r="BQ8" s="99" t="s">
        <v>200</v>
      </c>
      <c r="BR8" s="99" t="s">
        <v>200</v>
      </c>
      <c r="BS8" s="99" t="s">
        <v>200</v>
      </c>
      <c r="BT8" s="99"/>
      <c r="BU8" s="99" t="s">
        <v>203</v>
      </c>
      <c r="BV8" s="99" t="s">
        <v>200</v>
      </c>
      <c r="BW8" s="99" t="s">
        <v>200</v>
      </c>
      <c r="BX8" s="99" t="s">
        <v>200</v>
      </c>
      <c r="BY8" s="99" t="s">
        <v>200</v>
      </c>
      <c r="BZ8" s="99" t="s">
        <v>200</v>
      </c>
      <c r="CA8" s="99" t="s">
        <v>200</v>
      </c>
      <c r="CB8" s="99"/>
      <c r="CC8" s="99" t="s">
        <v>198</v>
      </c>
      <c r="CD8" s="99"/>
      <c r="CE8" s="99" t="s">
        <v>199</v>
      </c>
      <c r="CF8" s="99"/>
      <c r="CG8" s="99"/>
      <c r="CH8" s="99"/>
      <c r="CI8" s="99" t="s">
        <v>194</v>
      </c>
      <c r="CJ8" s="99" t="s">
        <v>195</v>
      </c>
      <c r="CK8" s="99" t="s">
        <v>195</v>
      </c>
      <c r="CL8" s="99" t="s">
        <v>195</v>
      </c>
      <c r="CM8" s="99" t="s">
        <v>195</v>
      </c>
      <c r="CN8" s="99" t="s">
        <v>195</v>
      </c>
      <c r="CO8" s="99" t="s">
        <v>195</v>
      </c>
      <c r="CP8" s="99" t="s">
        <v>195</v>
      </c>
      <c r="CQ8" s="99" t="s">
        <v>195</v>
      </c>
      <c r="CR8" s="99" t="s">
        <v>195</v>
      </c>
      <c r="CS8" s="99" t="s">
        <v>195</v>
      </c>
      <c r="CT8" s="99" t="s">
        <v>195</v>
      </c>
      <c r="CU8" s="99" t="s">
        <v>195</v>
      </c>
      <c r="CV8" s="99" t="s">
        <v>195</v>
      </c>
      <c r="CW8" s="99" t="s">
        <v>195</v>
      </c>
      <c r="CX8" s="99" t="s">
        <v>195</v>
      </c>
      <c r="CY8" s="99" t="s">
        <v>195</v>
      </c>
      <c r="CZ8" s="99" t="s">
        <v>195</v>
      </c>
      <c r="DA8" s="99" t="s">
        <v>195</v>
      </c>
      <c r="DB8" s="99" t="s">
        <v>195</v>
      </c>
      <c r="DC8" s="99" t="s">
        <v>195</v>
      </c>
      <c r="DD8" s="99" t="s">
        <v>195</v>
      </c>
      <c r="DE8" s="99" t="s">
        <v>195</v>
      </c>
      <c r="DF8" s="99" t="s">
        <v>195</v>
      </c>
      <c r="DG8" s="99" t="s">
        <v>195</v>
      </c>
      <c r="DH8" s="99" t="s">
        <v>195</v>
      </c>
      <c r="DI8" s="99" t="s">
        <v>195</v>
      </c>
      <c r="DJ8" s="99" t="s">
        <v>195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 t="s">
        <v>16</v>
      </c>
      <c r="B9" s="90" t="s">
        <v>193</v>
      </c>
      <c r="C9" s="90" t="s">
        <v>194</v>
      </c>
      <c r="D9" s="90" t="s">
        <v>195</v>
      </c>
      <c r="E9" s="90" t="s">
        <v>195</v>
      </c>
      <c r="F9" s="90" t="s">
        <v>195</v>
      </c>
      <c r="G9" s="90" t="s">
        <v>195</v>
      </c>
      <c r="H9" s="90" t="s">
        <v>195</v>
      </c>
      <c r="I9" s="90" t="s">
        <v>195</v>
      </c>
      <c r="J9" s="90" t="s">
        <v>195</v>
      </c>
      <c r="K9" s="90" t="s">
        <v>195</v>
      </c>
      <c r="L9" s="90" t="s">
        <v>195</v>
      </c>
      <c r="M9" s="90" t="s">
        <v>195</v>
      </c>
      <c r="N9" s="90" t="s">
        <v>195</v>
      </c>
      <c r="O9" s="90" t="s">
        <v>195</v>
      </c>
      <c r="P9" s="90" t="s">
        <v>195</v>
      </c>
      <c r="Q9" s="90" t="s">
        <v>195</v>
      </c>
      <c r="R9" s="90" t="s">
        <v>195</v>
      </c>
      <c r="S9" s="90" t="s">
        <v>195</v>
      </c>
      <c r="T9" s="90"/>
      <c r="U9" s="90" t="s">
        <v>194</v>
      </c>
      <c r="V9" s="90" t="s">
        <v>195</v>
      </c>
      <c r="W9" s="90" t="s">
        <v>195</v>
      </c>
      <c r="X9" s="90" t="s">
        <v>195</v>
      </c>
      <c r="Y9" s="90" t="s">
        <v>195</v>
      </c>
      <c r="Z9" s="90" t="s">
        <v>196</v>
      </c>
      <c r="AA9" s="90" t="s">
        <v>195</v>
      </c>
      <c r="AB9" s="90" t="s">
        <v>195</v>
      </c>
      <c r="AC9" s="90" t="s">
        <v>195</v>
      </c>
      <c r="AD9" s="90" t="s">
        <v>195</v>
      </c>
      <c r="AE9" s="90" t="s">
        <v>195</v>
      </c>
      <c r="AF9" s="90" t="s">
        <v>195</v>
      </c>
      <c r="AG9" s="90" t="s">
        <v>195</v>
      </c>
      <c r="AH9" s="90" t="s">
        <v>195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195</v>
      </c>
      <c r="AP9" s="90" t="s">
        <v>195</v>
      </c>
      <c r="AQ9" s="90" t="s">
        <v>195</v>
      </c>
      <c r="AR9" s="90" t="s">
        <v>195</v>
      </c>
      <c r="AS9" s="90" t="s">
        <v>195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194</v>
      </c>
      <c r="BA9" s="90" t="s">
        <v>194</v>
      </c>
      <c r="BB9" s="90" t="s">
        <v>195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195</v>
      </c>
      <c r="BI9" s="90" t="s">
        <v>195</v>
      </c>
      <c r="BJ9" s="90" t="s">
        <v>195</v>
      </c>
      <c r="BK9" s="90" t="s">
        <v>195</v>
      </c>
      <c r="BL9" s="90" t="s">
        <v>195</v>
      </c>
      <c r="BM9" s="90" t="s">
        <v>195</v>
      </c>
      <c r="BN9" s="90" t="s">
        <v>195</v>
      </c>
      <c r="BO9" s="90" t="s">
        <v>195</v>
      </c>
      <c r="BP9" s="90" t="s">
        <v>195</v>
      </c>
      <c r="BQ9" s="90" t="s">
        <v>195</v>
      </c>
      <c r="BR9" s="90" t="s">
        <v>195</v>
      </c>
      <c r="BS9" s="90" t="s">
        <v>195</v>
      </c>
      <c r="BT9" s="90"/>
      <c r="BU9" s="90" t="s">
        <v>197</v>
      </c>
      <c r="BV9" s="90" t="s">
        <v>197</v>
      </c>
      <c r="BW9" s="90" t="s">
        <v>197</v>
      </c>
      <c r="BX9" s="90" t="s">
        <v>197</v>
      </c>
      <c r="BY9" s="90" t="s">
        <v>197</v>
      </c>
      <c r="BZ9" s="90" t="s">
        <v>197</v>
      </c>
      <c r="CA9" s="90" t="s">
        <v>197</v>
      </c>
      <c r="CB9" s="90"/>
      <c r="CC9" s="90" t="s">
        <v>202</v>
      </c>
      <c r="CD9" s="90"/>
      <c r="CE9" s="90" t="s">
        <v>199</v>
      </c>
      <c r="CF9" s="90"/>
      <c r="CG9" s="90"/>
      <c r="CH9" s="90"/>
      <c r="CI9" s="90" t="s">
        <v>194</v>
      </c>
      <c r="CJ9" s="90" t="s">
        <v>195</v>
      </c>
      <c r="CK9" s="90" t="s">
        <v>195</v>
      </c>
      <c r="CL9" s="90" t="s">
        <v>195</v>
      </c>
      <c r="CM9" s="90" t="s">
        <v>195</v>
      </c>
      <c r="CN9" s="90" t="s">
        <v>195</v>
      </c>
      <c r="CO9" s="90" t="s">
        <v>195</v>
      </c>
      <c r="CP9" s="90" t="s">
        <v>195</v>
      </c>
      <c r="CQ9" s="90" t="s">
        <v>195</v>
      </c>
      <c r="CR9" s="90" t="s">
        <v>195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195</v>
      </c>
      <c r="CY9" s="90" t="s">
        <v>195</v>
      </c>
      <c r="CZ9" s="90" t="s">
        <v>195</v>
      </c>
      <c r="DA9" s="90" t="s">
        <v>195</v>
      </c>
      <c r="DB9" s="90" t="s">
        <v>195</v>
      </c>
      <c r="DC9" s="90" t="s">
        <v>195</v>
      </c>
      <c r="DD9" s="90" t="s">
        <v>195</v>
      </c>
      <c r="DE9" s="90" t="s">
        <v>195</v>
      </c>
      <c r="DF9" s="90" t="s">
        <v>195</v>
      </c>
      <c r="DG9" s="90" t="s">
        <v>195</v>
      </c>
      <c r="DH9" s="90" t="s">
        <v>195</v>
      </c>
      <c r="DI9" s="90" t="s">
        <v>195</v>
      </c>
      <c r="DJ9" s="90" t="s">
        <v>195</v>
      </c>
      <c r="DK9" s="90"/>
      <c r="DL9" s="90" t="s">
        <v>194</v>
      </c>
      <c r="DM9" s="90" t="s">
        <v>195</v>
      </c>
      <c r="DN9" s="90" t="s">
        <v>195</v>
      </c>
      <c r="DO9" s="90" t="s">
        <v>195</v>
      </c>
      <c r="DP9" s="90" t="s">
        <v>195</v>
      </c>
      <c r="DQ9" s="90" t="s">
        <v>195</v>
      </c>
      <c r="DR9" s="90" t="s">
        <v>195</v>
      </c>
      <c r="DS9" s="90" t="s">
        <v>195</v>
      </c>
      <c r="DT9" s="90" t="s">
        <v>195</v>
      </c>
      <c r="DU9" s="90" t="s">
        <v>195</v>
      </c>
      <c r="DV9" s="90" t="s">
        <v>195</v>
      </c>
      <c r="DW9" s="90" t="s">
        <v>195</v>
      </c>
      <c r="DX9" s="90" t="s">
        <v>195</v>
      </c>
      <c r="DY9" s="90" t="s">
        <v>195</v>
      </c>
      <c r="DZ9" s="90" t="s">
        <v>195</v>
      </c>
      <c r="EA9" s="90"/>
      <c r="EB9" s="90" t="s">
        <v>194</v>
      </c>
      <c r="EC9" s="90" t="s">
        <v>195</v>
      </c>
      <c r="ED9" s="90" t="s">
        <v>195</v>
      </c>
      <c r="EE9" s="90" t="s">
        <v>195</v>
      </c>
      <c r="EF9" s="90" t="s">
        <v>195</v>
      </c>
      <c r="EG9" s="90" t="s">
        <v>195</v>
      </c>
      <c r="EH9" s="102" t="s">
        <v>195</v>
      </c>
    </row>
    <row r="10" spans="1:138" ht="23.25" customHeight="1" x14ac:dyDescent="0.25">
      <c r="A10" s="98" t="s">
        <v>16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195</v>
      </c>
      <c r="H10" s="99" t="s">
        <v>195</v>
      </c>
      <c r="I10" s="99" t="s">
        <v>195</v>
      </c>
      <c r="J10" s="99" t="s">
        <v>195</v>
      </c>
      <c r="K10" s="99" t="s">
        <v>195</v>
      </c>
      <c r="L10" s="99" t="s">
        <v>195</v>
      </c>
      <c r="M10" s="99" t="s">
        <v>195</v>
      </c>
      <c r="N10" s="99" t="s">
        <v>195</v>
      </c>
      <c r="O10" s="99" t="s">
        <v>195</v>
      </c>
      <c r="P10" s="99" t="s">
        <v>195</v>
      </c>
      <c r="Q10" s="99" t="s">
        <v>195</v>
      </c>
      <c r="R10" s="99" t="s">
        <v>195</v>
      </c>
      <c r="S10" s="99" t="s">
        <v>195</v>
      </c>
      <c r="T10" s="99"/>
      <c r="U10" s="99" t="s">
        <v>194</v>
      </c>
      <c r="V10" s="99" t="s">
        <v>195</v>
      </c>
      <c r="W10" s="99" t="s">
        <v>195</v>
      </c>
      <c r="X10" s="99" t="s">
        <v>195</v>
      </c>
      <c r="Y10" s="99" t="s">
        <v>195</v>
      </c>
      <c r="Z10" s="99" t="s">
        <v>196</v>
      </c>
      <c r="AA10" s="99" t="s">
        <v>195</v>
      </c>
      <c r="AB10" s="99" t="s">
        <v>195</v>
      </c>
      <c r="AC10" s="99" t="s">
        <v>195</v>
      </c>
      <c r="AD10" s="99" t="s">
        <v>195</v>
      </c>
      <c r="AE10" s="99" t="s">
        <v>195</v>
      </c>
      <c r="AF10" s="99" t="s">
        <v>195</v>
      </c>
      <c r="AG10" s="99" t="s">
        <v>195</v>
      </c>
      <c r="AH10" s="99" t="s">
        <v>195</v>
      </c>
      <c r="AI10" s="99" t="s">
        <v>194</v>
      </c>
      <c r="AJ10" s="99" t="s">
        <v>195</v>
      </c>
      <c r="AK10" s="99" t="s">
        <v>195</v>
      </c>
      <c r="AL10" s="99" t="s">
        <v>195</v>
      </c>
      <c r="AM10" s="99"/>
      <c r="AN10" s="99" t="s">
        <v>194</v>
      </c>
      <c r="AO10" s="99" t="s">
        <v>195</v>
      </c>
      <c r="AP10" s="99" t="s">
        <v>195</v>
      </c>
      <c r="AQ10" s="99" t="s">
        <v>195</v>
      </c>
      <c r="AR10" s="99" t="s">
        <v>195</v>
      </c>
      <c r="AS10" s="99" t="s">
        <v>195</v>
      </c>
      <c r="AT10" s="99" t="s">
        <v>195</v>
      </c>
      <c r="AU10" s="99" t="s">
        <v>195</v>
      </c>
      <c r="AV10" s="99" t="s">
        <v>195</v>
      </c>
      <c r="AW10" s="99" t="s">
        <v>195</v>
      </c>
      <c r="AX10" s="99" t="s">
        <v>195</v>
      </c>
      <c r="AY10" s="99"/>
      <c r="AZ10" s="99" t="s">
        <v>194</v>
      </c>
      <c r="BA10" s="99" t="s">
        <v>194</v>
      </c>
      <c r="BB10" s="99" t="s">
        <v>195</v>
      </c>
      <c r="BC10" s="99" t="s">
        <v>195</v>
      </c>
      <c r="BD10" s="99" t="s">
        <v>195</v>
      </c>
      <c r="BE10" s="99" t="s">
        <v>195</v>
      </c>
      <c r="BF10" s="99" t="s">
        <v>195</v>
      </c>
      <c r="BG10" s="99" t="s">
        <v>195</v>
      </c>
      <c r="BH10" s="99" t="s">
        <v>195</v>
      </c>
      <c r="BI10" s="99" t="s">
        <v>195</v>
      </c>
      <c r="BJ10" s="99" t="s">
        <v>195</v>
      </c>
      <c r="BK10" s="99" t="s">
        <v>195</v>
      </c>
      <c r="BL10" s="99" t="s">
        <v>195</v>
      </c>
      <c r="BM10" s="99" t="s">
        <v>195</v>
      </c>
      <c r="BN10" s="99" t="s">
        <v>195</v>
      </c>
      <c r="BO10" s="99" t="s">
        <v>195</v>
      </c>
      <c r="BP10" s="99" t="s">
        <v>195</v>
      </c>
      <c r="BQ10" s="99" t="s">
        <v>195</v>
      </c>
      <c r="BR10" s="99" t="s">
        <v>195</v>
      </c>
      <c r="BS10" s="99" t="s">
        <v>195</v>
      </c>
      <c r="BT10" s="99"/>
      <c r="BU10" s="99" t="s">
        <v>197</v>
      </c>
      <c r="BV10" s="99" t="s">
        <v>197</v>
      </c>
      <c r="BW10" s="99" t="s">
        <v>197</v>
      </c>
      <c r="BX10" s="99" t="s">
        <v>197</v>
      </c>
      <c r="BY10" s="99" t="s">
        <v>197</v>
      </c>
      <c r="BZ10" s="99" t="s">
        <v>197</v>
      </c>
      <c r="CA10" s="99" t="s">
        <v>197</v>
      </c>
      <c r="CB10" s="99"/>
      <c r="CC10" s="99" t="s">
        <v>204</v>
      </c>
      <c r="CD10" s="99"/>
      <c r="CE10" s="99" t="s">
        <v>199</v>
      </c>
      <c r="CF10" s="99"/>
      <c r="CG10" s="99"/>
      <c r="CH10" s="99"/>
      <c r="CI10" s="99" t="s">
        <v>194</v>
      </c>
      <c r="CJ10" s="99" t="s">
        <v>195</v>
      </c>
      <c r="CK10" s="99" t="s">
        <v>195</v>
      </c>
      <c r="CL10" s="99" t="s">
        <v>195</v>
      </c>
      <c r="CM10" s="99" t="s">
        <v>195</v>
      </c>
      <c r="CN10" s="99" t="s">
        <v>195</v>
      </c>
      <c r="CO10" s="99" t="s">
        <v>195</v>
      </c>
      <c r="CP10" s="99" t="s">
        <v>195</v>
      </c>
      <c r="CQ10" s="99" t="s">
        <v>195</v>
      </c>
      <c r="CR10" s="99" t="s">
        <v>195</v>
      </c>
      <c r="CS10" s="99" t="s">
        <v>195</v>
      </c>
      <c r="CT10" s="99" t="s">
        <v>195</v>
      </c>
      <c r="CU10" s="99" t="s">
        <v>195</v>
      </c>
      <c r="CV10" s="99" t="s">
        <v>195</v>
      </c>
      <c r="CW10" s="99" t="s">
        <v>195</v>
      </c>
      <c r="CX10" s="99" t="s">
        <v>195</v>
      </c>
      <c r="CY10" s="99" t="s">
        <v>195</v>
      </c>
      <c r="CZ10" s="99" t="s">
        <v>195</v>
      </c>
      <c r="DA10" s="99" t="s">
        <v>195</v>
      </c>
      <c r="DB10" s="99" t="s">
        <v>195</v>
      </c>
      <c r="DC10" s="99" t="s">
        <v>195</v>
      </c>
      <c r="DD10" s="99" t="s">
        <v>195</v>
      </c>
      <c r="DE10" s="99" t="s">
        <v>195</v>
      </c>
      <c r="DF10" s="99" t="s">
        <v>195</v>
      </c>
      <c r="DG10" s="99" t="s">
        <v>195</v>
      </c>
      <c r="DH10" s="99" t="s">
        <v>195</v>
      </c>
      <c r="DI10" s="99" t="s">
        <v>195</v>
      </c>
      <c r="DJ10" s="99" t="s">
        <v>195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194</v>
      </c>
      <c r="EC10" s="99" t="s">
        <v>195</v>
      </c>
      <c r="ED10" s="99" t="s">
        <v>195</v>
      </c>
      <c r="EE10" s="99" t="s">
        <v>195</v>
      </c>
      <c r="EF10" s="99" t="s">
        <v>195</v>
      </c>
      <c r="EG10" s="99" t="s">
        <v>195</v>
      </c>
      <c r="EH10" s="100" t="s">
        <v>195</v>
      </c>
    </row>
    <row r="11" spans="1:138" ht="23.25" customHeight="1" x14ac:dyDescent="0.25">
      <c r="A11" s="101" t="s">
        <v>16</v>
      </c>
      <c r="B11" s="90" t="s">
        <v>193</v>
      </c>
      <c r="C11" s="90" t="s">
        <v>194</v>
      </c>
      <c r="D11" s="90" t="s">
        <v>195</v>
      </c>
      <c r="E11" s="90" t="s">
        <v>195</v>
      </c>
      <c r="F11" s="90" t="s">
        <v>195</v>
      </c>
      <c r="G11" s="90" t="s">
        <v>195</v>
      </c>
      <c r="H11" s="90" t="s">
        <v>195</v>
      </c>
      <c r="I11" s="90" t="s">
        <v>195</v>
      </c>
      <c r="J11" s="90" t="s">
        <v>195</v>
      </c>
      <c r="K11" s="90" t="s">
        <v>195</v>
      </c>
      <c r="L11" s="90" t="s">
        <v>195</v>
      </c>
      <c r="M11" s="90" t="s">
        <v>195</v>
      </c>
      <c r="N11" s="90" t="s">
        <v>195</v>
      </c>
      <c r="O11" s="90" t="s">
        <v>195</v>
      </c>
      <c r="P11" s="90" t="s">
        <v>195</v>
      </c>
      <c r="Q11" s="90" t="s">
        <v>195</v>
      </c>
      <c r="R11" s="90" t="s">
        <v>195</v>
      </c>
      <c r="S11" s="90" t="s">
        <v>195</v>
      </c>
      <c r="T11" s="90"/>
      <c r="U11" s="90" t="s">
        <v>194</v>
      </c>
      <c r="V11" s="90" t="s">
        <v>195</v>
      </c>
      <c r="W11" s="90" t="s">
        <v>195</v>
      </c>
      <c r="X11" s="90" t="s">
        <v>195</v>
      </c>
      <c r="Y11" s="90" t="s">
        <v>195</v>
      </c>
      <c r="Z11" s="90" t="s">
        <v>196</v>
      </c>
      <c r="AA11" s="90" t="s">
        <v>195</v>
      </c>
      <c r="AB11" s="90" t="s">
        <v>195</v>
      </c>
      <c r="AC11" s="90" t="s">
        <v>195</v>
      </c>
      <c r="AD11" s="90" t="s">
        <v>195</v>
      </c>
      <c r="AE11" s="90" t="s">
        <v>195</v>
      </c>
      <c r="AF11" s="90" t="s">
        <v>195</v>
      </c>
      <c r="AG11" s="90" t="s">
        <v>195</v>
      </c>
      <c r="AH11" s="90" t="s">
        <v>195</v>
      </c>
      <c r="AI11" s="90" t="s">
        <v>194</v>
      </c>
      <c r="AJ11" s="90" t="s">
        <v>195</v>
      </c>
      <c r="AK11" s="90" t="s">
        <v>195</v>
      </c>
      <c r="AL11" s="90" t="s">
        <v>195</v>
      </c>
      <c r="AM11" s="90"/>
      <c r="AN11" s="90" t="s">
        <v>194</v>
      </c>
      <c r="AO11" s="90" t="s">
        <v>195</v>
      </c>
      <c r="AP11" s="90" t="s">
        <v>195</v>
      </c>
      <c r="AQ11" s="90" t="s">
        <v>195</v>
      </c>
      <c r="AR11" s="90" t="s">
        <v>195</v>
      </c>
      <c r="AS11" s="90" t="s">
        <v>195</v>
      </c>
      <c r="AT11" s="90" t="s">
        <v>195</v>
      </c>
      <c r="AU11" s="90" t="s">
        <v>195</v>
      </c>
      <c r="AV11" s="90" t="s">
        <v>195</v>
      </c>
      <c r="AW11" s="90" t="s">
        <v>195</v>
      </c>
      <c r="AX11" s="90" t="s">
        <v>195</v>
      </c>
      <c r="AY11" s="90"/>
      <c r="AZ11" s="90" t="s">
        <v>194</v>
      </c>
      <c r="BA11" s="90" t="s">
        <v>194</v>
      </c>
      <c r="BB11" s="90" t="s">
        <v>195</v>
      </c>
      <c r="BC11" s="90" t="s">
        <v>195</v>
      </c>
      <c r="BD11" s="90" t="s">
        <v>195</v>
      </c>
      <c r="BE11" s="90" t="s">
        <v>195</v>
      </c>
      <c r="BF11" s="90" t="s">
        <v>195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195</v>
      </c>
      <c r="BM11" s="90" t="s">
        <v>195</v>
      </c>
      <c r="BN11" s="90" t="s">
        <v>195</v>
      </c>
      <c r="BO11" s="90" t="s">
        <v>195</v>
      </c>
      <c r="BP11" s="90" t="s">
        <v>195</v>
      </c>
      <c r="BQ11" s="90" t="s">
        <v>195</v>
      </c>
      <c r="BR11" s="90" t="s">
        <v>195</v>
      </c>
      <c r="BS11" s="90" t="s">
        <v>195</v>
      </c>
      <c r="BT11" s="90"/>
      <c r="BU11" s="90" t="s">
        <v>197</v>
      </c>
      <c r="BV11" s="90" t="s">
        <v>197</v>
      </c>
      <c r="BW11" s="90" t="s">
        <v>197</v>
      </c>
      <c r="BX11" s="90" t="s">
        <v>197</v>
      </c>
      <c r="BY11" s="90" t="s">
        <v>197</v>
      </c>
      <c r="BZ11" s="90" t="s">
        <v>197</v>
      </c>
      <c r="CA11" s="90" t="s">
        <v>197</v>
      </c>
      <c r="CB11" s="90"/>
      <c r="CC11" s="90" t="s">
        <v>204</v>
      </c>
      <c r="CD11" s="90"/>
      <c r="CE11" s="90" t="s">
        <v>199</v>
      </c>
      <c r="CF11" s="90"/>
      <c r="CG11" s="90"/>
      <c r="CH11" s="90"/>
      <c r="CI11" s="90" t="s">
        <v>194</v>
      </c>
      <c r="CJ11" s="90" t="s">
        <v>195</v>
      </c>
      <c r="CK11" s="90" t="s">
        <v>195</v>
      </c>
      <c r="CL11" s="90" t="s">
        <v>195</v>
      </c>
      <c r="CM11" s="90" t="s">
        <v>195</v>
      </c>
      <c r="CN11" s="90" t="s">
        <v>195</v>
      </c>
      <c r="CO11" s="90" t="s">
        <v>195</v>
      </c>
      <c r="CP11" s="90" t="s">
        <v>195</v>
      </c>
      <c r="CQ11" s="90" t="s">
        <v>195</v>
      </c>
      <c r="CR11" s="90" t="s">
        <v>195</v>
      </c>
      <c r="CS11" s="90" t="s">
        <v>195</v>
      </c>
      <c r="CT11" s="90" t="s">
        <v>195</v>
      </c>
      <c r="CU11" s="90" t="s">
        <v>195</v>
      </c>
      <c r="CV11" s="90" t="s">
        <v>195</v>
      </c>
      <c r="CW11" s="90" t="s">
        <v>195</v>
      </c>
      <c r="CX11" s="90" t="s">
        <v>195</v>
      </c>
      <c r="CY11" s="90" t="s">
        <v>195</v>
      </c>
      <c r="CZ11" s="90" t="s">
        <v>195</v>
      </c>
      <c r="DA11" s="90" t="s">
        <v>195</v>
      </c>
      <c r="DB11" s="90" t="s">
        <v>195</v>
      </c>
      <c r="DC11" s="90" t="s">
        <v>195</v>
      </c>
      <c r="DD11" s="90" t="s">
        <v>195</v>
      </c>
      <c r="DE11" s="90" t="s">
        <v>195</v>
      </c>
      <c r="DF11" s="90" t="s">
        <v>195</v>
      </c>
      <c r="DG11" s="90" t="s">
        <v>195</v>
      </c>
      <c r="DH11" s="90" t="s">
        <v>195</v>
      </c>
      <c r="DI11" s="90" t="s">
        <v>195</v>
      </c>
      <c r="DJ11" s="90" t="s">
        <v>195</v>
      </c>
      <c r="DK11" s="90"/>
      <c r="DL11" s="90" t="s">
        <v>194</v>
      </c>
      <c r="DM11" s="90" t="s">
        <v>195</v>
      </c>
      <c r="DN11" s="90" t="s">
        <v>195</v>
      </c>
      <c r="DO11" s="90" t="s">
        <v>195</v>
      </c>
      <c r="DP11" s="90" t="s">
        <v>195</v>
      </c>
      <c r="DQ11" s="90" t="s">
        <v>195</v>
      </c>
      <c r="DR11" s="90" t="s">
        <v>195</v>
      </c>
      <c r="DS11" s="90" t="s">
        <v>195</v>
      </c>
      <c r="DT11" s="90" t="s">
        <v>195</v>
      </c>
      <c r="DU11" s="90" t="s">
        <v>195</v>
      </c>
      <c r="DV11" s="90" t="s">
        <v>195</v>
      </c>
      <c r="DW11" s="90" t="s">
        <v>195</v>
      </c>
      <c r="DX11" s="90" t="s">
        <v>195</v>
      </c>
      <c r="DY11" s="90" t="s">
        <v>195</v>
      </c>
      <c r="DZ11" s="90" t="s">
        <v>195</v>
      </c>
      <c r="EA11" s="90"/>
      <c r="EB11" s="90" t="s">
        <v>194</v>
      </c>
      <c r="EC11" s="90" t="s">
        <v>195</v>
      </c>
      <c r="ED11" s="90" t="s">
        <v>195</v>
      </c>
      <c r="EE11" s="90" t="s">
        <v>195</v>
      </c>
      <c r="EF11" s="90" t="s">
        <v>195</v>
      </c>
      <c r="EG11" s="90" t="s">
        <v>195</v>
      </c>
      <c r="EH11" s="102" t="s">
        <v>195</v>
      </c>
    </row>
    <row r="12" spans="1:138" ht="23.25" customHeight="1" x14ac:dyDescent="0.25">
      <c r="A12" s="98" t="s">
        <v>16</v>
      </c>
      <c r="B12" s="99" t="s">
        <v>193</v>
      </c>
      <c r="C12" s="99" t="s">
        <v>194</v>
      </c>
      <c r="D12" s="99" t="s">
        <v>195</v>
      </c>
      <c r="E12" s="99" t="s">
        <v>195</v>
      </c>
      <c r="F12" s="99" t="s">
        <v>195</v>
      </c>
      <c r="G12" s="99" t="s">
        <v>195</v>
      </c>
      <c r="H12" s="99" t="s">
        <v>195</v>
      </c>
      <c r="I12" s="99" t="s">
        <v>195</v>
      </c>
      <c r="J12" s="99" t="s">
        <v>195</v>
      </c>
      <c r="K12" s="99" t="s">
        <v>195</v>
      </c>
      <c r="L12" s="99" t="s">
        <v>195</v>
      </c>
      <c r="M12" s="99" t="s">
        <v>195</v>
      </c>
      <c r="N12" s="99" t="s">
        <v>195</v>
      </c>
      <c r="O12" s="99" t="s">
        <v>195</v>
      </c>
      <c r="P12" s="99" t="s">
        <v>195</v>
      </c>
      <c r="Q12" s="99" t="s">
        <v>195</v>
      </c>
      <c r="R12" s="99" t="s">
        <v>195</v>
      </c>
      <c r="S12" s="99" t="s">
        <v>195</v>
      </c>
      <c r="T12" s="99"/>
      <c r="U12" s="99" t="s">
        <v>194</v>
      </c>
      <c r="V12" s="99" t="s">
        <v>195</v>
      </c>
      <c r="W12" s="99" t="s">
        <v>195</v>
      </c>
      <c r="X12" s="99" t="s">
        <v>195</v>
      </c>
      <c r="Y12" s="99" t="s">
        <v>195</v>
      </c>
      <c r="Z12" s="99" t="s">
        <v>196</v>
      </c>
      <c r="AA12" s="99" t="s">
        <v>195</v>
      </c>
      <c r="AB12" s="99" t="s">
        <v>195</v>
      </c>
      <c r="AC12" s="99" t="s">
        <v>195</v>
      </c>
      <c r="AD12" s="99" t="s">
        <v>195</v>
      </c>
      <c r="AE12" s="99" t="s">
        <v>195</v>
      </c>
      <c r="AF12" s="99" t="s">
        <v>195</v>
      </c>
      <c r="AG12" s="99" t="s">
        <v>195</v>
      </c>
      <c r="AH12" s="99" t="s">
        <v>195</v>
      </c>
      <c r="AI12" s="99" t="s">
        <v>194</v>
      </c>
      <c r="AJ12" s="99" t="s">
        <v>195</v>
      </c>
      <c r="AK12" s="99" t="s">
        <v>195</v>
      </c>
      <c r="AL12" s="99" t="s">
        <v>195</v>
      </c>
      <c r="AM12" s="99"/>
      <c r="AN12" s="99" t="s">
        <v>194</v>
      </c>
      <c r="AO12" s="99" t="s">
        <v>195</v>
      </c>
      <c r="AP12" s="99" t="s">
        <v>195</v>
      </c>
      <c r="AQ12" s="99" t="s">
        <v>195</v>
      </c>
      <c r="AR12" s="99" t="s">
        <v>195</v>
      </c>
      <c r="AS12" s="99" t="s">
        <v>195</v>
      </c>
      <c r="AT12" s="99" t="s">
        <v>195</v>
      </c>
      <c r="AU12" s="99" t="s">
        <v>195</v>
      </c>
      <c r="AV12" s="99" t="s">
        <v>195</v>
      </c>
      <c r="AW12" s="99" t="s">
        <v>195</v>
      </c>
      <c r="AX12" s="99" t="s">
        <v>195</v>
      </c>
      <c r="AY12" s="99"/>
      <c r="AZ12" s="99" t="s">
        <v>194</v>
      </c>
      <c r="BA12" s="99" t="s">
        <v>194</v>
      </c>
      <c r="BB12" s="99" t="s">
        <v>195</v>
      </c>
      <c r="BC12" s="99" t="s">
        <v>195</v>
      </c>
      <c r="BD12" s="99" t="s">
        <v>195</v>
      </c>
      <c r="BE12" s="99" t="s">
        <v>195</v>
      </c>
      <c r="BF12" s="99" t="s">
        <v>195</v>
      </c>
      <c r="BG12" s="99" t="s">
        <v>195</v>
      </c>
      <c r="BH12" s="99" t="s">
        <v>195</v>
      </c>
      <c r="BI12" s="99" t="s">
        <v>195</v>
      </c>
      <c r="BJ12" s="99" t="s">
        <v>195</v>
      </c>
      <c r="BK12" s="99" t="s">
        <v>195</v>
      </c>
      <c r="BL12" s="99" t="s">
        <v>195</v>
      </c>
      <c r="BM12" s="99" t="s">
        <v>195</v>
      </c>
      <c r="BN12" s="99" t="s">
        <v>195</v>
      </c>
      <c r="BO12" s="99" t="s">
        <v>195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197</v>
      </c>
      <c r="BV12" s="99" t="s">
        <v>197</v>
      </c>
      <c r="BW12" s="99" t="s">
        <v>197</v>
      </c>
      <c r="BX12" s="99" t="s">
        <v>197</v>
      </c>
      <c r="BY12" s="99" t="s">
        <v>197</v>
      </c>
      <c r="BZ12" s="99" t="s">
        <v>197</v>
      </c>
      <c r="CA12" s="99" t="s">
        <v>200</v>
      </c>
      <c r="CB12" s="99"/>
      <c r="CC12" s="99" t="s">
        <v>198</v>
      </c>
      <c r="CD12" s="99"/>
      <c r="CE12" s="99" t="s">
        <v>199</v>
      </c>
      <c r="CF12" s="99"/>
      <c r="CG12" s="99"/>
      <c r="CH12" s="99"/>
      <c r="CI12" s="99" t="s">
        <v>194</v>
      </c>
      <c r="CJ12" s="99" t="s">
        <v>195</v>
      </c>
      <c r="CK12" s="99" t="s">
        <v>195</v>
      </c>
      <c r="CL12" s="99" t="s">
        <v>195</v>
      </c>
      <c r="CM12" s="99" t="s">
        <v>195</v>
      </c>
      <c r="CN12" s="99" t="s">
        <v>195</v>
      </c>
      <c r="CO12" s="99" t="s">
        <v>195</v>
      </c>
      <c r="CP12" s="99" t="s">
        <v>195</v>
      </c>
      <c r="CQ12" s="99" t="s">
        <v>195</v>
      </c>
      <c r="CR12" s="99" t="s">
        <v>195</v>
      </c>
      <c r="CS12" s="99" t="s">
        <v>195</v>
      </c>
      <c r="CT12" s="99" t="s">
        <v>195</v>
      </c>
      <c r="CU12" s="99" t="s">
        <v>195</v>
      </c>
      <c r="CV12" s="99" t="s">
        <v>195</v>
      </c>
      <c r="CW12" s="99" t="s">
        <v>195</v>
      </c>
      <c r="CX12" s="99" t="s">
        <v>195</v>
      </c>
      <c r="CY12" s="99" t="s">
        <v>195</v>
      </c>
      <c r="CZ12" s="99" t="s">
        <v>195</v>
      </c>
      <c r="DA12" s="99" t="s">
        <v>195</v>
      </c>
      <c r="DB12" s="99" t="s">
        <v>195</v>
      </c>
      <c r="DC12" s="99" t="s">
        <v>195</v>
      </c>
      <c r="DD12" s="99" t="s">
        <v>195</v>
      </c>
      <c r="DE12" s="99" t="s">
        <v>195</v>
      </c>
      <c r="DF12" s="99" t="s">
        <v>195</v>
      </c>
      <c r="DG12" s="99" t="s">
        <v>195</v>
      </c>
      <c r="DH12" s="99" t="s">
        <v>195</v>
      </c>
      <c r="DI12" s="99" t="s">
        <v>195</v>
      </c>
      <c r="DJ12" s="99" t="s">
        <v>195</v>
      </c>
      <c r="DK12" s="99"/>
      <c r="DL12" s="99" t="s">
        <v>194</v>
      </c>
      <c r="DM12" s="99" t="s">
        <v>195</v>
      </c>
      <c r="DN12" s="99" t="s">
        <v>195</v>
      </c>
      <c r="DO12" s="99" t="s">
        <v>195</v>
      </c>
      <c r="DP12" s="99" t="s">
        <v>195</v>
      </c>
      <c r="DQ12" s="99" t="s">
        <v>195</v>
      </c>
      <c r="DR12" s="99" t="s">
        <v>195</v>
      </c>
      <c r="DS12" s="99" t="s">
        <v>195</v>
      </c>
      <c r="DT12" s="99" t="s">
        <v>195</v>
      </c>
      <c r="DU12" s="99" t="s">
        <v>195</v>
      </c>
      <c r="DV12" s="99" t="s">
        <v>195</v>
      </c>
      <c r="DW12" s="99" t="s">
        <v>195</v>
      </c>
      <c r="DX12" s="99" t="s">
        <v>195</v>
      </c>
      <c r="DY12" s="99" t="s">
        <v>195</v>
      </c>
      <c r="DZ12" s="99" t="s">
        <v>195</v>
      </c>
      <c r="EA12" s="99"/>
      <c r="EB12" s="99" t="s">
        <v>194</v>
      </c>
      <c r="EC12" s="99" t="s">
        <v>195</v>
      </c>
      <c r="ED12" s="99" t="s">
        <v>195</v>
      </c>
      <c r="EE12" s="99" t="s">
        <v>195</v>
      </c>
      <c r="EF12" s="99" t="s">
        <v>195</v>
      </c>
      <c r="EG12" s="99" t="s">
        <v>195</v>
      </c>
      <c r="EH12" s="100" t="s">
        <v>195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195</v>
      </c>
      <c r="E13" s="90" t="s">
        <v>195</v>
      </c>
      <c r="F13" s="90" t="s">
        <v>195</v>
      </c>
      <c r="G13" s="90" t="s">
        <v>195</v>
      </c>
      <c r="H13" s="90" t="s">
        <v>195</v>
      </c>
      <c r="I13" s="90" t="s">
        <v>195</v>
      </c>
      <c r="J13" s="90" t="s">
        <v>195</v>
      </c>
      <c r="K13" s="90" t="s">
        <v>195</v>
      </c>
      <c r="L13" s="90" t="s">
        <v>195</v>
      </c>
      <c r="M13" s="90" t="s">
        <v>195</v>
      </c>
      <c r="N13" s="90" t="s">
        <v>195</v>
      </c>
      <c r="O13" s="90" t="s">
        <v>195</v>
      </c>
      <c r="P13" s="90" t="s">
        <v>195</v>
      </c>
      <c r="Q13" s="90" t="s">
        <v>195</v>
      </c>
      <c r="R13" s="90" t="s">
        <v>195</v>
      </c>
      <c r="S13" s="90" t="s">
        <v>195</v>
      </c>
      <c r="T13" s="90"/>
      <c r="U13" s="90" t="s">
        <v>194</v>
      </c>
      <c r="V13" s="90" t="s">
        <v>195</v>
      </c>
      <c r="W13" s="90" t="s">
        <v>195</v>
      </c>
      <c r="X13" s="90" t="s">
        <v>195</v>
      </c>
      <c r="Y13" s="90" t="s">
        <v>195</v>
      </c>
      <c r="Z13" s="90" t="s">
        <v>196</v>
      </c>
      <c r="AA13" s="90" t="s">
        <v>195</v>
      </c>
      <c r="AB13" s="90" t="s">
        <v>195</v>
      </c>
      <c r="AC13" s="90" t="s">
        <v>195</v>
      </c>
      <c r="AD13" s="90" t="s">
        <v>195</v>
      </c>
      <c r="AE13" s="90" t="s">
        <v>195</v>
      </c>
      <c r="AF13" s="90" t="s">
        <v>195</v>
      </c>
      <c r="AG13" s="90" t="s">
        <v>195</v>
      </c>
      <c r="AH13" s="90" t="s">
        <v>195</v>
      </c>
      <c r="AI13" s="90" t="s">
        <v>194</v>
      </c>
      <c r="AJ13" s="90" t="s">
        <v>195</v>
      </c>
      <c r="AK13" s="90" t="s">
        <v>195</v>
      </c>
      <c r="AL13" s="90" t="s">
        <v>195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195</v>
      </c>
      <c r="AU13" s="90" t="s">
        <v>195</v>
      </c>
      <c r="AV13" s="90" t="s">
        <v>195</v>
      </c>
      <c r="AW13" s="90" t="s">
        <v>195</v>
      </c>
      <c r="AX13" s="90" t="s">
        <v>195</v>
      </c>
      <c r="AY13" s="90"/>
      <c r="AZ13" s="90" t="s">
        <v>194</v>
      </c>
      <c r="BA13" s="90" t="s">
        <v>194</v>
      </c>
      <c r="BB13" s="90" t="s">
        <v>195</v>
      </c>
      <c r="BC13" s="90" t="s">
        <v>195</v>
      </c>
      <c r="BD13" s="90" t="s">
        <v>195</v>
      </c>
      <c r="BE13" s="90" t="s">
        <v>195</v>
      </c>
      <c r="BF13" s="90" t="s">
        <v>195</v>
      </c>
      <c r="BG13" s="90" t="s">
        <v>195</v>
      </c>
      <c r="BH13" s="90" t="s">
        <v>195</v>
      </c>
      <c r="BI13" s="90" t="s">
        <v>195</v>
      </c>
      <c r="BJ13" s="90" t="s">
        <v>195</v>
      </c>
      <c r="BK13" s="90" t="s">
        <v>195</v>
      </c>
      <c r="BL13" s="90" t="s">
        <v>195</v>
      </c>
      <c r="BM13" s="90" t="s">
        <v>195</v>
      </c>
      <c r="BN13" s="90" t="s">
        <v>195</v>
      </c>
      <c r="BO13" s="90" t="s">
        <v>195</v>
      </c>
      <c r="BP13" s="90" t="s">
        <v>195</v>
      </c>
      <c r="BQ13" s="90" t="s">
        <v>195</v>
      </c>
      <c r="BR13" s="90" t="s">
        <v>195</v>
      </c>
      <c r="BS13" s="90" t="s">
        <v>195</v>
      </c>
      <c r="BT13" s="90"/>
      <c r="BU13" s="90" t="s">
        <v>197</v>
      </c>
      <c r="BV13" s="90" t="s">
        <v>197</v>
      </c>
      <c r="BW13" s="90" t="s">
        <v>197</v>
      </c>
      <c r="BX13" s="90" t="s">
        <v>197</v>
      </c>
      <c r="BY13" s="90" t="s">
        <v>197</v>
      </c>
      <c r="BZ13" s="90" t="s">
        <v>197</v>
      </c>
      <c r="CA13" s="90" t="s">
        <v>197</v>
      </c>
      <c r="CB13" s="90"/>
      <c r="CC13" s="90" t="s">
        <v>205</v>
      </c>
      <c r="CD13" s="90"/>
      <c r="CE13" s="90" t="s">
        <v>194</v>
      </c>
      <c r="CF13" s="90"/>
      <c r="CG13" s="90"/>
      <c r="CH13" s="90"/>
      <c r="CI13" s="90" t="s">
        <v>194</v>
      </c>
      <c r="CJ13" s="90" t="s">
        <v>195</v>
      </c>
      <c r="CK13" s="90" t="s">
        <v>195</v>
      </c>
      <c r="CL13" s="90" t="s">
        <v>195</v>
      </c>
      <c r="CM13" s="90" t="s">
        <v>195</v>
      </c>
      <c r="CN13" s="90" t="s">
        <v>195</v>
      </c>
      <c r="CO13" s="90" t="s">
        <v>195</v>
      </c>
      <c r="CP13" s="90" t="s">
        <v>195</v>
      </c>
      <c r="CQ13" s="90" t="s">
        <v>195</v>
      </c>
      <c r="CR13" s="90" t="s">
        <v>195</v>
      </c>
      <c r="CS13" s="90" t="s">
        <v>195</v>
      </c>
      <c r="CT13" s="90" t="s">
        <v>195</v>
      </c>
      <c r="CU13" s="90" t="s">
        <v>195</v>
      </c>
      <c r="CV13" s="90" t="s">
        <v>195</v>
      </c>
      <c r="CW13" s="90" t="s">
        <v>195</v>
      </c>
      <c r="CX13" s="90" t="s">
        <v>195</v>
      </c>
      <c r="CY13" s="90" t="s">
        <v>195</v>
      </c>
      <c r="CZ13" s="90" t="s">
        <v>195</v>
      </c>
      <c r="DA13" s="90" t="s">
        <v>195</v>
      </c>
      <c r="DB13" s="90" t="s">
        <v>195</v>
      </c>
      <c r="DC13" s="90" t="s">
        <v>195</v>
      </c>
      <c r="DD13" s="90" t="s">
        <v>195</v>
      </c>
      <c r="DE13" s="90" t="s">
        <v>195</v>
      </c>
      <c r="DF13" s="90" t="s">
        <v>195</v>
      </c>
      <c r="DG13" s="90" t="s">
        <v>195</v>
      </c>
      <c r="DH13" s="90" t="s">
        <v>195</v>
      </c>
      <c r="DI13" s="90" t="s">
        <v>195</v>
      </c>
      <c r="DJ13" s="90" t="s">
        <v>195</v>
      </c>
      <c r="DK13" s="90"/>
      <c r="DL13" s="90" t="s">
        <v>194</v>
      </c>
      <c r="DM13" s="90" t="s">
        <v>195</v>
      </c>
      <c r="DN13" s="90" t="s">
        <v>195</v>
      </c>
      <c r="DO13" s="90" t="s">
        <v>195</v>
      </c>
      <c r="DP13" s="90" t="s">
        <v>195</v>
      </c>
      <c r="DQ13" s="90" t="s">
        <v>195</v>
      </c>
      <c r="DR13" s="90" t="s">
        <v>195</v>
      </c>
      <c r="DS13" s="90" t="s">
        <v>195</v>
      </c>
      <c r="DT13" s="90" t="s">
        <v>195</v>
      </c>
      <c r="DU13" s="90" t="s">
        <v>195</v>
      </c>
      <c r="DV13" s="90" t="s">
        <v>195</v>
      </c>
      <c r="DW13" s="90" t="s">
        <v>195</v>
      </c>
      <c r="DX13" s="90" t="s">
        <v>195</v>
      </c>
      <c r="DY13" s="90" t="s">
        <v>195</v>
      </c>
      <c r="DZ13" s="90" t="s">
        <v>195</v>
      </c>
      <c r="EA13" s="90"/>
      <c r="EB13" s="90" t="s">
        <v>194</v>
      </c>
      <c r="EC13" s="90" t="s">
        <v>195</v>
      </c>
      <c r="ED13" s="90" t="s">
        <v>195</v>
      </c>
      <c r="EE13" s="90" t="s">
        <v>195</v>
      </c>
      <c r="EF13" s="90" t="s">
        <v>195</v>
      </c>
      <c r="EG13" s="90" t="s">
        <v>195</v>
      </c>
      <c r="EH13" s="102" t="s">
        <v>195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195</v>
      </c>
      <c r="E14" s="99" t="s">
        <v>195</v>
      </c>
      <c r="F14" s="99" t="s">
        <v>195</v>
      </c>
      <c r="G14" s="99" t="s">
        <v>195</v>
      </c>
      <c r="H14" s="99" t="s">
        <v>195</v>
      </c>
      <c r="I14" s="99" t="s">
        <v>195</v>
      </c>
      <c r="J14" s="99" t="s">
        <v>195</v>
      </c>
      <c r="K14" s="99" t="s">
        <v>195</v>
      </c>
      <c r="L14" s="99" t="s">
        <v>195</v>
      </c>
      <c r="M14" s="99" t="s">
        <v>195</v>
      </c>
      <c r="N14" s="99" t="s">
        <v>195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194</v>
      </c>
      <c r="V14" s="99" t="s">
        <v>195</v>
      </c>
      <c r="W14" s="99" t="s">
        <v>195</v>
      </c>
      <c r="X14" s="99" t="s">
        <v>195</v>
      </c>
      <c r="Y14" s="99" t="s">
        <v>195</v>
      </c>
      <c r="Z14" s="99" t="s">
        <v>196</v>
      </c>
      <c r="AA14" s="99" t="s">
        <v>195</v>
      </c>
      <c r="AB14" s="99" t="s">
        <v>195</v>
      </c>
      <c r="AC14" s="99" t="s">
        <v>195</v>
      </c>
      <c r="AD14" s="99" t="s">
        <v>195</v>
      </c>
      <c r="AE14" s="99" t="s">
        <v>195</v>
      </c>
      <c r="AF14" s="99" t="s">
        <v>195</v>
      </c>
      <c r="AG14" s="99" t="s">
        <v>195</v>
      </c>
      <c r="AH14" s="99" t="s">
        <v>195</v>
      </c>
      <c r="AI14" s="99" t="s">
        <v>194</v>
      </c>
      <c r="AJ14" s="99" t="s">
        <v>195</v>
      </c>
      <c r="AK14" s="99" t="s">
        <v>195</v>
      </c>
      <c r="AL14" s="99" t="s">
        <v>195</v>
      </c>
      <c r="AM14" s="99"/>
      <c r="AN14" s="99" t="s">
        <v>194</v>
      </c>
      <c r="AO14" s="99" t="s">
        <v>195</v>
      </c>
      <c r="AP14" s="99" t="s">
        <v>195</v>
      </c>
      <c r="AQ14" s="99" t="s">
        <v>195</v>
      </c>
      <c r="AR14" s="99" t="s">
        <v>195</v>
      </c>
      <c r="AS14" s="99" t="s">
        <v>195</v>
      </c>
      <c r="AT14" s="99" t="s">
        <v>195</v>
      </c>
      <c r="AU14" s="99" t="s">
        <v>195</v>
      </c>
      <c r="AV14" s="99" t="s">
        <v>195</v>
      </c>
      <c r="AW14" s="99" t="s">
        <v>195</v>
      </c>
      <c r="AX14" s="99" t="s">
        <v>195</v>
      </c>
      <c r="AY14" s="99"/>
      <c r="AZ14" s="99" t="s">
        <v>194</v>
      </c>
      <c r="BA14" s="99" t="s">
        <v>194</v>
      </c>
      <c r="BB14" s="99" t="s">
        <v>195</v>
      </c>
      <c r="BC14" s="99" t="s">
        <v>195</v>
      </c>
      <c r="BD14" s="99" t="s">
        <v>195</v>
      </c>
      <c r="BE14" s="99" t="s">
        <v>195</v>
      </c>
      <c r="BF14" s="99" t="s">
        <v>195</v>
      </c>
      <c r="BG14" s="99" t="s">
        <v>195</v>
      </c>
      <c r="BH14" s="99" t="s">
        <v>195</v>
      </c>
      <c r="BI14" s="99" t="s">
        <v>195</v>
      </c>
      <c r="BJ14" s="99" t="s">
        <v>195</v>
      </c>
      <c r="BK14" s="99" t="s">
        <v>195</v>
      </c>
      <c r="BL14" s="99" t="s">
        <v>195</v>
      </c>
      <c r="BM14" s="99" t="s">
        <v>195</v>
      </c>
      <c r="BN14" s="99" t="s">
        <v>195</v>
      </c>
      <c r="BO14" s="99" t="s">
        <v>195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197</v>
      </c>
      <c r="BV14" s="99" t="s">
        <v>197</v>
      </c>
      <c r="BW14" s="99" t="s">
        <v>197</v>
      </c>
      <c r="BX14" s="99" t="s">
        <v>197</v>
      </c>
      <c r="BY14" s="99" t="s">
        <v>197</v>
      </c>
      <c r="BZ14" s="99" t="s">
        <v>197</v>
      </c>
      <c r="CA14" s="99" t="s">
        <v>197</v>
      </c>
      <c r="CB14" s="99"/>
      <c r="CC14" s="99" t="s">
        <v>198</v>
      </c>
      <c r="CD14" s="99"/>
      <c r="CE14" s="99" t="s">
        <v>199</v>
      </c>
      <c r="CF14" s="99"/>
      <c r="CG14" s="99"/>
      <c r="CH14" s="99"/>
      <c r="CI14" s="99" t="s">
        <v>199</v>
      </c>
      <c r="CJ14" s="99" t="s">
        <v>200</v>
      </c>
      <c r="CK14" s="99" t="s">
        <v>200</v>
      </c>
      <c r="CL14" s="99" t="s">
        <v>200</v>
      </c>
      <c r="CM14" s="99" t="s">
        <v>201</v>
      </c>
      <c r="CN14" s="99" t="s">
        <v>200</v>
      </c>
      <c r="CO14" s="99" t="s">
        <v>200</v>
      </c>
      <c r="CP14" s="99" t="s">
        <v>200</v>
      </c>
      <c r="CQ14" s="99" t="s">
        <v>201</v>
      </c>
      <c r="CR14" s="99" t="s">
        <v>201</v>
      </c>
      <c r="CS14" s="99" t="s">
        <v>200</v>
      </c>
      <c r="CT14" s="99" t="s">
        <v>200</v>
      </c>
      <c r="CU14" s="99" t="s">
        <v>200</v>
      </c>
      <c r="CV14" s="99" t="s">
        <v>200</v>
      </c>
      <c r="CW14" s="99" t="s">
        <v>200</v>
      </c>
      <c r="CX14" s="99" t="s">
        <v>200</v>
      </c>
      <c r="CY14" s="99" t="s">
        <v>200</v>
      </c>
      <c r="CZ14" s="99" t="s">
        <v>203</v>
      </c>
      <c r="DA14" s="99" t="s">
        <v>200</v>
      </c>
      <c r="DB14" s="99" t="s">
        <v>201</v>
      </c>
      <c r="DC14" s="99" t="s">
        <v>201</v>
      </c>
      <c r="DD14" s="99" t="s">
        <v>201</v>
      </c>
      <c r="DE14" s="99" t="s">
        <v>201</v>
      </c>
      <c r="DF14" s="99" t="s">
        <v>201</v>
      </c>
      <c r="DG14" s="99" t="s">
        <v>201</v>
      </c>
      <c r="DH14" s="99" t="s">
        <v>201</v>
      </c>
      <c r="DI14" s="99" t="s">
        <v>201</v>
      </c>
      <c r="DJ14" s="99" t="s">
        <v>201</v>
      </c>
      <c r="DK14" s="99"/>
      <c r="DL14" s="99" t="s">
        <v>194</v>
      </c>
      <c r="DM14" s="99" t="s">
        <v>195</v>
      </c>
      <c r="DN14" s="99" t="s">
        <v>195</v>
      </c>
      <c r="DO14" s="99" t="s">
        <v>195</v>
      </c>
      <c r="DP14" s="99" t="s">
        <v>195</v>
      </c>
      <c r="DQ14" s="99" t="s">
        <v>195</v>
      </c>
      <c r="DR14" s="99" t="s">
        <v>195</v>
      </c>
      <c r="DS14" s="99" t="s">
        <v>195</v>
      </c>
      <c r="DT14" s="99" t="s">
        <v>195</v>
      </c>
      <c r="DU14" s="99" t="s">
        <v>195</v>
      </c>
      <c r="DV14" s="99" t="s">
        <v>195</v>
      </c>
      <c r="DW14" s="99" t="s">
        <v>195</v>
      </c>
      <c r="DX14" s="99" t="s">
        <v>195</v>
      </c>
      <c r="DY14" s="99" t="s">
        <v>195</v>
      </c>
      <c r="DZ14" s="99" t="s">
        <v>195</v>
      </c>
      <c r="EA14" s="99"/>
      <c r="EB14" s="99" t="s">
        <v>194</v>
      </c>
      <c r="EC14" s="99" t="s">
        <v>195</v>
      </c>
      <c r="ED14" s="99" t="s">
        <v>195</v>
      </c>
      <c r="EE14" s="99" t="s">
        <v>195</v>
      </c>
      <c r="EF14" s="99" t="s">
        <v>195</v>
      </c>
      <c r="EG14" s="99" t="s">
        <v>195</v>
      </c>
      <c r="EH14" s="100" t="s">
        <v>195</v>
      </c>
    </row>
    <row r="15" spans="1:138" ht="23.25" customHeight="1" x14ac:dyDescent="0.25">
      <c r="A15" s="101" t="s">
        <v>16</v>
      </c>
      <c r="B15" s="90" t="s">
        <v>193</v>
      </c>
      <c r="C15" s="90" t="s">
        <v>194</v>
      </c>
      <c r="D15" s="90" t="s">
        <v>195</v>
      </c>
      <c r="E15" s="90" t="s">
        <v>195</v>
      </c>
      <c r="F15" s="90" t="s">
        <v>195</v>
      </c>
      <c r="G15" s="90" t="s">
        <v>195</v>
      </c>
      <c r="H15" s="90" t="s">
        <v>195</v>
      </c>
      <c r="I15" s="90" t="s">
        <v>195</v>
      </c>
      <c r="J15" s="90" t="s">
        <v>195</v>
      </c>
      <c r="K15" s="90" t="s">
        <v>195</v>
      </c>
      <c r="L15" s="90" t="s">
        <v>195</v>
      </c>
      <c r="M15" s="90" t="s">
        <v>195</v>
      </c>
      <c r="N15" s="90" t="s">
        <v>195</v>
      </c>
      <c r="O15" s="90" t="s">
        <v>195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17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195</v>
      </c>
      <c r="AF15" s="90" t="s">
        <v>195</v>
      </c>
      <c r="AG15" s="90" t="s">
        <v>195</v>
      </c>
      <c r="AH15" s="90" t="s">
        <v>195</v>
      </c>
      <c r="AI15" s="90" t="s">
        <v>194</v>
      </c>
      <c r="AJ15" s="90" t="s">
        <v>195</v>
      </c>
      <c r="AK15" s="90" t="s">
        <v>195</v>
      </c>
      <c r="AL15" s="90" t="s">
        <v>195</v>
      </c>
      <c r="AM15" s="90"/>
      <c r="AN15" s="90" t="s">
        <v>194</v>
      </c>
      <c r="AO15" s="90" t="s">
        <v>195</v>
      </c>
      <c r="AP15" s="90" t="s">
        <v>195</v>
      </c>
      <c r="AQ15" s="90" t="s">
        <v>195</v>
      </c>
      <c r="AR15" s="90" t="s">
        <v>195</v>
      </c>
      <c r="AS15" s="90" t="s">
        <v>195</v>
      </c>
      <c r="AT15" s="90" t="s">
        <v>195</v>
      </c>
      <c r="AU15" s="90" t="s">
        <v>195</v>
      </c>
      <c r="AV15" s="90" t="s">
        <v>195</v>
      </c>
      <c r="AW15" s="90" t="s">
        <v>195</v>
      </c>
      <c r="AX15" s="90" t="s">
        <v>195</v>
      </c>
      <c r="AY15" s="90"/>
      <c r="AZ15" s="90" t="s">
        <v>194</v>
      </c>
      <c r="BA15" s="90" t="s">
        <v>194</v>
      </c>
      <c r="BB15" s="90" t="s">
        <v>195</v>
      </c>
      <c r="BC15" s="90" t="s">
        <v>195</v>
      </c>
      <c r="BD15" s="90" t="s">
        <v>195</v>
      </c>
      <c r="BE15" s="90" t="s">
        <v>195</v>
      </c>
      <c r="BF15" s="90" t="s">
        <v>195</v>
      </c>
      <c r="BG15" s="90" t="s">
        <v>195</v>
      </c>
      <c r="BH15" s="90" t="s">
        <v>195</v>
      </c>
      <c r="BI15" s="90" t="s">
        <v>195</v>
      </c>
      <c r="BJ15" s="90" t="s">
        <v>195</v>
      </c>
      <c r="BK15" s="90" t="s">
        <v>195</v>
      </c>
      <c r="BL15" s="90" t="s">
        <v>195</v>
      </c>
      <c r="BM15" s="90" t="s">
        <v>195</v>
      </c>
      <c r="BN15" s="90" t="s">
        <v>195</v>
      </c>
      <c r="BO15" s="90" t="s">
        <v>195</v>
      </c>
      <c r="BP15" s="90" t="s">
        <v>195</v>
      </c>
      <c r="BQ15" s="90" t="s">
        <v>195</v>
      </c>
      <c r="BR15" s="90" t="s">
        <v>195</v>
      </c>
      <c r="BS15" s="90" t="s">
        <v>195</v>
      </c>
      <c r="BT15" s="90"/>
      <c r="BU15" s="90" t="s">
        <v>197</v>
      </c>
      <c r="BV15" s="90" t="s">
        <v>197</v>
      </c>
      <c r="BW15" s="90" t="s">
        <v>197</v>
      </c>
      <c r="BX15" s="90" t="s">
        <v>197</v>
      </c>
      <c r="BY15" s="90" t="s">
        <v>197</v>
      </c>
      <c r="BZ15" s="90" t="s">
        <v>197</v>
      </c>
      <c r="CA15" s="90" t="s">
        <v>197</v>
      </c>
      <c r="CB15" s="90"/>
      <c r="CC15" s="90" t="s">
        <v>204</v>
      </c>
      <c r="CD15" s="90"/>
      <c r="CE15" s="90" t="s">
        <v>199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195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195</v>
      </c>
      <c r="CU15" s="90" t="s">
        <v>195</v>
      </c>
      <c r="CV15" s="90" t="s">
        <v>195</v>
      </c>
      <c r="CW15" s="90" t="s">
        <v>195</v>
      </c>
      <c r="CX15" s="90" t="s">
        <v>195</v>
      </c>
      <c r="CY15" s="90" t="s">
        <v>195</v>
      </c>
      <c r="CZ15" s="90" t="s">
        <v>195</v>
      </c>
      <c r="DA15" s="90" t="s">
        <v>195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195</v>
      </c>
      <c r="DJ15" s="90" t="s">
        <v>195</v>
      </c>
      <c r="DK15" s="90"/>
      <c r="DL15" s="90" t="s">
        <v>194</v>
      </c>
      <c r="DM15" s="90" t="s">
        <v>195</v>
      </c>
      <c r="DN15" s="90" t="s">
        <v>195</v>
      </c>
      <c r="DO15" s="90" t="s">
        <v>195</v>
      </c>
      <c r="DP15" s="90" t="s">
        <v>195</v>
      </c>
      <c r="DQ15" s="90" t="s">
        <v>195</v>
      </c>
      <c r="DR15" s="90" t="s">
        <v>195</v>
      </c>
      <c r="DS15" s="90" t="s">
        <v>195</v>
      </c>
      <c r="DT15" s="90" t="s">
        <v>195</v>
      </c>
      <c r="DU15" s="90" t="s">
        <v>195</v>
      </c>
      <c r="DV15" s="90" t="s">
        <v>195</v>
      </c>
      <c r="DW15" s="90" t="s">
        <v>195</v>
      </c>
      <c r="DX15" s="90" t="s">
        <v>195</v>
      </c>
      <c r="DY15" s="90" t="s">
        <v>195</v>
      </c>
      <c r="DZ15" s="90" t="s">
        <v>195</v>
      </c>
      <c r="EA15" s="90"/>
      <c r="EB15" s="90" t="s">
        <v>194</v>
      </c>
      <c r="EC15" s="90" t="s">
        <v>195</v>
      </c>
      <c r="ED15" s="90" t="s">
        <v>195</v>
      </c>
      <c r="EE15" s="90" t="s">
        <v>195</v>
      </c>
      <c r="EF15" s="90" t="s">
        <v>195</v>
      </c>
      <c r="EG15" s="90" t="s">
        <v>195</v>
      </c>
      <c r="EH15" s="102" t="s">
        <v>195</v>
      </c>
    </row>
    <row r="16" spans="1:138" ht="23.25" customHeight="1" x14ac:dyDescent="0.25">
      <c r="A16" s="98" t="s">
        <v>16</v>
      </c>
      <c r="B16" s="99" t="s">
        <v>193</v>
      </c>
      <c r="C16" s="99" t="s">
        <v>194</v>
      </c>
      <c r="D16" s="99" t="s">
        <v>195</v>
      </c>
      <c r="E16" s="99" t="s">
        <v>195</v>
      </c>
      <c r="F16" s="99" t="s">
        <v>195</v>
      </c>
      <c r="G16" s="99" t="s">
        <v>195</v>
      </c>
      <c r="H16" s="99" t="s">
        <v>195</v>
      </c>
      <c r="I16" s="99" t="s">
        <v>195</v>
      </c>
      <c r="J16" s="99" t="s">
        <v>195</v>
      </c>
      <c r="K16" s="99" t="s">
        <v>195</v>
      </c>
      <c r="L16" s="99" t="s">
        <v>195</v>
      </c>
      <c r="M16" s="99" t="s">
        <v>195</v>
      </c>
      <c r="N16" s="99" t="s">
        <v>195</v>
      </c>
      <c r="O16" s="99" t="s">
        <v>195</v>
      </c>
      <c r="P16" s="99" t="s">
        <v>195</v>
      </c>
      <c r="Q16" s="99" t="s">
        <v>195</v>
      </c>
      <c r="R16" s="99" t="s">
        <v>195</v>
      </c>
      <c r="S16" s="99" t="s">
        <v>195</v>
      </c>
      <c r="T16" s="99"/>
      <c r="U16" s="99" t="s">
        <v>194</v>
      </c>
      <c r="V16" s="99" t="s">
        <v>195</v>
      </c>
      <c r="W16" s="99" t="s">
        <v>195</v>
      </c>
      <c r="X16" s="99" t="s">
        <v>195</v>
      </c>
      <c r="Y16" s="99" t="s">
        <v>195</v>
      </c>
      <c r="Z16" s="99" t="s">
        <v>196</v>
      </c>
      <c r="AA16" s="99" t="s">
        <v>195</v>
      </c>
      <c r="AB16" s="99" t="s">
        <v>195</v>
      </c>
      <c r="AC16" s="99" t="s">
        <v>195</v>
      </c>
      <c r="AD16" s="99" t="s">
        <v>195</v>
      </c>
      <c r="AE16" s="99" t="s">
        <v>195</v>
      </c>
      <c r="AF16" s="99" t="s">
        <v>195</v>
      </c>
      <c r="AG16" s="99" t="s">
        <v>195</v>
      </c>
      <c r="AH16" s="99" t="s">
        <v>195</v>
      </c>
      <c r="AI16" s="99" t="s">
        <v>194</v>
      </c>
      <c r="AJ16" s="99" t="s">
        <v>195</v>
      </c>
      <c r="AK16" s="99" t="s">
        <v>195</v>
      </c>
      <c r="AL16" s="99" t="s">
        <v>195</v>
      </c>
      <c r="AM16" s="99"/>
      <c r="AN16" s="99" t="s">
        <v>194</v>
      </c>
      <c r="AO16" s="99" t="s">
        <v>195</v>
      </c>
      <c r="AP16" s="99" t="s">
        <v>195</v>
      </c>
      <c r="AQ16" s="99" t="s">
        <v>195</v>
      </c>
      <c r="AR16" s="99" t="s">
        <v>195</v>
      </c>
      <c r="AS16" s="99" t="s">
        <v>195</v>
      </c>
      <c r="AT16" s="99" t="s">
        <v>195</v>
      </c>
      <c r="AU16" s="99" t="s">
        <v>195</v>
      </c>
      <c r="AV16" s="99" t="s">
        <v>195</v>
      </c>
      <c r="AW16" s="99" t="s">
        <v>195</v>
      </c>
      <c r="AX16" s="99" t="s">
        <v>195</v>
      </c>
      <c r="AY16" s="99"/>
      <c r="AZ16" s="99" t="s">
        <v>199</v>
      </c>
      <c r="BA16" s="99" t="s">
        <v>194</v>
      </c>
      <c r="BB16" s="99" t="s">
        <v>195</v>
      </c>
      <c r="BC16" s="99" t="s">
        <v>30</v>
      </c>
      <c r="BD16" s="99" t="s">
        <v>30</v>
      </c>
      <c r="BE16" s="99" t="s">
        <v>30</v>
      </c>
      <c r="BF16" s="99" t="s">
        <v>30</v>
      </c>
      <c r="BG16" s="99" t="s">
        <v>30</v>
      </c>
      <c r="BH16" s="99" t="s">
        <v>30</v>
      </c>
      <c r="BI16" s="99" t="s">
        <v>206</v>
      </c>
      <c r="BJ16" s="99" t="s">
        <v>30</v>
      </c>
      <c r="BK16" s="99" t="s">
        <v>206</v>
      </c>
      <c r="BL16" s="99" t="s">
        <v>200</v>
      </c>
      <c r="BM16" s="99" t="s">
        <v>30</v>
      </c>
      <c r="BN16" s="99" t="s">
        <v>206</v>
      </c>
      <c r="BO16" s="99" t="s">
        <v>206</v>
      </c>
      <c r="BP16" s="99" t="s">
        <v>206</v>
      </c>
      <c r="BQ16" s="99" t="s">
        <v>206</v>
      </c>
      <c r="BR16" s="99" t="s">
        <v>206</v>
      </c>
      <c r="BS16" s="99" t="s">
        <v>30</v>
      </c>
      <c r="BT16" s="99"/>
      <c r="BU16" s="99" t="s">
        <v>200</v>
      </c>
      <c r="BV16" s="99" t="s">
        <v>200</v>
      </c>
      <c r="BW16" s="99" t="s">
        <v>200</v>
      </c>
      <c r="BX16" s="99" t="s">
        <v>200</v>
      </c>
      <c r="BY16" s="99" t="s">
        <v>200</v>
      </c>
      <c r="BZ16" s="99" t="s">
        <v>200</v>
      </c>
      <c r="CA16" s="99" t="s">
        <v>30</v>
      </c>
      <c r="CB16" s="99"/>
      <c r="CC16" s="99" t="s">
        <v>198</v>
      </c>
      <c r="CD16" s="99"/>
      <c r="CE16" s="99" t="s">
        <v>199</v>
      </c>
      <c r="CF16" s="99"/>
      <c r="CG16" s="99"/>
      <c r="CH16" s="99"/>
      <c r="CI16" s="99" t="s">
        <v>199</v>
      </c>
      <c r="CJ16" s="99" t="s">
        <v>206</v>
      </c>
      <c r="CK16" s="99" t="s">
        <v>30</v>
      </c>
      <c r="CL16" s="99" t="s">
        <v>206</v>
      </c>
      <c r="CM16" s="99" t="s">
        <v>30</v>
      </c>
      <c r="CN16" s="99" t="s">
        <v>30</v>
      </c>
      <c r="CO16" s="99" t="s">
        <v>30</v>
      </c>
      <c r="CP16" s="99" t="s">
        <v>30</v>
      </c>
      <c r="CQ16" s="99" t="s">
        <v>30</v>
      </c>
      <c r="CR16" s="99" t="s">
        <v>30</v>
      </c>
      <c r="CS16" s="99" t="s">
        <v>30</v>
      </c>
      <c r="CT16" s="99" t="s">
        <v>30</v>
      </c>
      <c r="CU16" s="99" t="s">
        <v>206</v>
      </c>
      <c r="CV16" s="99" t="s">
        <v>206</v>
      </c>
      <c r="CW16" s="99" t="s">
        <v>200</v>
      </c>
      <c r="CX16" s="99" t="s">
        <v>206</v>
      </c>
      <c r="CY16" s="99" t="s">
        <v>30</v>
      </c>
      <c r="CZ16" s="99" t="s">
        <v>30</v>
      </c>
      <c r="DA16" s="99" t="s">
        <v>206</v>
      </c>
      <c r="DB16" s="99" t="s">
        <v>206</v>
      </c>
      <c r="DC16" s="99" t="s">
        <v>206</v>
      </c>
      <c r="DD16" s="99" t="s">
        <v>206</v>
      </c>
      <c r="DE16" s="99" t="s">
        <v>206</v>
      </c>
      <c r="DF16" s="99" t="s">
        <v>206</v>
      </c>
      <c r="DG16" s="99" t="s">
        <v>30</v>
      </c>
      <c r="DH16" s="99" t="s">
        <v>30</v>
      </c>
      <c r="DI16" s="99" t="s">
        <v>30</v>
      </c>
      <c r="DJ16" s="99" t="s">
        <v>30</v>
      </c>
      <c r="DK16" s="99"/>
      <c r="DL16" s="99" t="s">
        <v>194</v>
      </c>
      <c r="DM16" s="99" t="s">
        <v>195</v>
      </c>
      <c r="DN16" s="99" t="s">
        <v>195</v>
      </c>
      <c r="DO16" s="99" t="s">
        <v>195</v>
      </c>
      <c r="DP16" s="99" t="s">
        <v>195</v>
      </c>
      <c r="DQ16" s="99" t="s">
        <v>195</v>
      </c>
      <c r="DR16" s="99" t="s">
        <v>195</v>
      </c>
      <c r="DS16" s="99" t="s">
        <v>195</v>
      </c>
      <c r="DT16" s="99" t="s">
        <v>195</v>
      </c>
      <c r="DU16" s="99" t="s">
        <v>195</v>
      </c>
      <c r="DV16" s="99" t="s">
        <v>195</v>
      </c>
      <c r="DW16" s="99" t="s">
        <v>195</v>
      </c>
      <c r="DX16" s="99" t="s">
        <v>195</v>
      </c>
      <c r="DY16" s="99" t="s">
        <v>195</v>
      </c>
      <c r="DZ16" s="99" t="s">
        <v>195</v>
      </c>
      <c r="EA16" s="99"/>
      <c r="EB16" s="99" t="s">
        <v>194</v>
      </c>
      <c r="EC16" s="99" t="s">
        <v>195</v>
      </c>
      <c r="ED16" s="99" t="s">
        <v>195</v>
      </c>
      <c r="EE16" s="99" t="s">
        <v>195</v>
      </c>
      <c r="EF16" s="99" t="s">
        <v>195</v>
      </c>
      <c r="EG16" s="99" t="s">
        <v>195</v>
      </c>
      <c r="EH16" s="100" t="s">
        <v>195</v>
      </c>
    </row>
    <row r="17" spans="1:138" ht="23.25" customHeight="1" x14ac:dyDescent="0.25">
      <c r="A17" s="101" t="s">
        <v>16</v>
      </c>
      <c r="B17" s="90" t="s">
        <v>193</v>
      </c>
      <c r="C17" s="90" t="s">
        <v>194</v>
      </c>
      <c r="D17" s="90" t="s">
        <v>195</v>
      </c>
      <c r="E17" s="90" t="s">
        <v>195</v>
      </c>
      <c r="F17" s="90" t="s">
        <v>195</v>
      </c>
      <c r="G17" s="90" t="s">
        <v>195</v>
      </c>
      <c r="H17" s="90" t="s">
        <v>195</v>
      </c>
      <c r="I17" s="90" t="s">
        <v>195</v>
      </c>
      <c r="J17" s="90" t="s">
        <v>195</v>
      </c>
      <c r="K17" s="90" t="s">
        <v>195</v>
      </c>
      <c r="L17" s="90" t="s">
        <v>195</v>
      </c>
      <c r="M17" s="90" t="s">
        <v>195</v>
      </c>
      <c r="N17" s="90" t="s">
        <v>195</v>
      </c>
      <c r="O17" s="90" t="s">
        <v>195</v>
      </c>
      <c r="P17" s="90" t="s">
        <v>195</v>
      </c>
      <c r="Q17" s="90" t="s">
        <v>195</v>
      </c>
      <c r="R17" s="90" t="s">
        <v>195</v>
      </c>
      <c r="S17" s="90" t="s">
        <v>195</v>
      </c>
      <c r="T17" s="90"/>
      <c r="U17" s="90" t="s">
        <v>194</v>
      </c>
      <c r="V17" s="90" t="s">
        <v>195</v>
      </c>
      <c r="W17" s="90" t="s">
        <v>195</v>
      </c>
      <c r="X17" s="90" t="s">
        <v>195</v>
      </c>
      <c r="Y17" s="90" t="s">
        <v>195</v>
      </c>
      <c r="Z17" s="90" t="s">
        <v>196</v>
      </c>
      <c r="AA17" s="90" t="s">
        <v>195</v>
      </c>
      <c r="AB17" s="90" t="s">
        <v>195</v>
      </c>
      <c r="AC17" s="90" t="s">
        <v>195</v>
      </c>
      <c r="AD17" s="90" t="s">
        <v>195</v>
      </c>
      <c r="AE17" s="90" t="s">
        <v>195</v>
      </c>
      <c r="AF17" s="90" t="s">
        <v>195</v>
      </c>
      <c r="AG17" s="90" t="s">
        <v>195</v>
      </c>
      <c r="AH17" s="90" t="s">
        <v>195</v>
      </c>
      <c r="AI17" s="90" t="s">
        <v>194</v>
      </c>
      <c r="AJ17" s="90" t="s">
        <v>195</v>
      </c>
      <c r="AK17" s="90" t="s">
        <v>195</v>
      </c>
      <c r="AL17" s="90" t="s">
        <v>195</v>
      </c>
      <c r="AM17" s="90"/>
      <c r="AN17" s="90" t="s">
        <v>194</v>
      </c>
      <c r="AO17" s="90" t="s">
        <v>195</v>
      </c>
      <c r="AP17" s="90" t="s">
        <v>195</v>
      </c>
      <c r="AQ17" s="90" t="s">
        <v>195</v>
      </c>
      <c r="AR17" s="90" t="s">
        <v>195</v>
      </c>
      <c r="AS17" s="90" t="s">
        <v>195</v>
      </c>
      <c r="AT17" s="90" t="s">
        <v>195</v>
      </c>
      <c r="AU17" s="90" t="s">
        <v>195</v>
      </c>
      <c r="AV17" s="90" t="s">
        <v>195</v>
      </c>
      <c r="AW17" s="90" t="s">
        <v>195</v>
      </c>
      <c r="AX17" s="90" t="s">
        <v>195</v>
      </c>
      <c r="AY17" s="90"/>
      <c r="AZ17" s="90" t="s">
        <v>194</v>
      </c>
      <c r="BA17" s="90" t="s">
        <v>194</v>
      </c>
      <c r="BB17" s="90" t="s">
        <v>195</v>
      </c>
      <c r="BC17" s="90" t="s">
        <v>195</v>
      </c>
      <c r="BD17" s="90" t="s">
        <v>195</v>
      </c>
      <c r="BE17" s="90" t="s">
        <v>195</v>
      </c>
      <c r="BF17" s="90" t="s">
        <v>195</v>
      </c>
      <c r="BG17" s="90" t="s">
        <v>195</v>
      </c>
      <c r="BH17" s="90" t="s">
        <v>195</v>
      </c>
      <c r="BI17" s="90" t="s">
        <v>195</v>
      </c>
      <c r="BJ17" s="90" t="s">
        <v>195</v>
      </c>
      <c r="BK17" s="90" t="s">
        <v>195</v>
      </c>
      <c r="BL17" s="90" t="s">
        <v>195</v>
      </c>
      <c r="BM17" s="90" t="s">
        <v>195</v>
      </c>
      <c r="BN17" s="90" t="s">
        <v>195</v>
      </c>
      <c r="BO17" s="90" t="s">
        <v>195</v>
      </c>
      <c r="BP17" s="90" t="s">
        <v>195</v>
      </c>
      <c r="BQ17" s="90" t="s">
        <v>195</v>
      </c>
      <c r="BR17" s="90" t="s">
        <v>195</v>
      </c>
      <c r="BS17" s="90" t="s">
        <v>195</v>
      </c>
      <c r="BT17" s="90"/>
      <c r="BU17" s="90" t="s">
        <v>200</v>
      </c>
      <c r="BV17" s="90" t="s">
        <v>30</v>
      </c>
      <c r="BW17" s="90" t="s">
        <v>30</v>
      </c>
      <c r="BX17" s="90" t="s">
        <v>30</v>
      </c>
      <c r="BY17" s="90" t="s">
        <v>30</v>
      </c>
      <c r="BZ17" s="90" t="s">
        <v>30</v>
      </c>
      <c r="CA17" s="90" t="s">
        <v>203</v>
      </c>
      <c r="CB17" s="90"/>
      <c r="CC17" s="90" t="s">
        <v>198</v>
      </c>
      <c r="CD17" s="90"/>
      <c r="CE17" s="90" t="s">
        <v>199</v>
      </c>
      <c r="CF17" s="90"/>
      <c r="CG17" s="90"/>
      <c r="CH17" s="90"/>
      <c r="CI17" s="90" t="s">
        <v>194</v>
      </c>
      <c r="CJ17" s="90" t="s">
        <v>195</v>
      </c>
      <c r="CK17" s="90" t="s">
        <v>195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195</v>
      </c>
      <c r="CQ17" s="90" t="s">
        <v>195</v>
      </c>
      <c r="CR17" s="90" t="s">
        <v>195</v>
      </c>
      <c r="CS17" s="90" t="s">
        <v>195</v>
      </c>
      <c r="CT17" s="90" t="s">
        <v>195</v>
      </c>
      <c r="CU17" s="90" t="s">
        <v>195</v>
      </c>
      <c r="CV17" s="90" t="s">
        <v>195</v>
      </c>
      <c r="CW17" s="90" t="s">
        <v>195</v>
      </c>
      <c r="CX17" s="90" t="s">
        <v>195</v>
      </c>
      <c r="CY17" s="90" t="s">
        <v>195</v>
      </c>
      <c r="CZ17" s="90" t="s">
        <v>195</v>
      </c>
      <c r="DA17" s="90" t="s">
        <v>195</v>
      </c>
      <c r="DB17" s="90" t="s">
        <v>195</v>
      </c>
      <c r="DC17" s="90" t="s">
        <v>195</v>
      </c>
      <c r="DD17" s="90" t="s">
        <v>195</v>
      </c>
      <c r="DE17" s="90" t="s">
        <v>195</v>
      </c>
      <c r="DF17" s="90" t="s">
        <v>195</v>
      </c>
      <c r="DG17" s="90" t="s">
        <v>195</v>
      </c>
      <c r="DH17" s="90" t="s">
        <v>195</v>
      </c>
      <c r="DI17" s="90" t="s">
        <v>195</v>
      </c>
      <c r="DJ17" s="90" t="s">
        <v>195</v>
      </c>
      <c r="DK17" s="90"/>
      <c r="DL17" s="90" t="s">
        <v>194</v>
      </c>
      <c r="DM17" s="90" t="s">
        <v>195</v>
      </c>
      <c r="DN17" s="90" t="s">
        <v>195</v>
      </c>
      <c r="DO17" s="90" t="s">
        <v>195</v>
      </c>
      <c r="DP17" s="90" t="s">
        <v>195</v>
      </c>
      <c r="DQ17" s="90" t="s">
        <v>195</v>
      </c>
      <c r="DR17" s="90" t="s">
        <v>195</v>
      </c>
      <c r="DS17" s="90" t="s">
        <v>195</v>
      </c>
      <c r="DT17" s="90" t="s">
        <v>195</v>
      </c>
      <c r="DU17" s="90" t="s">
        <v>195</v>
      </c>
      <c r="DV17" s="90" t="s">
        <v>195</v>
      </c>
      <c r="DW17" s="90" t="s">
        <v>195</v>
      </c>
      <c r="DX17" s="90" t="s">
        <v>195</v>
      </c>
      <c r="DY17" s="90" t="s">
        <v>195</v>
      </c>
      <c r="DZ17" s="90" t="s">
        <v>195</v>
      </c>
      <c r="EA17" s="90"/>
      <c r="EB17" s="90" t="s">
        <v>194</v>
      </c>
      <c r="EC17" s="90" t="s">
        <v>195</v>
      </c>
      <c r="ED17" s="90" t="s">
        <v>195</v>
      </c>
      <c r="EE17" s="90" t="s">
        <v>195</v>
      </c>
      <c r="EF17" s="90" t="s">
        <v>195</v>
      </c>
      <c r="EG17" s="90" t="s">
        <v>195</v>
      </c>
      <c r="EH17" s="102" t="s">
        <v>195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195</v>
      </c>
      <c r="E18" s="99" t="s">
        <v>195</v>
      </c>
      <c r="F18" s="99" t="s">
        <v>195</v>
      </c>
      <c r="G18" s="99" t="s">
        <v>195</v>
      </c>
      <c r="H18" s="99" t="s">
        <v>195</v>
      </c>
      <c r="I18" s="99" t="s">
        <v>195</v>
      </c>
      <c r="J18" s="99" t="s">
        <v>195</v>
      </c>
      <c r="K18" s="99" t="s">
        <v>195</v>
      </c>
      <c r="L18" s="99" t="s">
        <v>195</v>
      </c>
      <c r="M18" s="99" t="s">
        <v>195</v>
      </c>
      <c r="N18" s="99" t="s">
        <v>195</v>
      </c>
      <c r="O18" s="99" t="s">
        <v>195</v>
      </c>
      <c r="P18" s="99" t="s">
        <v>195</v>
      </c>
      <c r="Q18" s="99" t="s">
        <v>195</v>
      </c>
      <c r="R18" s="99" t="s">
        <v>195</v>
      </c>
      <c r="S18" s="99" t="s">
        <v>195</v>
      </c>
      <c r="T18" s="99"/>
      <c r="U18" s="99" t="s">
        <v>194</v>
      </c>
      <c r="V18" s="99" t="s">
        <v>195</v>
      </c>
      <c r="W18" s="99" t="s">
        <v>195</v>
      </c>
      <c r="X18" s="99" t="s">
        <v>195</v>
      </c>
      <c r="Y18" s="99" t="s">
        <v>195</v>
      </c>
      <c r="Z18" s="99" t="s">
        <v>196</v>
      </c>
      <c r="AA18" s="99" t="s">
        <v>195</v>
      </c>
      <c r="AB18" s="99" t="s">
        <v>195</v>
      </c>
      <c r="AC18" s="99" t="s">
        <v>195</v>
      </c>
      <c r="AD18" s="99" t="s">
        <v>195</v>
      </c>
      <c r="AE18" s="99" t="s">
        <v>195</v>
      </c>
      <c r="AF18" s="99" t="s">
        <v>195</v>
      </c>
      <c r="AG18" s="99" t="s">
        <v>195</v>
      </c>
      <c r="AH18" s="99" t="s">
        <v>195</v>
      </c>
      <c r="AI18" s="99" t="s">
        <v>194</v>
      </c>
      <c r="AJ18" s="99" t="s">
        <v>195</v>
      </c>
      <c r="AK18" s="99" t="s">
        <v>195</v>
      </c>
      <c r="AL18" s="99" t="s">
        <v>195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194</v>
      </c>
      <c r="BA18" s="99" t="s">
        <v>194</v>
      </c>
      <c r="BB18" s="99" t="s">
        <v>195</v>
      </c>
      <c r="BC18" s="99" t="s">
        <v>195</v>
      </c>
      <c r="BD18" s="99" t="s">
        <v>195</v>
      </c>
      <c r="BE18" s="99" t="s">
        <v>195</v>
      </c>
      <c r="BF18" s="99" t="s">
        <v>195</v>
      </c>
      <c r="BG18" s="99" t="s">
        <v>195</v>
      </c>
      <c r="BH18" s="99" t="s">
        <v>195</v>
      </c>
      <c r="BI18" s="99" t="s">
        <v>195</v>
      </c>
      <c r="BJ18" s="99" t="s">
        <v>195</v>
      </c>
      <c r="BK18" s="99" t="s">
        <v>195</v>
      </c>
      <c r="BL18" s="99" t="s">
        <v>195</v>
      </c>
      <c r="BM18" s="99" t="s">
        <v>195</v>
      </c>
      <c r="BN18" s="99" t="s">
        <v>195</v>
      </c>
      <c r="BO18" s="99" t="s">
        <v>195</v>
      </c>
      <c r="BP18" s="99" t="s">
        <v>195</v>
      </c>
      <c r="BQ18" s="99" t="s">
        <v>195</v>
      </c>
      <c r="BR18" s="99" t="s">
        <v>195</v>
      </c>
      <c r="BS18" s="99" t="s">
        <v>195</v>
      </c>
      <c r="BT18" s="99"/>
      <c r="BU18" s="99" t="s">
        <v>197</v>
      </c>
      <c r="BV18" s="99" t="s">
        <v>197</v>
      </c>
      <c r="BW18" s="99" t="s">
        <v>197</v>
      </c>
      <c r="BX18" s="99" t="s">
        <v>197</v>
      </c>
      <c r="BY18" s="99" t="s">
        <v>197</v>
      </c>
      <c r="BZ18" s="99" t="s">
        <v>197</v>
      </c>
      <c r="CA18" s="99" t="s">
        <v>197</v>
      </c>
      <c r="CB18" s="99"/>
      <c r="CC18" s="99" t="s">
        <v>204</v>
      </c>
      <c r="CD18" s="99"/>
      <c r="CE18" s="99" t="s">
        <v>194</v>
      </c>
      <c r="CF18" s="99"/>
      <c r="CG18" s="99"/>
      <c r="CH18" s="99"/>
      <c r="CI18" s="99" t="s">
        <v>194</v>
      </c>
      <c r="CJ18" s="99" t="s">
        <v>195</v>
      </c>
      <c r="CK18" s="99" t="s">
        <v>195</v>
      </c>
      <c r="CL18" s="99" t="s">
        <v>195</v>
      </c>
      <c r="CM18" s="99" t="s">
        <v>195</v>
      </c>
      <c r="CN18" s="99" t="s">
        <v>195</v>
      </c>
      <c r="CO18" s="99" t="s">
        <v>195</v>
      </c>
      <c r="CP18" s="99" t="s">
        <v>195</v>
      </c>
      <c r="CQ18" s="99" t="s">
        <v>195</v>
      </c>
      <c r="CR18" s="99" t="s">
        <v>195</v>
      </c>
      <c r="CS18" s="99" t="s">
        <v>195</v>
      </c>
      <c r="CT18" s="99" t="s">
        <v>195</v>
      </c>
      <c r="CU18" s="99" t="s">
        <v>195</v>
      </c>
      <c r="CV18" s="99" t="s">
        <v>195</v>
      </c>
      <c r="CW18" s="99" t="s">
        <v>195</v>
      </c>
      <c r="CX18" s="99" t="s">
        <v>195</v>
      </c>
      <c r="CY18" s="99" t="s">
        <v>195</v>
      </c>
      <c r="CZ18" s="99" t="s">
        <v>195</v>
      </c>
      <c r="DA18" s="99" t="s">
        <v>195</v>
      </c>
      <c r="DB18" s="99" t="s">
        <v>195</v>
      </c>
      <c r="DC18" s="99" t="s">
        <v>195</v>
      </c>
      <c r="DD18" s="99" t="s">
        <v>195</v>
      </c>
      <c r="DE18" s="99" t="s">
        <v>195</v>
      </c>
      <c r="DF18" s="99" t="s">
        <v>195</v>
      </c>
      <c r="DG18" s="99" t="s">
        <v>195</v>
      </c>
      <c r="DH18" s="99" t="s">
        <v>195</v>
      </c>
      <c r="DI18" s="99" t="s">
        <v>195</v>
      </c>
      <c r="DJ18" s="99" t="s">
        <v>195</v>
      </c>
      <c r="DK18" s="99"/>
      <c r="DL18" s="99" t="s">
        <v>194</v>
      </c>
      <c r="DM18" s="99" t="s">
        <v>195</v>
      </c>
      <c r="DN18" s="99" t="s">
        <v>195</v>
      </c>
      <c r="DO18" s="99" t="s">
        <v>195</v>
      </c>
      <c r="DP18" s="99" t="s">
        <v>195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195</v>
      </c>
      <c r="DV18" s="99" t="s">
        <v>195</v>
      </c>
      <c r="DW18" s="99" t="s">
        <v>195</v>
      </c>
      <c r="DX18" s="99" t="s">
        <v>195</v>
      </c>
      <c r="DY18" s="99" t="s">
        <v>195</v>
      </c>
      <c r="DZ18" s="99" t="s">
        <v>195</v>
      </c>
      <c r="EA18" s="99"/>
      <c r="EB18" s="99" t="s">
        <v>194</v>
      </c>
      <c r="EC18" s="99" t="s">
        <v>195</v>
      </c>
      <c r="ED18" s="99" t="s">
        <v>195</v>
      </c>
      <c r="EE18" s="99" t="s">
        <v>195</v>
      </c>
      <c r="EF18" s="99" t="s">
        <v>195</v>
      </c>
      <c r="EG18" s="99" t="s">
        <v>195</v>
      </c>
      <c r="EH18" s="100" t="s">
        <v>195</v>
      </c>
    </row>
    <row r="19" spans="1:138" ht="23.25" customHeight="1" x14ac:dyDescent="0.25">
      <c r="A19" s="101" t="s">
        <v>16</v>
      </c>
      <c r="B19" s="90" t="s">
        <v>193</v>
      </c>
      <c r="C19" s="90" t="s">
        <v>194</v>
      </c>
      <c r="D19" s="90" t="s">
        <v>195</v>
      </c>
      <c r="E19" s="90" t="s">
        <v>195</v>
      </c>
      <c r="F19" s="90" t="s">
        <v>195</v>
      </c>
      <c r="G19" s="90" t="s">
        <v>195</v>
      </c>
      <c r="H19" s="90" t="s">
        <v>195</v>
      </c>
      <c r="I19" s="90" t="s">
        <v>195</v>
      </c>
      <c r="J19" s="90" t="s">
        <v>195</v>
      </c>
      <c r="K19" s="90" t="s">
        <v>195</v>
      </c>
      <c r="L19" s="90" t="s">
        <v>195</v>
      </c>
      <c r="M19" s="90" t="s">
        <v>195</v>
      </c>
      <c r="N19" s="90" t="s">
        <v>195</v>
      </c>
      <c r="O19" s="90" t="s">
        <v>195</v>
      </c>
      <c r="P19" s="90" t="s">
        <v>195</v>
      </c>
      <c r="Q19" s="90" t="s">
        <v>195</v>
      </c>
      <c r="R19" s="90" t="s">
        <v>195</v>
      </c>
      <c r="S19" s="90" t="s">
        <v>195</v>
      </c>
      <c r="T19" s="90"/>
      <c r="U19" s="90" t="s">
        <v>194</v>
      </c>
      <c r="V19" s="90" t="s">
        <v>195</v>
      </c>
      <c r="W19" s="90" t="s">
        <v>195</v>
      </c>
      <c r="X19" s="90" t="s">
        <v>195</v>
      </c>
      <c r="Y19" s="90" t="s">
        <v>195</v>
      </c>
      <c r="Z19" s="90" t="s">
        <v>196</v>
      </c>
      <c r="AA19" s="90" t="s">
        <v>195</v>
      </c>
      <c r="AB19" s="90" t="s">
        <v>195</v>
      </c>
      <c r="AC19" s="90" t="s">
        <v>195</v>
      </c>
      <c r="AD19" s="90" t="s">
        <v>195</v>
      </c>
      <c r="AE19" s="90" t="s">
        <v>195</v>
      </c>
      <c r="AF19" s="90" t="s">
        <v>195</v>
      </c>
      <c r="AG19" s="90" t="s">
        <v>195</v>
      </c>
      <c r="AH19" s="90" t="s">
        <v>195</v>
      </c>
      <c r="AI19" s="90" t="s">
        <v>194</v>
      </c>
      <c r="AJ19" s="90" t="s">
        <v>195</v>
      </c>
      <c r="AK19" s="90" t="s">
        <v>195</v>
      </c>
      <c r="AL19" s="90" t="s">
        <v>195</v>
      </c>
      <c r="AM19" s="90"/>
      <c r="AN19" s="90" t="s">
        <v>194</v>
      </c>
      <c r="AO19" s="90" t="s">
        <v>195</v>
      </c>
      <c r="AP19" s="90" t="s">
        <v>195</v>
      </c>
      <c r="AQ19" s="90" t="s">
        <v>195</v>
      </c>
      <c r="AR19" s="90" t="s">
        <v>195</v>
      </c>
      <c r="AS19" s="90" t="s">
        <v>195</v>
      </c>
      <c r="AT19" s="90" t="s">
        <v>195</v>
      </c>
      <c r="AU19" s="90" t="s">
        <v>195</v>
      </c>
      <c r="AV19" s="90" t="s">
        <v>195</v>
      </c>
      <c r="AW19" s="90" t="s">
        <v>195</v>
      </c>
      <c r="AX19" s="90" t="s">
        <v>195</v>
      </c>
      <c r="AY19" s="90"/>
      <c r="AZ19" s="90" t="s">
        <v>194</v>
      </c>
      <c r="BA19" s="90" t="s">
        <v>194</v>
      </c>
      <c r="BB19" s="90" t="s">
        <v>195</v>
      </c>
      <c r="BC19" s="90" t="s">
        <v>195</v>
      </c>
      <c r="BD19" s="90" t="s">
        <v>195</v>
      </c>
      <c r="BE19" s="90" t="s">
        <v>195</v>
      </c>
      <c r="BF19" s="90" t="s">
        <v>195</v>
      </c>
      <c r="BG19" s="90" t="s">
        <v>195</v>
      </c>
      <c r="BH19" s="90" t="s">
        <v>195</v>
      </c>
      <c r="BI19" s="90" t="s">
        <v>195</v>
      </c>
      <c r="BJ19" s="90" t="s">
        <v>195</v>
      </c>
      <c r="BK19" s="90" t="s">
        <v>195</v>
      </c>
      <c r="BL19" s="90" t="s">
        <v>195</v>
      </c>
      <c r="BM19" s="90" t="s">
        <v>195</v>
      </c>
      <c r="BN19" s="90" t="s">
        <v>195</v>
      </c>
      <c r="BO19" s="90" t="s">
        <v>195</v>
      </c>
      <c r="BP19" s="90" t="s">
        <v>195</v>
      </c>
      <c r="BQ19" s="90" t="s">
        <v>195</v>
      </c>
      <c r="BR19" s="90" t="s">
        <v>195</v>
      </c>
      <c r="BS19" s="90" t="s">
        <v>195</v>
      </c>
      <c r="BT19" s="90"/>
      <c r="BU19" s="90" t="s">
        <v>195</v>
      </c>
      <c r="BV19" s="90" t="s">
        <v>195</v>
      </c>
      <c r="BW19" s="90" t="s">
        <v>195</v>
      </c>
      <c r="BX19" s="90" t="s">
        <v>195</v>
      </c>
      <c r="BY19" s="90" t="s">
        <v>195</v>
      </c>
      <c r="BZ19" s="90" t="s">
        <v>195</v>
      </c>
      <c r="CA19" s="90" t="s">
        <v>203</v>
      </c>
      <c r="CB19" s="90"/>
      <c r="CC19" s="90" t="s">
        <v>202</v>
      </c>
      <c r="CD19" s="90"/>
      <c r="CE19" s="90" t="s">
        <v>199</v>
      </c>
      <c r="CF19" s="90"/>
      <c r="CG19" s="90"/>
      <c r="CH19" s="90"/>
      <c r="CI19" s="90" t="s">
        <v>194</v>
      </c>
      <c r="CJ19" s="90" t="s">
        <v>195</v>
      </c>
      <c r="CK19" s="90" t="s">
        <v>195</v>
      </c>
      <c r="CL19" s="90" t="s">
        <v>195</v>
      </c>
      <c r="CM19" s="90" t="s">
        <v>195</v>
      </c>
      <c r="CN19" s="90" t="s">
        <v>195</v>
      </c>
      <c r="CO19" s="90" t="s">
        <v>195</v>
      </c>
      <c r="CP19" s="90" t="s">
        <v>195</v>
      </c>
      <c r="CQ19" s="90" t="s">
        <v>195</v>
      </c>
      <c r="CR19" s="90" t="s">
        <v>195</v>
      </c>
      <c r="CS19" s="90" t="s">
        <v>195</v>
      </c>
      <c r="CT19" s="90" t="s">
        <v>195</v>
      </c>
      <c r="CU19" s="90" t="s">
        <v>195</v>
      </c>
      <c r="CV19" s="90" t="s">
        <v>195</v>
      </c>
      <c r="CW19" s="90" t="s">
        <v>195</v>
      </c>
      <c r="CX19" s="90" t="s">
        <v>195</v>
      </c>
      <c r="CY19" s="90" t="s">
        <v>195</v>
      </c>
      <c r="CZ19" s="90" t="s">
        <v>195</v>
      </c>
      <c r="DA19" s="90" t="s">
        <v>195</v>
      </c>
      <c r="DB19" s="90" t="s">
        <v>195</v>
      </c>
      <c r="DC19" s="90" t="s">
        <v>195</v>
      </c>
      <c r="DD19" s="90" t="s">
        <v>195</v>
      </c>
      <c r="DE19" s="90" t="s">
        <v>195</v>
      </c>
      <c r="DF19" s="90" t="s">
        <v>195</v>
      </c>
      <c r="DG19" s="90" t="s">
        <v>195</v>
      </c>
      <c r="DH19" s="90" t="s">
        <v>195</v>
      </c>
      <c r="DI19" s="90" t="s">
        <v>195</v>
      </c>
      <c r="DJ19" s="90" t="s">
        <v>195</v>
      </c>
      <c r="DK19" s="90"/>
      <c r="DL19" s="90" t="s">
        <v>194</v>
      </c>
      <c r="DM19" s="90" t="s">
        <v>195</v>
      </c>
      <c r="DN19" s="90" t="s">
        <v>195</v>
      </c>
      <c r="DO19" s="90" t="s">
        <v>195</v>
      </c>
      <c r="DP19" s="90" t="s">
        <v>195</v>
      </c>
      <c r="DQ19" s="90" t="s">
        <v>195</v>
      </c>
      <c r="DR19" s="90" t="s">
        <v>195</v>
      </c>
      <c r="DS19" s="90" t="s">
        <v>195</v>
      </c>
      <c r="DT19" s="90" t="s">
        <v>195</v>
      </c>
      <c r="DU19" s="90" t="s">
        <v>195</v>
      </c>
      <c r="DV19" s="90" t="s">
        <v>195</v>
      </c>
      <c r="DW19" s="90" t="s">
        <v>195</v>
      </c>
      <c r="DX19" s="90" t="s">
        <v>195</v>
      </c>
      <c r="DY19" s="90" t="s">
        <v>195</v>
      </c>
      <c r="DZ19" s="90" t="s">
        <v>195</v>
      </c>
      <c r="EA19" s="90"/>
      <c r="EB19" s="90" t="s">
        <v>194</v>
      </c>
      <c r="EC19" s="90" t="s">
        <v>195</v>
      </c>
      <c r="ED19" s="90" t="s">
        <v>195</v>
      </c>
      <c r="EE19" s="90" t="s">
        <v>195</v>
      </c>
      <c r="EF19" s="90" t="s">
        <v>195</v>
      </c>
      <c r="EG19" s="90" t="s">
        <v>195</v>
      </c>
      <c r="EH19" s="102" t="s">
        <v>195</v>
      </c>
    </row>
    <row r="20" spans="1:138" ht="23.25" customHeight="1" x14ac:dyDescent="0.25">
      <c r="A20" s="98" t="s">
        <v>16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195</v>
      </c>
      <c r="H20" s="99" t="s">
        <v>195</v>
      </c>
      <c r="I20" s="99" t="s">
        <v>195</v>
      </c>
      <c r="J20" s="99" t="s">
        <v>195</v>
      </c>
      <c r="K20" s="99" t="s">
        <v>195</v>
      </c>
      <c r="L20" s="99" t="s">
        <v>195</v>
      </c>
      <c r="M20" s="99" t="s">
        <v>195</v>
      </c>
      <c r="N20" s="99" t="s">
        <v>195</v>
      </c>
      <c r="O20" s="99" t="s">
        <v>195</v>
      </c>
      <c r="P20" s="99" t="s">
        <v>195</v>
      </c>
      <c r="Q20" s="99" t="s">
        <v>195</v>
      </c>
      <c r="R20" s="99" t="s">
        <v>195</v>
      </c>
      <c r="S20" s="99" t="s">
        <v>195</v>
      </c>
      <c r="T20" s="99"/>
      <c r="U20" s="99" t="s">
        <v>194</v>
      </c>
      <c r="V20" s="99" t="s">
        <v>195</v>
      </c>
      <c r="W20" s="99" t="s">
        <v>195</v>
      </c>
      <c r="X20" s="99" t="s">
        <v>195</v>
      </c>
      <c r="Y20" s="99" t="s">
        <v>195</v>
      </c>
      <c r="Z20" s="99" t="s">
        <v>196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195</v>
      </c>
      <c r="AF20" s="99" t="s">
        <v>195</v>
      </c>
      <c r="AG20" s="99" t="s">
        <v>195</v>
      </c>
      <c r="AH20" s="99" t="s">
        <v>195</v>
      </c>
      <c r="AI20" s="99" t="s">
        <v>194</v>
      </c>
      <c r="AJ20" s="99" t="s">
        <v>195</v>
      </c>
      <c r="AK20" s="99" t="s">
        <v>195</v>
      </c>
      <c r="AL20" s="99" t="s">
        <v>195</v>
      </c>
      <c r="AM20" s="99"/>
      <c r="AN20" s="99" t="s">
        <v>194</v>
      </c>
      <c r="AO20" s="99" t="s">
        <v>195</v>
      </c>
      <c r="AP20" s="99" t="s">
        <v>195</v>
      </c>
      <c r="AQ20" s="99" t="s">
        <v>195</v>
      </c>
      <c r="AR20" s="99" t="s">
        <v>195</v>
      </c>
      <c r="AS20" s="99" t="s">
        <v>195</v>
      </c>
      <c r="AT20" s="99" t="s">
        <v>195</v>
      </c>
      <c r="AU20" s="99" t="s">
        <v>195</v>
      </c>
      <c r="AV20" s="99" t="s">
        <v>195</v>
      </c>
      <c r="AW20" s="99" t="s">
        <v>195</v>
      </c>
      <c r="AX20" s="99" t="s">
        <v>195</v>
      </c>
      <c r="AY20" s="99"/>
      <c r="AZ20" s="99" t="s">
        <v>194</v>
      </c>
      <c r="BA20" s="99" t="s">
        <v>194</v>
      </c>
      <c r="BB20" s="99" t="s">
        <v>195</v>
      </c>
      <c r="BC20" s="99" t="s">
        <v>195</v>
      </c>
      <c r="BD20" s="99" t="s">
        <v>195</v>
      </c>
      <c r="BE20" s="99" t="s">
        <v>195</v>
      </c>
      <c r="BF20" s="99" t="s">
        <v>195</v>
      </c>
      <c r="BG20" s="99" t="s">
        <v>195</v>
      </c>
      <c r="BH20" s="99" t="s">
        <v>195</v>
      </c>
      <c r="BI20" s="99" t="s">
        <v>195</v>
      </c>
      <c r="BJ20" s="99" t="s">
        <v>195</v>
      </c>
      <c r="BK20" s="99" t="s">
        <v>195</v>
      </c>
      <c r="BL20" s="99" t="s">
        <v>195</v>
      </c>
      <c r="BM20" s="99" t="s">
        <v>195</v>
      </c>
      <c r="BN20" s="99" t="s">
        <v>195</v>
      </c>
      <c r="BO20" s="99" t="s">
        <v>195</v>
      </c>
      <c r="BP20" s="99" t="s">
        <v>195</v>
      </c>
      <c r="BQ20" s="99" t="s">
        <v>195</v>
      </c>
      <c r="BR20" s="99" t="s">
        <v>195</v>
      </c>
      <c r="BS20" s="99" t="s">
        <v>195</v>
      </c>
      <c r="BT20" s="99"/>
      <c r="BU20" s="99" t="s">
        <v>197</v>
      </c>
      <c r="BV20" s="99" t="s">
        <v>197</v>
      </c>
      <c r="BW20" s="99" t="s">
        <v>197</v>
      </c>
      <c r="BX20" s="99" t="s">
        <v>197</v>
      </c>
      <c r="BY20" s="99" t="s">
        <v>197</v>
      </c>
      <c r="BZ20" s="99" t="s">
        <v>197</v>
      </c>
      <c r="CA20" s="99" t="s">
        <v>197</v>
      </c>
      <c r="CB20" s="99"/>
      <c r="CC20" s="99" t="s">
        <v>198</v>
      </c>
      <c r="CD20" s="99"/>
      <c r="CE20" s="99" t="s">
        <v>199</v>
      </c>
      <c r="CF20" s="99"/>
      <c r="CG20" s="99"/>
      <c r="CH20" s="99"/>
      <c r="CI20" s="99" t="s">
        <v>194</v>
      </c>
      <c r="CJ20" s="99" t="s">
        <v>195</v>
      </c>
      <c r="CK20" s="99" t="s">
        <v>195</v>
      </c>
      <c r="CL20" s="99" t="s">
        <v>195</v>
      </c>
      <c r="CM20" s="99" t="s">
        <v>195</v>
      </c>
      <c r="CN20" s="99" t="s">
        <v>195</v>
      </c>
      <c r="CO20" s="99" t="s">
        <v>195</v>
      </c>
      <c r="CP20" s="99" t="s">
        <v>195</v>
      </c>
      <c r="CQ20" s="99" t="s">
        <v>195</v>
      </c>
      <c r="CR20" s="99" t="s">
        <v>195</v>
      </c>
      <c r="CS20" s="99" t="s">
        <v>195</v>
      </c>
      <c r="CT20" s="99" t="s">
        <v>195</v>
      </c>
      <c r="CU20" s="99" t="s">
        <v>195</v>
      </c>
      <c r="CV20" s="99" t="s">
        <v>195</v>
      </c>
      <c r="CW20" s="99" t="s">
        <v>195</v>
      </c>
      <c r="CX20" s="99" t="s">
        <v>195</v>
      </c>
      <c r="CY20" s="99" t="s">
        <v>195</v>
      </c>
      <c r="CZ20" s="99" t="s">
        <v>195</v>
      </c>
      <c r="DA20" s="99" t="s">
        <v>195</v>
      </c>
      <c r="DB20" s="99" t="s">
        <v>195</v>
      </c>
      <c r="DC20" s="99" t="s">
        <v>195</v>
      </c>
      <c r="DD20" s="99" t="s">
        <v>195</v>
      </c>
      <c r="DE20" s="99" t="s">
        <v>195</v>
      </c>
      <c r="DF20" s="99" t="s">
        <v>195</v>
      </c>
      <c r="DG20" s="99" t="s">
        <v>195</v>
      </c>
      <c r="DH20" s="99" t="s">
        <v>195</v>
      </c>
      <c r="DI20" s="99" t="s">
        <v>195</v>
      </c>
      <c r="DJ20" s="99" t="s">
        <v>195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195</v>
      </c>
      <c r="DS20" s="99" t="s">
        <v>195</v>
      </c>
      <c r="DT20" s="99" t="s">
        <v>195</v>
      </c>
      <c r="DU20" s="99" t="s">
        <v>195</v>
      </c>
      <c r="DV20" s="99" t="s">
        <v>195</v>
      </c>
      <c r="DW20" s="99" t="s">
        <v>195</v>
      </c>
      <c r="DX20" s="99" t="s">
        <v>195</v>
      </c>
      <c r="DY20" s="99" t="s">
        <v>195</v>
      </c>
      <c r="DZ20" s="99" t="s">
        <v>195</v>
      </c>
      <c r="EA20" s="99"/>
      <c r="EB20" s="99" t="s">
        <v>194</v>
      </c>
      <c r="EC20" s="99" t="s">
        <v>195</v>
      </c>
      <c r="ED20" s="99" t="s">
        <v>195</v>
      </c>
      <c r="EE20" s="99" t="s">
        <v>195</v>
      </c>
      <c r="EF20" s="99" t="s">
        <v>195</v>
      </c>
      <c r="EG20" s="99" t="s">
        <v>195</v>
      </c>
      <c r="EH20" s="100" t="s">
        <v>195</v>
      </c>
    </row>
    <row r="21" spans="1:138" ht="23.25" customHeight="1" x14ac:dyDescent="0.25">
      <c r="A21" s="101" t="s">
        <v>16</v>
      </c>
      <c r="B21" s="90" t="s">
        <v>193</v>
      </c>
      <c r="C21" s="90" t="s">
        <v>194</v>
      </c>
      <c r="D21" s="90" t="s">
        <v>195</v>
      </c>
      <c r="E21" s="90" t="s">
        <v>195</v>
      </c>
      <c r="F21" s="90" t="s">
        <v>195</v>
      </c>
      <c r="G21" s="90" t="s">
        <v>195</v>
      </c>
      <c r="H21" s="90" t="s">
        <v>195</v>
      </c>
      <c r="I21" s="90" t="s">
        <v>195</v>
      </c>
      <c r="J21" s="90" t="s">
        <v>195</v>
      </c>
      <c r="K21" s="90" t="s">
        <v>195</v>
      </c>
      <c r="L21" s="90" t="s">
        <v>195</v>
      </c>
      <c r="M21" s="90" t="s">
        <v>195</v>
      </c>
      <c r="N21" s="90" t="s">
        <v>195</v>
      </c>
      <c r="O21" s="90" t="s">
        <v>195</v>
      </c>
      <c r="P21" s="90" t="s">
        <v>195</v>
      </c>
      <c r="Q21" s="90" t="s">
        <v>195</v>
      </c>
      <c r="R21" s="90" t="s">
        <v>195</v>
      </c>
      <c r="S21" s="90" t="s">
        <v>195</v>
      </c>
      <c r="T21" s="90"/>
      <c r="U21" s="90" t="s">
        <v>194</v>
      </c>
      <c r="V21" s="90" t="s">
        <v>195</v>
      </c>
      <c r="W21" s="90" t="s">
        <v>195</v>
      </c>
      <c r="X21" s="90" t="s">
        <v>195</v>
      </c>
      <c r="Y21" s="90" t="s">
        <v>195</v>
      </c>
      <c r="Z21" s="90" t="s">
        <v>196</v>
      </c>
      <c r="AA21" s="90" t="s">
        <v>195</v>
      </c>
      <c r="AB21" s="90" t="s">
        <v>195</v>
      </c>
      <c r="AC21" s="90" t="s">
        <v>195</v>
      </c>
      <c r="AD21" s="90" t="s">
        <v>195</v>
      </c>
      <c r="AE21" s="90" t="s">
        <v>195</v>
      </c>
      <c r="AF21" s="90" t="s">
        <v>195</v>
      </c>
      <c r="AG21" s="90" t="s">
        <v>195</v>
      </c>
      <c r="AH21" s="90" t="s">
        <v>195</v>
      </c>
      <c r="AI21" s="90" t="s">
        <v>194</v>
      </c>
      <c r="AJ21" s="90" t="s">
        <v>195</v>
      </c>
      <c r="AK21" s="90" t="s">
        <v>195</v>
      </c>
      <c r="AL21" s="90" t="s">
        <v>195</v>
      </c>
      <c r="AM21" s="90"/>
      <c r="AN21" s="90" t="s">
        <v>194</v>
      </c>
      <c r="AO21" s="90" t="s">
        <v>195</v>
      </c>
      <c r="AP21" s="90" t="s">
        <v>195</v>
      </c>
      <c r="AQ21" s="90" t="s">
        <v>195</v>
      </c>
      <c r="AR21" s="90" t="s">
        <v>195</v>
      </c>
      <c r="AS21" s="90" t="s">
        <v>195</v>
      </c>
      <c r="AT21" s="90" t="s">
        <v>195</v>
      </c>
      <c r="AU21" s="90" t="s">
        <v>195</v>
      </c>
      <c r="AV21" s="90" t="s">
        <v>195</v>
      </c>
      <c r="AW21" s="90" t="s">
        <v>195</v>
      </c>
      <c r="AX21" s="90" t="s">
        <v>195</v>
      </c>
      <c r="AY21" s="90"/>
      <c r="AZ21" s="90" t="s">
        <v>194</v>
      </c>
      <c r="BA21" s="90" t="s">
        <v>194</v>
      </c>
      <c r="BB21" s="90" t="s">
        <v>195</v>
      </c>
      <c r="BC21" s="90" t="s">
        <v>195</v>
      </c>
      <c r="BD21" s="90" t="s">
        <v>195</v>
      </c>
      <c r="BE21" s="90" t="s">
        <v>195</v>
      </c>
      <c r="BF21" s="90" t="s">
        <v>195</v>
      </c>
      <c r="BG21" s="90" t="s">
        <v>195</v>
      </c>
      <c r="BH21" s="90" t="s">
        <v>195</v>
      </c>
      <c r="BI21" s="90" t="s">
        <v>195</v>
      </c>
      <c r="BJ21" s="90" t="s">
        <v>195</v>
      </c>
      <c r="BK21" s="90" t="s">
        <v>195</v>
      </c>
      <c r="BL21" s="90" t="s">
        <v>195</v>
      </c>
      <c r="BM21" s="90" t="s">
        <v>195</v>
      </c>
      <c r="BN21" s="90" t="s">
        <v>195</v>
      </c>
      <c r="BO21" s="90" t="s">
        <v>195</v>
      </c>
      <c r="BP21" s="90" t="s">
        <v>195</v>
      </c>
      <c r="BQ21" s="90" t="s">
        <v>195</v>
      </c>
      <c r="BR21" s="90" t="s">
        <v>195</v>
      </c>
      <c r="BS21" s="90" t="s">
        <v>195</v>
      </c>
      <c r="BT21" s="90"/>
      <c r="BU21" s="90" t="s">
        <v>197</v>
      </c>
      <c r="BV21" s="90" t="s">
        <v>197</v>
      </c>
      <c r="BW21" s="90" t="s">
        <v>197</v>
      </c>
      <c r="BX21" s="90" t="s">
        <v>197</v>
      </c>
      <c r="BY21" s="90" t="s">
        <v>197</v>
      </c>
      <c r="BZ21" s="90" t="s">
        <v>197</v>
      </c>
      <c r="CA21" s="90" t="s">
        <v>197</v>
      </c>
      <c r="CB21" s="90"/>
      <c r="CC21" s="90" t="s">
        <v>202</v>
      </c>
      <c r="CD21" s="90"/>
      <c r="CE21" s="90" t="s">
        <v>199</v>
      </c>
      <c r="CF21" s="90"/>
      <c r="CG21" s="90"/>
      <c r="CH21" s="90"/>
      <c r="CI21" s="90" t="s">
        <v>194</v>
      </c>
      <c r="CJ21" s="90" t="s">
        <v>195</v>
      </c>
      <c r="CK21" s="90" t="s">
        <v>195</v>
      </c>
      <c r="CL21" s="90" t="s">
        <v>195</v>
      </c>
      <c r="CM21" s="90" t="s">
        <v>195</v>
      </c>
      <c r="CN21" s="90" t="s">
        <v>195</v>
      </c>
      <c r="CO21" s="90" t="s">
        <v>195</v>
      </c>
      <c r="CP21" s="90" t="s">
        <v>195</v>
      </c>
      <c r="CQ21" s="90" t="s">
        <v>195</v>
      </c>
      <c r="CR21" s="90" t="s">
        <v>195</v>
      </c>
      <c r="CS21" s="90" t="s">
        <v>195</v>
      </c>
      <c r="CT21" s="90" t="s">
        <v>195</v>
      </c>
      <c r="CU21" s="90" t="s">
        <v>195</v>
      </c>
      <c r="CV21" s="90" t="s">
        <v>195</v>
      </c>
      <c r="CW21" s="90" t="s">
        <v>195</v>
      </c>
      <c r="CX21" s="90" t="s">
        <v>195</v>
      </c>
      <c r="CY21" s="90" t="s">
        <v>195</v>
      </c>
      <c r="CZ21" s="90" t="s">
        <v>195</v>
      </c>
      <c r="DA21" s="90" t="s">
        <v>195</v>
      </c>
      <c r="DB21" s="90" t="s">
        <v>195</v>
      </c>
      <c r="DC21" s="90" t="s">
        <v>195</v>
      </c>
      <c r="DD21" s="90" t="s">
        <v>195</v>
      </c>
      <c r="DE21" s="90" t="s">
        <v>195</v>
      </c>
      <c r="DF21" s="90" t="s">
        <v>195</v>
      </c>
      <c r="DG21" s="90" t="s">
        <v>195</v>
      </c>
      <c r="DH21" s="90" t="s">
        <v>195</v>
      </c>
      <c r="DI21" s="90" t="s">
        <v>195</v>
      </c>
      <c r="DJ21" s="90" t="s">
        <v>195</v>
      </c>
      <c r="DK21" s="90"/>
      <c r="DL21" s="90" t="s">
        <v>194</v>
      </c>
      <c r="DM21" s="90" t="s">
        <v>195</v>
      </c>
      <c r="DN21" s="90" t="s">
        <v>195</v>
      </c>
      <c r="DO21" s="90" t="s">
        <v>195</v>
      </c>
      <c r="DP21" s="90" t="s">
        <v>195</v>
      </c>
      <c r="DQ21" s="90" t="s">
        <v>195</v>
      </c>
      <c r="DR21" s="90" t="s">
        <v>195</v>
      </c>
      <c r="DS21" s="90" t="s">
        <v>195</v>
      </c>
      <c r="DT21" s="90" t="s">
        <v>195</v>
      </c>
      <c r="DU21" s="90" t="s">
        <v>195</v>
      </c>
      <c r="DV21" s="90" t="s">
        <v>195</v>
      </c>
      <c r="DW21" s="90" t="s">
        <v>195</v>
      </c>
      <c r="DX21" s="90" t="s">
        <v>195</v>
      </c>
      <c r="DY21" s="90" t="s">
        <v>195</v>
      </c>
      <c r="DZ21" s="90" t="s">
        <v>195</v>
      </c>
      <c r="EA21" s="90"/>
      <c r="EB21" s="90" t="s">
        <v>194</v>
      </c>
      <c r="EC21" s="90" t="s">
        <v>195</v>
      </c>
      <c r="ED21" s="90" t="s">
        <v>195</v>
      </c>
      <c r="EE21" s="90" t="s">
        <v>195</v>
      </c>
      <c r="EF21" s="90" t="s">
        <v>195</v>
      </c>
      <c r="EG21" s="90" t="s">
        <v>195</v>
      </c>
      <c r="EH21" s="102" t="s">
        <v>195</v>
      </c>
    </row>
    <row r="22" spans="1:138" ht="23.25" customHeight="1" x14ac:dyDescent="0.25">
      <c r="A22" s="98" t="s">
        <v>16</v>
      </c>
      <c r="B22" s="99" t="s">
        <v>193</v>
      </c>
      <c r="C22" s="99" t="s">
        <v>194</v>
      </c>
      <c r="D22" s="99" t="s">
        <v>195</v>
      </c>
      <c r="E22" s="99" t="s">
        <v>195</v>
      </c>
      <c r="F22" s="99" t="s">
        <v>195</v>
      </c>
      <c r="G22" s="99" t="s">
        <v>195</v>
      </c>
      <c r="H22" s="99" t="s">
        <v>195</v>
      </c>
      <c r="I22" s="99" t="s">
        <v>195</v>
      </c>
      <c r="J22" s="99" t="s">
        <v>195</v>
      </c>
      <c r="K22" s="99" t="s">
        <v>195</v>
      </c>
      <c r="L22" s="99" t="s">
        <v>195</v>
      </c>
      <c r="M22" s="99" t="s">
        <v>195</v>
      </c>
      <c r="N22" s="99" t="s">
        <v>195</v>
      </c>
      <c r="O22" s="99" t="s">
        <v>195</v>
      </c>
      <c r="P22" s="99" t="s">
        <v>195</v>
      </c>
      <c r="Q22" s="99" t="s">
        <v>195</v>
      </c>
      <c r="R22" s="99" t="s">
        <v>195</v>
      </c>
      <c r="S22" s="99" t="s">
        <v>195</v>
      </c>
      <c r="T22" s="99"/>
      <c r="U22" s="99" t="s">
        <v>194</v>
      </c>
      <c r="V22" s="99" t="s">
        <v>195</v>
      </c>
      <c r="W22" s="99" t="s">
        <v>195</v>
      </c>
      <c r="X22" s="99" t="s">
        <v>195</v>
      </c>
      <c r="Y22" s="99" t="s">
        <v>195</v>
      </c>
      <c r="Z22" s="99" t="s">
        <v>196</v>
      </c>
      <c r="AA22" s="99" t="s">
        <v>195</v>
      </c>
      <c r="AB22" s="99" t="s">
        <v>195</v>
      </c>
      <c r="AC22" s="99" t="s">
        <v>195</v>
      </c>
      <c r="AD22" s="99" t="s">
        <v>195</v>
      </c>
      <c r="AE22" s="99" t="s">
        <v>195</v>
      </c>
      <c r="AF22" s="99" t="s">
        <v>195</v>
      </c>
      <c r="AG22" s="99" t="s">
        <v>195</v>
      </c>
      <c r="AH22" s="99" t="s">
        <v>195</v>
      </c>
      <c r="AI22" s="99" t="s">
        <v>194</v>
      </c>
      <c r="AJ22" s="99" t="s">
        <v>195</v>
      </c>
      <c r="AK22" s="99" t="s">
        <v>195</v>
      </c>
      <c r="AL22" s="99" t="s">
        <v>195</v>
      </c>
      <c r="AM22" s="99"/>
      <c r="AN22" s="99" t="s">
        <v>194</v>
      </c>
      <c r="AO22" s="99" t="s">
        <v>195</v>
      </c>
      <c r="AP22" s="99" t="s">
        <v>195</v>
      </c>
      <c r="AQ22" s="99" t="s">
        <v>195</v>
      </c>
      <c r="AR22" s="99" t="s">
        <v>195</v>
      </c>
      <c r="AS22" s="99" t="s">
        <v>195</v>
      </c>
      <c r="AT22" s="99" t="s">
        <v>195</v>
      </c>
      <c r="AU22" s="99" t="s">
        <v>195</v>
      </c>
      <c r="AV22" s="99" t="s">
        <v>195</v>
      </c>
      <c r="AW22" s="99" t="s">
        <v>195</v>
      </c>
      <c r="AX22" s="99" t="s">
        <v>195</v>
      </c>
      <c r="AY22" s="99"/>
      <c r="AZ22" s="99" t="s">
        <v>194</v>
      </c>
      <c r="BA22" s="99" t="s">
        <v>194</v>
      </c>
      <c r="BB22" s="99" t="s">
        <v>195</v>
      </c>
      <c r="BC22" s="99" t="s">
        <v>195</v>
      </c>
      <c r="BD22" s="99" t="s">
        <v>195</v>
      </c>
      <c r="BE22" s="99" t="s">
        <v>195</v>
      </c>
      <c r="BF22" s="99" t="s">
        <v>195</v>
      </c>
      <c r="BG22" s="99" t="s">
        <v>195</v>
      </c>
      <c r="BH22" s="99" t="s">
        <v>195</v>
      </c>
      <c r="BI22" s="99" t="s">
        <v>195</v>
      </c>
      <c r="BJ22" s="99" t="s">
        <v>195</v>
      </c>
      <c r="BK22" s="99" t="s">
        <v>195</v>
      </c>
      <c r="BL22" s="99" t="s">
        <v>195</v>
      </c>
      <c r="BM22" s="99" t="s">
        <v>195</v>
      </c>
      <c r="BN22" s="99" t="s">
        <v>195</v>
      </c>
      <c r="BO22" s="99" t="s">
        <v>195</v>
      </c>
      <c r="BP22" s="99" t="s">
        <v>195</v>
      </c>
      <c r="BQ22" s="99" t="s">
        <v>195</v>
      </c>
      <c r="BR22" s="99" t="s">
        <v>195</v>
      </c>
      <c r="BS22" s="99" t="s">
        <v>195</v>
      </c>
      <c r="BT22" s="99"/>
      <c r="BU22" s="99" t="s">
        <v>195</v>
      </c>
      <c r="BV22" s="99" t="s">
        <v>30</v>
      </c>
      <c r="BW22" s="99" t="s">
        <v>195</v>
      </c>
      <c r="BX22" s="99" t="s">
        <v>195</v>
      </c>
      <c r="BY22" s="99" t="s">
        <v>195</v>
      </c>
      <c r="BZ22" s="99" t="s">
        <v>195</v>
      </c>
      <c r="CA22" s="99" t="s">
        <v>203</v>
      </c>
      <c r="CB22" s="99"/>
      <c r="CC22" s="99" t="s">
        <v>202</v>
      </c>
      <c r="CD22" s="99"/>
      <c r="CE22" s="99" t="s">
        <v>199</v>
      </c>
      <c r="CF22" s="99"/>
      <c r="CG22" s="99"/>
      <c r="CH22" s="99"/>
      <c r="CI22" s="99" t="s">
        <v>194</v>
      </c>
      <c r="CJ22" s="99" t="s">
        <v>195</v>
      </c>
      <c r="CK22" s="99" t="s">
        <v>195</v>
      </c>
      <c r="CL22" s="99" t="s">
        <v>195</v>
      </c>
      <c r="CM22" s="99" t="s">
        <v>195</v>
      </c>
      <c r="CN22" s="99" t="s">
        <v>195</v>
      </c>
      <c r="CO22" s="99" t="s">
        <v>195</v>
      </c>
      <c r="CP22" s="99" t="s">
        <v>195</v>
      </c>
      <c r="CQ22" s="99" t="s">
        <v>195</v>
      </c>
      <c r="CR22" s="99" t="s">
        <v>195</v>
      </c>
      <c r="CS22" s="99" t="s">
        <v>195</v>
      </c>
      <c r="CT22" s="99" t="s">
        <v>195</v>
      </c>
      <c r="CU22" s="99" t="s">
        <v>195</v>
      </c>
      <c r="CV22" s="99" t="s">
        <v>195</v>
      </c>
      <c r="CW22" s="99" t="s">
        <v>195</v>
      </c>
      <c r="CX22" s="99" t="s">
        <v>195</v>
      </c>
      <c r="CY22" s="99" t="s">
        <v>195</v>
      </c>
      <c r="CZ22" s="99" t="s">
        <v>195</v>
      </c>
      <c r="DA22" s="99" t="s">
        <v>195</v>
      </c>
      <c r="DB22" s="99" t="s">
        <v>195</v>
      </c>
      <c r="DC22" s="99" t="s">
        <v>195</v>
      </c>
      <c r="DD22" s="99" t="s">
        <v>195</v>
      </c>
      <c r="DE22" s="99" t="s">
        <v>195</v>
      </c>
      <c r="DF22" s="99" t="s">
        <v>195</v>
      </c>
      <c r="DG22" s="99" t="s">
        <v>195</v>
      </c>
      <c r="DH22" s="99" t="s">
        <v>195</v>
      </c>
      <c r="DI22" s="99" t="s">
        <v>195</v>
      </c>
      <c r="DJ22" s="99" t="s">
        <v>195</v>
      </c>
      <c r="DK22" s="99"/>
      <c r="DL22" s="99" t="s">
        <v>194</v>
      </c>
      <c r="DM22" s="99" t="s">
        <v>195</v>
      </c>
      <c r="DN22" s="99" t="s">
        <v>195</v>
      </c>
      <c r="DO22" s="99" t="s">
        <v>195</v>
      </c>
      <c r="DP22" s="99" t="s">
        <v>195</v>
      </c>
      <c r="DQ22" s="99" t="s">
        <v>195</v>
      </c>
      <c r="DR22" s="99" t="s">
        <v>195</v>
      </c>
      <c r="DS22" s="99" t="s">
        <v>195</v>
      </c>
      <c r="DT22" s="99" t="s">
        <v>195</v>
      </c>
      <c r="DU22" s="99" t="s">
        <v>195</v>
      </c>
      <c r="DV22" s="99" t="s">
        <v>195</v>
      </c>
      <c r="DW22" s="99" t="s">
        <v>195</v>
      </c>
      <c r="DX22" s="99" t="s">
        <v>195</v>
      </c>
      <c r="DY22" s="99" t="s">
        <v>195</v>
      </c>
      <c r="DZ22" s="99" t="s">
        <v>195</v>
      </c>
      <c r="EA22" s="99"/>
      <c r="EB22" s="99" t="s">
        <v>194</v>
      </c>
      <c r="EC22" s="99" t="s">
        <v>195</v>
      </c>
      <c r="ED22" s="99" t="s">
        <v>195</v>
      </c>
      <c r="EE22" s="99" t="s">
        <v>195</v>
      </c>
      <c r="EF22" s="99" t="s">
        <v>195</v>
      </c>
      <c r="EG22" s="99" t="s">
        <v>195</v>
      </c>
      <c r="EH22" s="100" t="s">
        <v>195</v>
      </c>
    </row>
    <row r="23" spans="1:138" ht="23.25" customHeight="1" x14ac:dyDescent="0.25">
      <c r="A23" s="101" t="s">
        <v>16</v>
      </c>
      <c r="B23" s="90" t="s">
        <v>193</v>
      </c>
      <c r="C23" s="90" t="s">
        <v>194</v>
      </c>
      <c r="D23" s="90" t="s">
        <v>195</v>
      </c>
      <c r="E23" s="90" t="s">
        <v>195</v>
      </c>
      <c r="F23" s="90" t="s">
        <v>195</v>
      </c>
      <c r="G23" s="90" t="s">
        <v>195</v>
      </c>
      <c r="H23" s="90" t="s">
        <v>195</v>
      </c>
      <c r="I23" s="90" t="s">
        <v>195</v>
      </c>
      <c r="J23" s="90" t="s">
        <v>195</v>
      </c>
      <c r="K23" s="90" t="s">
        <v>195</v>
      </c>
      <c r="L23" s="90" t="s">
        <v>195</v>
      </c>
      <c r="M23" s="90" t="s">
        <v>195</v>
      </c>
      <c r="N23" s="90" t="s">
        <v>195</v>
      </c>
      <c r="O23" s="90" t="s">
        <v>195</v>
      </c>
      <c r="P23" s="90" t="s">
        <v>195</v>
      </c>
      <c r="Q23" s="90" t="s">
        <v>195</v>
      </c>
      <c r="R23" s="90" t="s">
        <v>195</v>
      </c>
      <c r="S23" s="90" t="s">
        <v>195</v>
      </c>
      <c r="T23" s="90"/>
      <c r="U23" s="90" t="s">
        <v>194</v>
      </c>
      <c r="V23" s="90" t="s">
        <v>195</v>
      </c>
      <c r="W23" s="90" t="s">
        <v>195</v>
      </c>
      <c r="X23" s="90" t="s">
        <v>195</v>
      </c>
      <c r="Y23" s="90" t="s">
        <v>195</v>
      </c>
      <c r="Z23" s="90" t="s">
        <v>196</v>
      </c>
      <c r="AA23" s="90" t="s">
        <v>195</v>
      </c>
      <c r="AB23" s="90" t="s">
        <v>195</v>
      </c>
      <c r="AC23" s="90" t="s">
        <v>195</v>
      </c>
      <c r="AD23" s="90" t="s">
        <v>195</v>
      </c>
      <c r="AE23" s="90" t="s">
        <v>195</v>
      </c>
      <c r="AF23" s="90" t="s">
        <v>195</v>
      </c>
      <c r="AG23" s="90" t="s">
        <v>195</v>
      </c>
      <c r="AH23" s="90" t="s">
        <v>195</v>
      </c>
      <c r="AI23" s="90" t="s">
        <v>194</v>
      </c>
      <c r="AJ23" s="90" t="s">
        <v>195</v>
      </c>
      <c r="AK23" s="90" t="s">
        <v>195</v>
      </c>
      <c r="AL23" s="90" t="s">
        <v>195</v>
      </c>
      <c r="AM23" s="90"/>
      <c r="AN23" s="90" t="s">
        <v>194</v>
      </c>
      <c r="AO23" s="90" t="s">
        <v>195</v>
      </c>
      <c r="AP23" s="90" t="s">
        <v>195</v>
      </c>
      <c r="AQ23" s="90" t="s">
        <v>195</v>
      </c>
      <c r="AR23" s="90" t="s">
        <v>195</v>
      </c>
      <c r="AS23" s="90" t="s">
        <v>195</v>
      </c>
      <c r="AT23" s="90" t="s">
        <v>195</v>
      </c>
      <c r="AU23" s="90" t="s">
        <v>195</v>
      </c>
      <c r="AV23" s="90" t="s">
        <v>195</v>
      </c>
      <c r="AW23" s="90" t="s">
        <v>195</v>
      </c>
      <c r="AX23" s="90" t="s">
        <v>195</v>
      </c>
      <c r="AY23" s="90"/>
      <c r="AZ23" s="90" t="s">
        <v>194</v>
      </c>
      <c r="BA23" s="90" t="s">
        <v>194</v>
      </c>
      <c r="BB23" s="90" t="s">
        <v>195</v>
      </c>
      <c r="BC23" s="90" t="s">
        <v>195</v>
      </c>
      <c r="BD23" s="90" t="s">
        <v>195</v>
      </c>
      <c r="BE23" s="90" t="s">
        <v>195</v>
      </c>
      <c r="BF23" s="90" t="s">
        <v>195</v>
      </c>
      <c r="BG23" s="90" t="s">
        <v>195</v>
      </c>
      <c r="BH23" s="90" t="s">
        <v>195</v>
      </c>
      <c r="BI23" s="90" t="s">
        <v>195</v>
      </c>
      <c r="BJ23" s="90" t="s">
        <v>195</v>
      </c>
      <c r="BK23" s="90" t="s">
        <v>195</v>
      </c>
      <c r="BL23" s="90" t="s">
        <v>195</v>
      </c>
      <c r="BM23" s="90" t="s">
        <v>195</v>
      </c>
      <c r="BN23" s="90" t="s">
        <v>195</v>
      </c>
      <c r="BO23" s="90" t="s">
        <v>195</v>
      </c>
      <c r="BP23" s="90" t="s">
        <v>195</v>
      </c>
      <c r="BQ23" s="90" t="s">
        <v>195</v>
      </c>
      <c r="BR23" s="90" t="s">
        <v>195</v>
      </c>
      <c r="BS23" s="90" t="s">
        <v>195</v>
      </c>
      <c r="BT23" s="90"/>
      <c r="BU23" s="90" t="s">
        <v>203</v>
      </c>
      <c r="BV23" s="90" t="s">
        <v>203</v>
      </c>
      <c r="BW23" s="90" t="s">
        <v>203</v>
      </c>
      <c r="BX23" s="90" t="s">
        <v>203</v>
      </c>
      <c r="BY23" s="90" t="s">
        <v>203</v>
      </c>
      <c r="BZ23" s="90" t="s">
        <v>203</v>
      </c>
      <c r="CA23" s="90" t="s">
        <v>203</v>
      </c>
      <c r="CB23" s="90"/>
      <c r="CC23" s="90" t="s">
        <v>204</v>
      </c>
      <c r="CD23" s="90"/>
      <c r="CE23" s="90" t="s">
        <v>194</v>
      </c>
      <c r="CF23" s="90"/>
      <c r="CG23" s="90"/>
      <c r="CH23" s="90"/>
      <c r="CI23" s="90" t="s">
        <v>194</v>
      </c>
      <c r="CJ23" s="90" t="s">
        <v>195</v>
      </c>
      <c r="CK23" s="90" t="s">
        <v>195</v>
      </c>
      <c r="CL23" s="90" t="s">
        <v>195</v>
      </c>
      <c r="CM23" s="90" t="s">
        <v>195</v>
      </c>
      <c r="CN23" s="90" t="s">
        <v>195</v>
      </c>
      <c r="CO23" s="90" t="s">
        <v>195</v>
      </c>
      <c r="CP23" s="90" t="s">
        <v>195</v>
      </c>
      <c r="CQ23" s="90" t="s">
        <v>195</v>
      </c>
      <c r="CR23" s="90" t="s">
        <v>195</v>
      </c>
      <c r="CS23" s="90" t="s">
        <v>195</v>
      </c>
      <c r="CT23" s="90" t="s">
        <v>195</v>
      </c>
      <c r="CU23" s="90" t="s">
        <v>195</v>
      </c>
      <c r="CV23" s="90" t="s">
        <v>195</v>
      </c>
      <c r="CW23" s="90" t="s">
        <v>195</v>
      </c>
      <c r="CX23" s="90" t="s">
        <v>195</v>
      </c>
      <c r="CY23" s="90" t="s">
        <v>195</v>
      </c>
      <c r="CZ23" s="90" t="s">
        <v>195</v>
      </c>
      <c r="DA23" s="90" t="s">
        <v>195</v>
      </c>
      <c r="DB23" s="90" t="s">
        <v>195</v>
      </c>
      <c r="DC23" s="90" t="s">
        <v>195</v>
      </c>
      <c r="DD23" s="90" t="s">
        <v>195</v>
      </c>
      <c r="DE23" s="90" t="s">
        <v>195</v>
      </c>
      <c r="DF23" s="90" t="s">
        <v>195</v>
      </c>
      <c r="DG23" s="90" t="s">
        <v>195</v>
      </c>
      <c r="DH23" s="90" t="s">
        <v>195</v>
      </c>
      <c r="DI23" s="90" t="s">
        <v>195</v>
      </c>
      <c r="DJ23" s="90" t="s">
        <v>195</v>
      </c>
      <c r="DK23" s="90"/>
      <c r="DL23" s="90" t="s">
        <v>194</v>
      </c>
      <c r="DM23" s="90" t="s">
        <v>195</v>
      </c>
      <c r="DN23" s="90" t="s">
        <v>195</v>
      </c>
      <c r="DO23" s="90" t="s">
        <v>195</v>
      </c>
      <c r="DP23" s="90" t="s">
        <v>195</v>
      </c>
      <c r="DQ23" s="90" t="s">
        <v>195</v>
      </c>
      <c r="DR23" s="90" t="s">
        <v>195</v>
      </c>
      <c r="DS23" s="90" t="s">
        <v>195</v>
      </c>
      <c r="DT23" s="90" t="s">
        <v>195</v>
      </c>
      <c r="DU23" s="90" t="s">
        <v>195</v>
      </c>
      <c r="DV23" s="90" t="s">
        <v>195</v>
      </c>
      <c r="DW23" s="90" t="s">
        <v>195</v>
      </c>
      <c r="DX23" s="90" t="s">
        <v>195</v>
      </c>
      <c r="DY23" s="90" t="s">
        <v>195</v>
      </c>
      <c r="DZ23" s="90" t="s">
        <v>195</v>
      </c>
      <c r="EA23" s="90"/>
      <c r="EB23" s="90" t="s">
        <v>194</v>
      </c>
      <c r="EC23" s="90" t="s">
        <v>195</v>
      </c>
      <c r="ED23" s="90" t="s">
        <v>195</v>
      </c>
      <c r="EE23" s="90" t="s">
        <v>195</v>
      </c>
      <c r="EF23" s="90" t="s">
        <v>195</v>
      </c>
      <c r="EG23" s="90" t="s">
        <v>195</v>
      </c>
      <c r="EH23" s="102" t="s">
        <v>195</v>
      </c>
    </row>
    <row r="24" spans="1:138" ht="23.25" customHeight="1" x14ac:dyDescent="0.25">
      <c r="A24" s="98" t="s">
        <v>16</v>
      </c>
      <c r="B24" s="99" t="s">
        <v>193</v>
      </c>
      <c r="C24" s="99" t="s">
        <v>194</v>
      </c>
      <c r="D24" s="99" t="s">
        <v>195</v>
      </c>
      <c r="E24" s="99" t="s">
        <v>195</v>
      </c>
      <c r="F24" s="99" t="s">
        <v>195</v>
      </c>
      <c r="G24" s="99" t="s">
        <v>195</v>
      </c>
      <c r="H24" s="99" t="s">
        <v>195</v>
      </c>
      <c r="I24" s="99" t="s">
        <v>195</v>
      </c>
      <c r="J24" s="99" t="s">
        <v>195</v>
      </c>
      <c r="K24" s="99" t="s">
        <v>195</v>
      </c>
      <c r="L24" s="99" t="s">
        <v>195</v>
      </c>
      <c r="M24" s="99" t="s">
        <v>195</v>
      </c>
      <c r="N24" s="99" t="s">
        <v>195</v>
      </c>
      <c r="O24" s="99" t="s">
        <v>195</v>
      </c>
      <c r="P24" s="99" t="s">
        <v>195</v>
      </c>
      <c r="Q24" s="99" t="s">
        <v>195</v>
      </c>
      <c r="R24" s="99" t="s">
        <v>195</v>
      </c>
      <c r="S24" s="99" t="s">
        <v>195</v>
      </c>
      <c r="T24" s="99"/>
      <c r="U24" s="99" t="s">
        <v>194</v>
      </c>
      <c r="V24" s="99" t="s">
        <v>195</v>
      </c>
      <c r="W24" s="99" t="s">
        <v>195</v>
      </c>
      <c r="X24" s="99" t="s">
        <v>195</v>
      </c>
      <c r="Y24" s="99" t="s">
        <v>195</v>
      </c>
      <c r="Z24" s="99" t="s">
        <v>196</v>
      </c>
      <c r="AA24" s="99" t="s">
        <v>195</v>
      </c>
      <c r="AB24" s="99" t="s">
        <v>195</v>
      </c>
      <c r="AC24" s="99" t="s">
        <v>195</v>
      </c>
      <c r="AD24" s="99" t="s">
        <v>195</v>
      </c>
      <c r="AE24" s="99" t="s">
        <v>195</v>
      </c>
      <c r="AF24" s="99" t="s">
        <v>195</v>
      </c>
      <c r="AG24" s="99" t="s">
        <v>195</v>
      </c>
      <c r="AH24" s="99" t="s">
        <v>195</v>
      </c>
      <c r="AI24" s="99" t="s">
        <v>194</v>
      </c>
      <c r="AJ24" s="99" t="s">
        <v>195</v>
      </c>
      <c r="AK24" s="99" t="s">
        <v>195</v>
      </c>
      <c r="AL24" s="99" t="s">
        <v>195</v>
      </c>
      <c r="AM24" s="99"/>
      <c r="AN24" s="99" t="s">
        <v>194</v>
      </c>
      <c r="AO24" s="99" t="s">
        <v>195</v>
      </c>
      <c r="AP24" s="99" t="s">
        <v>195</v>
      </c>
      <c r="AQ24" s="99" t="s">
        <v>195</v>
      </c>
      <c r="AR24" s="99" t="s">
        <v>195</v>
      </c>
      <c r="AS24" s="99" t="s">
        <v>195</v>
      </c>
      <c r="AT24" s="99" t="s">
        <v>195</v>
      </c>
      <c r="AU24" s="99" t="s">
        <v>195</v>
      </c>
      <c r="AV24" s="99" t="s">
        <v>195</v>
      </c>
      <c r="AW24" s="99" t="s">
        <v>195</v>
      </c>
      <c r="AX24" s="99" t="s">
        <v>195</v>
      </c>
      <c r="AY24" s="99"/>
      <c r="AZ24" s="99" t="s">
        <v>194</v>
      </c>
      <c r="BA24" s="99" t="s">
        <v>194</v>
      </c>
      <c r="BB24" s="99" t="s">
        <v>195</v>
      </c>
      <c r="BC24" s="99" t="s">
        <v>195</v>
      </c>
      <c r="BD24" s="99" t="s">
        <v>195</v>
      </c>
      <c r="BE24" s="99" t="s">
        <v>195</v>
      </c>
      <c r="BF24" s="99" t="s">
        <v>195</v>
      </c>
      <c r="BG24" s="99" t="s">
        <v>195</v>
      </c>
      <c r="BH24" s="99" t="s">
        <v>195</v>
      </c>
      <c r="BI24" s="99" t="s">
        <v>195</v>
      </c>
      <c r="BJ24" s="99" t="s">
        <v>195</v>
      </c>
      <c r="BK24" s="99" t="s">
        <v>195</v>
      </c>
      <c r="BL24" s="99" t="s">
        <v>195</v>
      </c>
      <c r="BM24" s="99" t="s">
        <v>195</v>
      </c>
      <c r="BN24" s="99" t="s">
        <v>195</v>
      </c>
      <c r="BO24" s="99" t="s">
        <v>195</v>
      </c>
      <c r="BP24" s="99" t="s">
        <v>195</v>
      </c>
      <c r="BQ24" s="99" t="s">
        <v>195</v>
      </c>
      <c r="BR24" s="99" t="s">
        <v>195</v>
      </c>
      <c r="BS24" s="99" t="s">
        <v>195</v>
      </c>
      <c r="BT24" s="99"/>
      <c r="BU24" s="99" t="s">
        <v>195</v>
      </c>
      <c r="BV24" s="99" t="s">
        <v>195</v>
      </c>
      <c r="BW24" s="99" t="s">
        <v>195</v>
      </c>
      <c r="BX24" s="99" t="s">
        <v>195</v>
      </c>
      <c r="BY24" s="99" t="s">
        <v>195</v>
      </c>
      <c r="BZ24" s="99" t="s">
        <v>195</v>
      </c>
      <c r="CA24" s="99" t="s">
        <v>200</v>
      </c>
      <c r="CB24" s="99"/>
      <c r="CC24" s="99" t="s">
        <v>198</v>
      </c>
      <c r="CD24" s="99"/>
      <c r="CE24" s="99" t="s">
        <v>199</v>
      </c>
      <c r="CF24" s="99"/>
      <c r="CG24" s="99"/>
      <c r="CH24" s="99"/>
      <c r="CI24" s="99" t="s">
        <v>194</v>
      </c>
      <c r="CJ24" s="99" t="s">
        <v>195</v>
      </c>
      <c r="CK24" s="99" t="s">
        <v>195</v>
      </c>
      <c r="CL24" s="99" t="s">
        <v>195</v>
      </c>
      <c r="CM24" s="99" t="s">
        <v>195</v>
      </c>
      <c r="CN24" s="99" t="s">
        <v>195</v>
      </c>
      <c r="CO24" s="99" t="s">
        <v>195</v>
      </c>
      <c r="CP24" s="99" t="s">
        <v>195</v>
      </c>
      <c r="CQ24" s="99" t="s">
        <v>195</v>
      </c>
      <c r="CR24" s="99" t="s">
        <v>195</v>
      </c>
      <c r="CS24" s="99" t="s">
        <v>195</v>
      </c>
      <c r="CT24" s="99" t="s">
        <v>195</v>
      </c>
      <c r="CU24" s="99" t="s">
        <v>195</v>
      </c>
      <c r="CV24" s="99" t="s">
        <v>195</v>
      </c>
      <c r="CW24" s="99" t="s">
        <v>195</v>
      </c>
      <c r="CX24" s="99" t="s">
        <v>195</v>
      </c>
      <c r="CY24" s="99" t="s">
        <v>195</v>
      </c>
      <c r="CZ24" s="99" t="s">
        <v>195</v>
      </c>
      <c r="DA24" s="99" t="s">
        <v>195</v>
      </c>
      <c r="DB24" s="99" t="s">
        <v>195</v>
      </c>
      <c r="DC24" s="99" t="s">
        <v>195</v>
      </c>
      <c r="DD24" s="99" t="s">
        <v>195</v>
      </c>
      <c r="DE24" s="99" t="s">
        <v>195</v>
      </c>
      <c r="DF24" s="99" t="s">
        <v>195</v>
      </c>
      <c r="DG24" s="99" t="s">
        <v>195</v>
      </c>
      <c r="DH24" s="99" t="s">
        <v>195</v>
      </c>
      <c r="DI24" s="99" t="s">
        <v>195</v>
      </c>
      <c r="DJ24" s="99" t="s">
        <v>195</v>
      </c>
      <c r="DK24" s="99"/>
      <c r="DL24" s="99" t="s">
        <v>194</v>
      </c>
      <c r="DM24" s="99" t="s">
        <v>195</v>
      </c>
      <c r="DN24" s="99" t="s">
        <v>195</v>
      </c>
      <c r="DO24" s="99" t="s">
        <v>195</v>
      </c>
      <c r="DP24" s="99" t="s">
        <v>195</v>
      </c>
      <c r="DQ24" s="99" t="s">
        <v>195</v>
      </c>
      <c r="DR24" s="99" t="s">
        <v>195</v>
      </c>
      <c r="DS24" s="99" t="s">
        <v>195</v>
      </c>
      <c r="DT24" s="99" t="s">
        <v>195</v>
      </c>
      <c r="DU24" s="99" t="s">
        <v>195</v>
      </c>
      <c r="DV24" s="99" t="s">
        <v>195</v>
      </c>
      <c r="DW24" s="99" t="s">
        <v>195</v>
      </c>
      <c r="DX24" s="99" t="s">
        <v>195</v>
      </c>
      <c r="DY24" s="99" t="s">
        <v>195</v>
      </c>
      <c r="DZ24" s="99" t="s">
        <v>195</v>
      </c>
      <c r="EA24" s="99"/>
      <c r="EB24" s="99" t="s">
        <v>194</v>
      </c>
      <c r="EC24" s="99" t="s">
        <v>195</v>
      </c>
      <c r="ED24" s="99" t="s">
        <v>195</v>
      </c>
      <c r="EE24" s="99" t="s">
        <v>195</v>
      </c>
      <c r="EF24" s="99" t="s">
        <v>195</v>
      </c>
      <c r="EG24" s="99" t="s">
        <v>195</v>
      </c>
      <c r="EH24" s="100" t="s">
        <v>195</v>
      </c>
    </row>
    <row r="25" spans="1:138" ht="23.25" customHeight="1" x14ac:dyDescent="0.25">
      <c r="A25" s="101" t="s">
        <v>16</v>
      </c>
      <c r="B25" s="90" t="s">
        <v>193</v>
      </c>
      <c r="C25" s="90" t="s">
        <v>194</v>
      </c>
      <c r="D25" s="90" t="s">
        <v>195</v>
      </c>
      <c r="E25" s="90" t="s">
        <v>195</v>
      </c>
      <c r="F25" s="90" t="s">
        <v>195</v>
      </c>
      <c r="G25" s="90" t="s">
        <v>195</v>
      </c>
      <c r="H25" s="90" t="s">
        <v>195</v>
      </c>
      <c r="I25" s="90" t="s">
        <v>195</v>
      </c>
      <c r="J25" s="90" t="s">
        <v>195</v>
      </c>
      <c r="K25" s="90" t="s">
        <v>195</v>
      </c>
      <c r="L25" s="90" t="s">
        <v>195</v>
      </c>
      <c r="M25" s="90" t="s">
        <v>195</v>
      </c>
      <c r="N25" s="90" t="s">
        <v>195</v>
      </c>
      <c r="O25" s="90" t="s">
        <v>195</v>
      </c>
      <c r="P25" s="90" t="s">
        <v>195</v>
      </c>
      <c r="Q25" s="90" t="s">
        <v>195</v>
      </c>
      <c r="R25" s="90" t="s">
        <v>195</v>
      </c>
      <c r="S25" s="90" t="s">
        <v>195</v>
      </c>
      <c r="T25" s="90"/>
      <c r="U25" s="90" t="s">
        <v>194</v>
      </c>
      <c r="V25" s="90" t="s">
        <v>195</v>
      </c>
      <c r="W25" s="90" t="s">
        <v>195</v>
      </c>
      <c r="X25" s="90" t="s">
        <v>195</v>
      </c>
      <c r="Y25" s="90" t="s">
        <v>195</v>
      </c>
      <c r="Z25" s="90" t="s">
        <v>196</v>
      </c>
      <c r="AA25" s="90" t="s">
        <v>195</v>
      </c>
      <c r="AB25" s="90" t="s">
        <v>195</v>
      </c>
      <c r="AC25" s="90" t="s">
        <v>195</v>
      </c>
      <c r="AD25" s="90" t="s">
        <v>195</v>
      </c>
      <c r="AE25" s="90" t="s">
        <v>195</v>
      </c>
      <c r="AF25" s="90" t="s">
        <v>195</v>
      </c>
      <c r="AG25" s="90" t="s">
        <v>195</v>
      </c>
      <c r="AH25" s="90" t="s">
        <v>195</v>
      </c>
      <c r="AI25" s="90" t="s">
        <v>194</v>
      </c>
      <c r="AJ25" s="90" t="s">
        <v>195</v>
      </c>
      <c r="AK25" s="90" t="s">
        <v>195</v>
      </c>
      <c r="AL25" s="90" t="s">
        <v>195</v>
      </c>
      <c r="AM25" s="90"/>
      <c r="AN25" s="90" t="s">
        <v>194</v>
      </c>
      <c r="AO25" s="90" t="s">
        <v>195</v>
      </c>
      <c r="AP25" s="90" t="s">
        <v>195</v>
      </c>
      <c r="AQ25" s="90" t="s">
        <v>195</v>
      </c>
      <c r="AR25" s="90" t="s">
        <v>195</v>
      </c>
      <c r="AS25" s="90" t="s">
        <v>195</v>
      </c>
      <c r="AT25" s="90" t="s">
        <v>195</v>
      </c>
      <c r="AU25" s="90" t="s">
        <v>195</v>
      </c>
      <c r="AV25" s="90" t="s">
        <v>195</v>
      </c>
      <c r="AW25" s="90" t="s">
        <v>195</v>
      </c>
      <c r="AX25" s="90" t="s">
        <v>195</v>
      </c>
      <c r="AY25" s="90"/>
      <c r="AZ25" s="90" t="s">
        <v>199</v>
      </c>
      <c r="BA25" s="90" t="s">
        <v>194</v>
      </c>
      <c r="BB25" s="90" t="s">
        <v>195</v>
      </c>
      <c r="BC25" s="90" t="s">
        <v>30</v>
      </c>
      <c r="BD25" s="90" t="s">
        <v>201</v>
      </c>
      <c r="BE25" s="90" t="s">
        <v>201</v>
      </c>
      <c r="BF25" s="90" t="s">
        <v>30</v>
      </c>
      <c r="BG25" s="90" t="s">
        <v>201</v>
      </c>
      <c r="BH25" s="90" t="s">
        <v>201</v>
      </c>
      <c r="BI25" s="90" t="s">
        <v>201</v>
      </c>
      <c r="BJ25" s="90" t="s">
        <v>201</v>
      </c>
      <c r="BK25" s="90" t="s">
        <v>201</v>
      </c>
      <c r="BL25" s="90" t="s">
        <v>200</v>
      </c>
      <c r="BM25" s="90" t="s">
        <v>200</v>
      </c>
      <c r="BN25" s="90" t="s">
        <v>201</v>
      </c>
      <c r="BO25" s="90" t="s">
        <v>201</v>
      </c>
      <c r="BP25" s="90" t="s">
        <v>201</v>
      </c>
      <c r="BQ25" s="90" t="s">
        <v>201</v>
      </c>
      <c r="BR25" s="90" t="s">
        <v>201</v>
      </c>
      <c r="BS25" s="90" t="s">
        <v>201</v>
      </c>
      <c r="BT25" s="90"/>
      <c r="BU25" s="90" t="s">
        <v>200</v>
      </c>
      <c r="BV25" s="90" t="s">
        <v>200</v>
      </c>
      <c r="BW25" s="90" t="s">
        <v>200</v>
      </c>
      <c r="BX25" s="90" t="s">
        <v>30</v>
      </c>
      <c r="BY25" s="90" t="s">
        <v>200</v>
      </c>
      <c r="BZ25" s="90" t="s">
        <v>195</v>
      </c>
      <c r="CA25" s="90" t="s">
        <v>200</v>
      </c>
      <c r="CB25" s="90"/>
      <c r="CC25" s="90" t="s">
        <v>202</v>
      </c>
      <c r="CD25" s="90"/>
      <c r="CE25" s="90" t="s">
        <v>199</v>
      </c>
      <c r="CF25" s="90"/>
      <c r="CG25" s="90"/>
      <c r="CH25" s="90"/>
      <c r="CI25" s="90" t="s">
        <v>194</v>
      </c>
      <c r="CJ25" s="90" t="s">
        <v>195</v>
      </c>
      <c r="CK25" s="90" t="s">
        <v>195</v>
      </c>
      <c r="CL25" s="90" t="s">
        <v>195</v>
      </c>
      <c r="CM25" s="90" t="s">
        <v>195</v>
      </c>
      <c r="CN25" s="90" t="s">
        <v>195</v>
      </c>
      <c r="CO25" s="90" t="s">
        <v>195</v>
      </c>
      <c r="CP25" s="90" t="s">
        <v>195</v>
      </c>
      <c r="CQ25" s="90" t="s">
        <v>195</v>
      </c>
      <c r="CR25" s="90" t="s">
        <v>195</v>
      </c>
      <c r="CS25" s="90" t="s">
        <v>195</v>
      </c>
      <c r="CT25" s="90" t="s">
        <v>195</v>
      </c>
      <c r="CU25" s="90" t="s">
        <v>195</v>
      </c>
      <c r="CV25" s="90" t="s">
        <v>195</v>
      </c>
      <c r="CW25" s="90" t="s">
        <v>195</v>
      </c>
      <c r="CX25" s="90" t="s">
        <v>195</v>
      </c>
      <c r="CY25" s="90" t="s">
        <v>195</v>
      </c>
      <c r="CZ25" s="90" t="s">
        <v>195</v>
      </c>
      <c r="DA25" s="90" t="s">
        <v>195</v>
      </c>
      <c r="DB25" s="90" t="s">
        <v>195</v>
      </c>
      <c r="DC25" s="90" t="s">
        <v>195</v>
      </c>
      <c r="DD25" s="90" t="s">
        <v>195</v>
      </c>
      <c r="DE25" s="90" t="s">
        <v>195</v>
      </c>
      <c r="DF25" s="90" t="s">
        <v>195</v>
      </c>
      <c r="DG25" s="90" t="s">
        <v>195</v>
      </c>
      <c r="DH25" s="90" t="s">
        <v>195</v>
      </c>
      <c r="DI25" s="90" t="s">
        <v>195</v>
      </c>
      <c r="DJ25" s="90" t="s">
        <v>195</v>
      </c>
      <c r="DK25" s="90"/>
      <c r="DL25" s="90" t="s">
        <v>194</v>
      </c>
      <c r="DM25" s="90" t="s">
        <v>195</v>
      </c>
      <c r="DN25" s="90" t="s">
        <v>195</v>
      </c>
      <c r="DO25" s="90" t="s">
        <v>195</v>
      </c>
      <c r="DP25" s="90" t="s">
        <v>195</v>
      </c>
      <c r="DQ25" s="90" t="s">
        <v>195</v>
      </c>
      <c r="DR25" s="90" t="s">
        <v>195</v>
      </c>
      <c r="DS25" s="90" t="s">
        <v>195</v>
      </c>
      <c r="DT25" s="90" t="s">
        <v>195</v>
      </c>
      <c r="DU25" s="90" t="s">
        <v>195</v>
      </c>
      <c r="DV25" s="90" t="s">
        <v>195</v>
      </c>
      <c r="DW25" s="90" t="s">
        <v>195</v>
      </c>
      <c r="DX25" s="90" t="s">
        <v>195</v>
      </c>
      <c r="DY25" s="90" t="s">
        <v>195</v>
      </c>
      <c r="DZ25" s="90" t="s">
        <v>195</v>
      </c>
      <c r="EA25" s="90"/>
      <c r="EB25" s="90" t="s">
        <v>194</v>
      </c>
      <c r="EC25" s="90" t="s">
        <v>195</v>
      </c>
      <c r="ED25" s="90" t="s">
        <v>195</v>
      </c>
      <c r="EE25" s="90" t="s">
        <v>195</v>
      </c>
      <c r="EF25" s="90" t="s">
        <v>195</v>
      </c>
      <c r="EG25" s="90" t="s">
        <v>195</v>
      </c>
      <c r="EH25" s="102" t="s">
        <v>195</v>
      </c>
    </row>
    <row r="26" spans="1:138" ht="23.25" customHeight="1" x14ac:dyDescent="0.25">
      <c r="A26" s="98" t="s">
        <v>16</v>
      </c>
      <c r="B26" s="99" t="s">
        <v>193</v>
      </c>
      <c r="C26" s="99" t="s">
        <v>194</v>
      </c>
      <c r="D26" s="99" t="s">
        <v>195</v>
      </c>
      <c r="E26" s="99" t="s">
        <v>195</v>
      </c>
      <c r="F26" s="99" t="s">
        <v>195</v>
      </c>
      <c r="G26" s="99" t="s">
        <v>195</v>
      </c>
      <c r="H26" s="99" t="s">
        <v>195</v>
      </c>
      <c r="I26" s="99" t="s">
        <v>195</v>
      </c>
      <c r="J26" s="99" t="s">
        <v>195</v>
      </c>
      <c r="K26" s="99" t="s">
        <v>195</v>
      </c>
      <c r="L26" s="99" t="s">
        <v>195</v>
      </c>
      <c r="M26" s="99" t="s">
        <v>195</v>
      </c>
      <c r="N26" s="99" t="s">
        <v>195</v>
      </c>
      <c r="O26" s="99" t="s">
        <v>195</v>
      </c>
      <c r="P26" s="99" t="s">
        <v>195</v>
      </c>
      <c r="Q26" s="99" t="s">
        <v>195</v>
      </c>
      <c r="R26" s="99" t="s">
        <v>195</v>
      </c>
      <c r="S26" s="99" t="s">
        <v>195</v>
      </c>
      <c r="T26" s="99"/>
      <c r="U26" s="99" t="s">
        <v>194</v>
      </c>
      <c r="V26" s="99" t="s">
        <v>195</v>
      </c>
      <c r="W26" s="99" t="s">
        <v>195</v>
      </c>
      <c r="X26" s="99" t="s">
        <v>195</v>
      </c>
      <c r="Y26" s="99" t="s">
        <v>195</v>
      </c>
      <c r="Z26" s="99" t="s">
        <v>196</v>
      </c>
      <c r="AA26" s="99" t="s">
        <v>195</v>
      </c>
      <c r="AB26" s="99" t="s">
        <v>195</v>
      </c>
      <c r="AC26" s="99" t="s">
        <v>195</v>
      </c>
      <c r="AD26" s="99" t="s">
        <v>195</v>
      </c>
      <c r="AE26" s="99" t="s">
        <v>195</v>
      </c>
      <c r="AF26" s="99" t="s">
        <v>195</v>
      </c>
      <c r="AG26" s="99" t="s">
        <v>195</v>
      </c>
      <c r="AH26" s="99" t="s">
        <v>195</v>
      </c>
      <c r="AI26" s="99" t="s">
        <v>194</v>
      </c>
      <c r="AJ26" s="99" t="s">
        <v>195</v>
      </c>
      <c r="AK26" s="99" t="s">
        <v>195</v>
      </c>
      <c r="AL26" s="99" t="s">
        <v>195</v>
      </c>
      <c r="AM26" s="99"/>
      <c r="AN26" s="99" t="s">
        <v>194</v>
      </c>
      <c r="AO26" s="99" t="s">
        <v>195</v>
      </c>
      <c r="AP26" s="99" t="s">
        <v>195</v>
      </c>
      <c r="AQ26" s="99" t="s">
        <v>195</v>
      </c>
      <c r="AR26" s="99" t="s">
        <v>195</v>
      </c>
      <c r="AS26" s="99" t="s">
        <v>195</v>
      </c>
      <c r="AT26" s="99" t="s">
        <v>195</v>
      </c>
      <c r="AU26" s="99" t="s">
        <v>195</v>
      </c>
      <c r="AV26" s="99" t="s">
        <v>195</v>
      </c>
      <c r="AW26" s="99" t="s">
        <v>195</v>
      </c>
      <c r="AX26" s="99" t="s">
        <v>195</v>
      </c>
      <c r="AY26" s="99"/>
      <c r="AZ26" s="99" t="s">
        <v>194</v>
      </c>
      <c r="BA26" s="99" t="s">
        <v>194</v>
      </c>
      <c r="BB26" s="99" t="s">
        <v>195</v>
      </c>
      <c r="BC26" s="99" t="s">
        <v>195</v>
      </c>
      <c r="BD26" s="99" t="s">
        <v>195</v>
      </c>
      <c r="BE26" s="99" t="s">
        <v>195</v>
      </c>
      <c r="BF26" s="99" t="s">
        <v>195</v>
      </c>
      <c r="BG26" s="99" t="s">
        <v>195</v>
      </c>
      <c r="BH26" s="99" t="s">
        <v>195</v>
      </c>
      <c r="BI26" s="99" t="s">
        <v>195</v>
      </c>
      <c r="BJ26" s="99" t="s">
        <v>195</v>
      </c>
      <c r="BK26" s="99" t="s">
        <v>195</v>
      </c>
      <c r="BL26" s="99" t="s">
        <v>195</v>
      </c>
      <c r="BM26" s="99" t="s">
        <v>195</v>
      </c>
      <c r="BN26" s="99" t="s">
        <v>195</v>
      </c>
      <c r="BO26" s="99" t="s">
        <v>195</v>
      </c>
      <c r="BP26" s="99" t="s">
        <v>195</v>
      </c>
      <c r="BQ26" s="99" t="s">
        <v>195</v>
      </c>
      <c r="BR26" s="99" t="s">
        <v>195</v>
      </c>
      <c r="BS26" s="99" t="s">
        <v>195</v>
      </c>
      <c r="BT26" s="99"/>
      <c r="BU26" s="99" t="s">
        <v>195</v>
      </c>
      <c r="BV26" s="99" t="s">
        <v>195</v>
      </c>
      <c r="BW26" s="99" t="s">
        <v>195</v>
      </c>
      <c r="BX26" s="99" t="s">
        <v>195</v>
      </c>
      <c r="BY26" s="99" t="s">
        <v>195</v>
      </c>
      <c r="BZ26" s="99" t="s">
        <v>195</v>
      </c>
      <c r="CA26" s="99" t="s">
        <v>200</v>
      </c>
      <c r="CB26" s="99"/>
      <c r="CC26" s="99" t="s">
        <v>202</v>
      </c>
      <c r="CD26" s="99"/>
      <c r="CE26" s="99" t="s">
        <v>194</v>
      </c>
      <c r="CF26" s="99"/>
      <c r="CG26" s="99"/>
      <c r="CH26" s="99"/>
      <c r="CI26" s="99" t="s">
        <v>194</v>
      </c>
      <c r="CJ26" s="99" t="s">
        <v>195</v>
      </c>
      <c r="CK26" s="99" t="s">
        <v>195</v>
      </c>
      <c r="CL26" s="99" t="s">
        <v>195</v>
      </c>
      <c r="CM26" s="99" t="s">
        <v>195</v>
      </c>
      <c r="CN26" s="99" t="s">
        <v>195</v>
      </c>
      <c r="CO26" s="99" t="s">
        <v>195</v>
      </c>
      <c r="CP26" s="99" t="s">
        <v>195</v>
      </c>
      <c r="CQ26" s="99" t="s">
        <v>195</v>
      </c>
      <c r="CR26" s="99" t="s">
        <v>195</v>
      </c>
      <c r="CS26" s="99" t="s">
        <v>195</v>
      </c>
      <c r="CT26" s="99" t="s">
        <v>195</v>
      </c>
      <c r="CU26" s="99" t="s">
        <v>195</v>
      </c>
      <c r="CV26" s="99" t="s">
        <v>195</v>
      </c>
      <c r="CW26" s="99" t="s">
        <v>195</v>
      </c>
      <c r="CX26" s="99" t="s">
        <v>195</v>
      </c>
      <c r="CY26" s="99" t="s">
        <v>195</v>
      </c>
      <c r="CZ26" s="99" t="s">
        <v>195</v>
      </c>
      <c r="DA26" s="99" t="s">
        <v>195</v>
      </c>
      <c r="DB26" s="99" t="s">
        <v>195</v>
      </c>
      <c r="DC26" s="99" t="s">
        <v>195</v>
      </c>
      <c r="DD26" s="99" t="s">
        <v>195</v>
      </c>
      <c r="DE26" s="99" t="s">
        <v>195</v>
      </c>
      <c r="DF26" s="99" t="s">
        <v>195</v>
      </c>
      <c r="DG26" s="99" t="s">
        <v>195</v>
      </c>
      <c r="DH26" s="99" t="s">
        <v>195</v>
      </c>
      <c r="DI26" s="99" t="s">
        <v>195</v>
      </c>
      <c r="DJ26" s="99" t="s">
        <v>195</v>
      </c>
      <c r="DK26" s="99"/>
      <c r="DL26" s="99" t="s">
        <v>194</v>
      </c>
      <c r="DM26" s="99" t="s">
        <v>195</v>
      </c>
      <c r="DN26" s="99" t="s">
        <v>195</v>
      </c>
      <c r="DO26" s="99" t="s">
        <v>195</v>
      </c>
      <c r="DP26" s="99" t="s">
        <v>195</v>
      </c>
      <c r="DQ26" s="99" t="s">
        <v>195</v>
      </c>
      <c r="DR26" s="99" t="s">
        <v>195</v>
      </c>
      <c r="DS26" s="99" t="s">
        <v>195</v>
      </c>
      <c r="DT26" s="99" t="s">
        <v>195</v>
      </c>
      <c r="DU26" s="99" t="s">
        <v>195</v>
      </c>
      <c r="DV26" s="99" t="s">
        <v>195</v>
      </c>
      <c r="DW26" s="99" t="s">
        <v>195</v>
      </c>
      <c r="DX26" s="99" t="s">
        <v>195</v>
      </c>
      <c r="DY26" s="99" t="s">
        <v>195</v>
      </c>
      <c r="DZ26" s="99" t="s">
        <v>195</v>
      </c>
      <c r="EA26" s="99"/>
      <c r="EB26" s="99" t="s">
        <v>194</v>
      </c>
      <c r="EC26" s="99" t="s">
        <v>195</v>
      </c>
      <c r="ED26" s="99" t="s">
        <v>195</v>
      </c>
      <c r="EE26" s="99" t="s">
        <v>195</v>
      </c>
      <c r="EF26" s="99" t="s">
        <v>195</v>
      </c>
      <c r="EG26" s="99" t="s">
        <v>195</v>
      </c>
      <c r="EH26" s="100" t="s">
        <v>195</v>
      </c>
    </row>
    <row r="27" spans="1:138" ht="23.25" customHeight="1" x14ac:dyDescent="0.25">
      <c r="A27" s="101" t="s">
        <v>16</v>
      </c>
      <c r="B27" s="90" t="s">
        <v>193</v>
      </c>
      <c r="C27" s="90" t="s">
        <v>194</v>
      </c>
      <c r="D27" s="90" t="s">
        <v>195</v>
      </c>
      <c r="E27" s="90" t="s">
        <v>195</v>
      </c>
      <c r="F27" s="90" t="s">
        <v>195</v>
      </c>
      <c r="G27" s="90" t="s">
        <v>195</v>
      </c>
      <c r="H27" s="90" t="s">
        <v>195</v>
      </c>
      <c r="I27" s="90" t="s">
        <v>195</v>
      </c>
      <c r="J27" s="90" t="s">
        <v>195</v>
      </c>
      <c r="K27" s="90" t="s">
        <v>195</v>
      </c>
      <c r="L27" s="90" t="s">
        <v>195</v>
      </c>
      <c r="M27" s="90" t="s">
        <v>195</v>
      </c>
      <c r="N27" s="90" t="s">
        <v>195</v>
      </c>
      <c r="O27" s="90" t="s">
        <v>195</v>
      </c>
      <c r="P27" s="90" t="s">
        <v>195</v>
      </c>
      <c r="Q27" s="90" t="s">
        <v>195</v>
      </c>
      <c r="R27" s="90" t="s">
        <v>195</v>
      </c>
      <c r="S27" s="90" t="s">
        <v>195</v>
      </c>
      <c r="T27" s="90"/>
      <c r="U27" s="90" t="s">
        <v>194</v>
      </c>
      <c r="V27" s="90" t="s">
        <v>195</v>
      </c>
      <c r="W27" s="90" t="s">
        <v>195</v>
      </c>
      <c r="X27" s="90" t="s">
        <v>195</v>
      </c>
      <c r="Y27" s="90" t="s">
        <v>195</v>
      </c>
      <c r="Z27" s="90" t="s">
        <v>196</v>
      </c>
      <c r="AA27" s="90" t="s">
        <v>195</v>
      </c>
      <c r="AB27" s="90" t="s">
        <v>195</v>
      </c>
      <c r="AC27" s="90" t="s">
        <v>195</v>
      </c>
      <c r="AD27" s="90" t="s">
        <v>195</v>
      </c>
      <c r="AE27" s="90" t="s">
        <v>195</v>
      </c>
      <c r="AF27" s="90" t="s">
        <v>195</v>
      </c>
      <c r="AG27" s="90" t="s">
        <v>195</v>
      </c>
      <c r="AH27" s="90" t="s">
        <v>195</v>
      </c>
      <c r="AI27" s="90" t="s">
        <v>194</v>
      </c>
      <c r="AJ27" s="90" t="s">
        <v>195</v>
      </c>
      <c r="AK27" s="90" t="s">
        <v>195</v>
      </c>
      <c r="AL27" s="90" t="s">
        <v>195</v>
      </c>
      <c r="AM27" s="90"/>
      <c r="AN27" s="90" t="s">
        <v>194</v>
      </c>
      <c r="AO27" s="90" t="s">
        <v>195</v>
      </c>
      <c r="AP27" s="90" t="s">
        <v>195</v>
      </c>
      <c r="AQ27" s="90" t="s">
        <v>195</v>
      </c>
      <c r="AR27" s="90" t="s">
        <v>195</v>
      </c>
      <c r="AS27" s="90" t="s">
        <v>195</v>
      </c>
      <c r="AT27" s="90" t="s">
        <v>195</v>
      </c>
      <c r="AU27" s="90" t="s">
        <v>195</v>
      </c>
      <c r="AV27" s="90" t="s">
        <v>195</v>
      </c>
      <c r="AW27" s="90" t="s">
        <v>195</v>
      </c>
      <c r="AX27" s="90" t="s">
        <v>195</v>
      </c>
      <c r="AY27" s="90"/>
      <c r="AZ27" s="90" t="s">
        <v>194</v>
      </c>
      <c r="BA27" s="90" t="s">
        <v>194</v>
      </c>
      <c r="BB27" s="90" t="s">
        <v>195</v>
      </c>
      <c r="BC27" s="90" t="s">
        <v>195</v>
      </c>
      <c r="BD27" s="90" t="s">
        <v>195</v>
      </c>
      <c r="BE27" s="90" t="s">
        <v>195</v>
      </c>
      <c r="BF27" s="90" t="s">
        <v>195</v>
      </c>
      <c r="BG27" s="90" t="s">
        <v>195</v>
      </c>
      <c r="BH27" s="90" t="s">
        <v>195</v>
      </c>
      <c r="BI27" s="90" t="s">
        <v>195</v>
      </c>
      <c r="BJ27" s="90" t="s">
        <v>195</v>
      </c>
      <c r="BK27" s="90" t="s">
        <v>195</v>
      </c>
      <c r="BL27" s="90" t="s">
        <v>195</v>
      </c>
      <c r="BM27" s="90" t="s">
        <v>195</v>
      </c>
      <c r="BN27" s="90" t="s">
        <v>195</v>
      </c>
      <c r="BO27" s="90" t="s">
        <v>195</v>
      </c>
      <c r="BP27" s="90" t="s">
        <v>195</v>
      </c>
      <c r="BQ27" s="90" t="s">
        <v>195</v>
      </c>
      <c r="BR27" s="90" t="s">
        <v>195</v>
      </c>
      <c r="BS27" s="90" t="s">
        <v>195</v>
      </c>
      <c r="BT27" s="90"/>
      <c r="BU27" s="90" t="s">
        <v>195</v>
      </c>
      <c r="BV27" s="90" t="s">
        <v>195</v>
      </c>
      <c r="BW27" s="90" t="s">
        <v>195</v>
      </c>
      <c r="BX27" s="90" t="s">
        <v>195</v>
      </c>
      <c r="BY27" s="90" t="s">
        <v>195</v>
      </c>
      <c r="BZ27" s="90" t="s">
        <v>195</v>
      </c>
      <c r="CA27" s="90" t="s">
        <v>200</v>
      </c>
      <c r="CB27" s="90"/>
      <c r="CC27" s="90" t="s">
        <v>198</v>
      </c>
      <c r="CD27" s="90"/>
      <c r="CE27" s="90" t="s">
        <v>199</v>
      </c>
      <c r="CF27" s="90"/>
      <c r="CG27" s="90"/>
      <c r="CH27" s="90"/>
      <c r="CI27" s="90" t="s">
        <v>194</v>
      </c>
      <c r="CJ27" s="90" t="s">
        <v>195</v>
      </c>
      <c r="CK27" s="90" t="s">
        <v>195</v>
      </c>
      <c r="CL27" s="90" t="s">
        <v>195</v>
      </c>
      <c r="CM27" s="90" t="s">
        <v>195</v>
      </c>
      <c r="CN27" s="90" t="s">
        <v>195</v>
      </c>
      <c r="CO27" s="90" t="s">
        <v>195</v>
      </c>
      <c r="CP27" s="90" t="s">
        <v>195</v>
      </c>
      <c r="CQ27" s="90" t="s">
        <v>195</v>
      </c>
      <c r="CR27" s="90" t="s">
        <v>195</v>
      </c>
      <c r="CS27" s="90" t="s">
        <v>195</v>
      </c>
      <c r="CT27" s="90" t="s">
        <v>195</v>
      </c>
      <c r="CU27" s="90" t="s">
        <v>195</v>
      </c>
      <c r="CV27" s="90" t="s">
        <v>195</v>
      </c>
      <c r="CW27" s="90" t="s">
        <v>195</v>
      </c>
      <c r="CX27" s="90" t="s">
        <v>195</v>
      </c>
      <c r="CY27" s="90" t="s">
        <v>195</v>
      </c>
      <c r="CZ27" s="90" t="s">
        <v>195</v>
      </c>
      <c r="DA27" s="90" t="s">
        <v>195</v>
      </c>
      <c r="DB27" s="90" t="s">
        <v>195</v>
      </c>
      <c r="DC27" s="90" t="s">
        <v>195</v>
      </c>
      <c r="DD27" s="90" t="s">
        <v>195</v>
      </c>
      <c r="DE27" s="90" t="s">
        <v>195</v>
      </c>
      <c r="DF27" s="90" t="s">
        <v>195</v>
      </c>
      <c r="DG27" s="90" t="s">
        <v>195</v>
      </c>
      <c r="DH27" s="90" t="s">
        <v>195</v>
      </c>
      <c r="DI27" s="90" t="s">
        <v>195</v>
      </c>
      <c r="DJ27" s="90" t="s">
        <v>195</v>
      </c>
      <c r="DK27" s="90"/>
      <c r="DL27" s="90" t="s">
        <v>194</v>
      </c>
      <c r="DM27" s="90" t="s">
        <v>195</v>
      </c>
      <c r="DN27" s="90" t="s">
        <v>195</v>
      </c>
      <c r="DO27" s="90" t="s">
        <v>195</v>
      </c>
      <c r="DP27" s="90" t="s">
        <v>195</v>
      </c>
      <c r="DQ27" s="90" t="s">
        <v>195</v>
      </c>
      <c r="DR27" s="90" t="s">
        <v>195</v>
      </c>
      <c r="DS27" s="90" t="s">
        <v>195</v>
      </c>
      <c r="DT27" s="90" t="s">
        <v>195</v>
      </c>
      <c r="DU27" s="90" t="s">
        <v>195</v>
      </c>
      <c r="DV27" s="90" t="s">
        <v>195</v>
      </c>
      <c r="DW27" s="90" t="s">
        <v>195</v>
      </c>
      <c r="DX27" s="90" t="s">
        <v>195</v>
      </c>
      <c r="DY27" s="90" t="s">
        <v>195</v>
      </c>
      <c r="DZ27" s="90" t="s">
        <v>195</v>
      </c>
      <c r="EA27" s="90"/>
      <c r="EB27" s="90" t="s">
        <v>194</v>
      </c>
      <c r="EC27" s="90" t="s">
        <v>195</v>
      </c>
      <c r="ED27" s="90" t="s">
        <v>195</v>
      </c>
      <c r="EE27" s="90" t="s">
        <v>195</v>
      </c>
      <c r="EF27" s="90" t="s">
        <v>195</v>
      </c>
      <c r="EG27" s="90" t="s">
        <v>195</v>
      </c>
      <c r="EH27" s="102" t="s">
        <v>195</v>
      </c>
    </row>
    <row r="28" spans="1:138" ht="23.25" customHeight="1" x14ac:dyDescent="0.25">
      <c r="A28" s="98" t="s">
        <v>16</v>
      </c>
      <c r="B28" s="99" t="s">
        <v>193</v>
      </c>
      <c r="C28" s="99" t="s">
        <v>199</v>
      </c>
      <c r="D28" s="99" t="s">
        <v>200</v>
      </c>
      <c r="E28" s="99" t="s">
        <v>200</v>
      </c>
      <c r="F28" s="99" t="s">
        <v>30</v>
      </c>
      <c r="G28" s="99" t="s">
        <v>30</v>
      </c>
      <c r="H28" s="99" t="s">
        <v>200</v>
      </c>
      <c r="I28" s="99" t="s">
        <v>203</v>
      </c>
      <c r="J28" s="99" t="s">
        <v>200</v>
      </c>
      <c r="K28" s="99" t="s">
        <v>203</v>
      </c>
      <c r="L28" s="99" t="s">
        <v>30</v>
      </c>
      <c r="M28" s="99" t="s">
        <v>30</v>
      </c>
      <c r="N28" s="99" t="s">
        <v>200</v>
      </c>
      <c r="O28" s="99" t="s">
        <v>200</v>
      </c>
      <c r="P28" s="99" t="s">
        <v>203</v>
      </c>
      <c r="Q28" s="99" t="s">
        <v>200</v>
      </c>
      <c r="R28" s="99" t="s">
        <v>201</v>
      </c>
      <c r="S28" s="99" t="s">
        <v>201</v>
      </c>
      <c r="T28" s="99"/>
      <c r="U28" s="99" t="s">
        <v>194</v>
      </c>
      <c r="V28" s="99" t="s">
        <v>195</v>
      </c>
      <c r="W28" s="99" t="s">
        <v>195</v>
      </c>
      <c r="X28" s="99" t="s">
        <v>195</v>
      </c>
      <c r="Y28" s="99" t="s">
        <v>195</v>
      </c>
      <c r="Z28" s="99" t="s">
        <v>196</v>
      </c>
      <c r="AA28" s="99" t="s">
        <v>195</v>
      </c>
      <c r="AB28" s="99" t="s">
        <v>195</v>
      </c>
      <c r="AC28" s="99" t="s">
        <v>195</v>
      </c>
      <c r="AD28" s="99" t="s">
        <v>195</v>
      </c>
      <c r="AE28" s="99" t="s">
        <v>195</v>
      </c>
      <c r="AF28" s="99" t="s">
        <v>195</v>
      </c>
      <c r="AG28" s="99" t="s">
        <v>195</v>
      </c>
      <c r="AH28" s="99" t="s">
        <v>195</v>
      </c>
      <c r="AI28" s="99" t="s">
        <v>194</v>
      </c>
      <c r="AJ28" s="99" t="s">
        <v>195</v>
      </c>
      <c r="AK28" s="99" t="s">
        <v>195</v>
      </c>
      <c r="AL28" s="99" t="s">
        <v>195</v>
      </c>
      <c r="AM28" s="99"/>
      <c r="AN28" s="99" t="s">
        <v>194</v>
      </c>
      <c r="AO28" s="99" t="s">
        <v>195</v>
      </c>
      <c r="AP28" s="99" t="s">
        <v>195</v>
      </c>
      <c r="AQ28" s="99" t="s">
        <v>195</v>
      </c>
      <c r="AR28" s="99" t="s">
        <v>195</v>
      </c>
      <c r="AS28" s="99" t="s">
        <v>195</v>
      </c>
      <c r="AT28" s="99" t="s">
        <v>195</v>
      </c>
      <c r="AU28" s="99" t="s">
        <v>195</v>
      </c>
      <c r="AV28" s="99" t="s">
        <v>195</v>
      </c>
      <c r="AW28" s="99" t="s">
        <v>195</v>
      </c>
      <c r="AX28" s="99" t="s">
        <v>195</v>
      </c>
      <c r="AY28" s="99"/>
      <c r="AZ28" s="99" t="s">
        <v>194</v>
      </c>
      <c r="BA28" s="99" t="s">
        <v>194</v>
      </c>
      <c r="BB28" s="99" t="s">
        <v>195</v>
      </c>
      <c r="BC28" s="99" t="s">
        <v>195</v>
      </c>
      <c r="BD28" s="99" t="s">
        <v>195</v>
      </c>
      <c r="BE28" s="99" t="s">
        <v>195</v>
      </c>
      <c r="BF28" s="99" t="s">
        <v>195</v>
      </c>
      <c r="BG28" s="99" t="s">
        <v>195</v>
      </c>
      <c r="BH28" s="99" t="s">
        <v>195</v>
      </c>
      <c r="BI28" s="99" t="s">
        <v>195</v>
      </c>
      <c r="BJ28" s="99" t="s">
        <v>195</v>
      </c>
      <c r="BK28" s="99" t="s">
        <v>195</v>
      </c>
      <c r="BL28" s="99" t="s">
        <v>195</v>
      </c>
      <c r="BM28" s="99" t="s">
        <v>195</v>
      </c>
      <c r="BN28" s="99" t="s">
        <v>195</v>
      </c>
      <c r="BO28" s="99" t="s">
        <v>195</v>
      </c>
      <c r="BP28" s="99" t="s">
        <v>195</v>
      </c>
      <c r="BQ28" s="99" t="s">
        <v>195</v>
      </c>
      <c r="BR28" s="99" t="s">
        <v>195</v>
      </c>
      <c r="BS28" s="99" t="s">
        <v>195</v>
      </c>
      <c r="BT28" s="99"/>
      <c r="BU28" s="99" t="s">
        <v>197</v>
      </c>
      <c r="BV28" s="99" t="s">
        <v>197</v>
      </c>
      <c r="BW28" s="99" t="s">
        <v>197</v>
      </c>
      <c r="BX28" s="99" t="s">
        <v>197</v>
      </c>
      <c r="BY28" s="99" t="s">
        <v>197</v>
      </c>
      <c r="BZ28" s="99" t="s">
        <v>197</v>
      </c>
      <c r="CA28" s="99" t="s">
        <v>197</v>
      </c>
      <c r="CB28" s="99"/>
      <c r="CC28" s="99" t="s">
        <v>204</v>
      </c>
      <c r="CD28" s="99"/>
      <c r="CE28" s="99" t="s">
        <v>199</v>
      </c>
      <c r="CF28" s="99"/>
      <c r="CG28" s="99"/>
      <c r="CH28" s="99"/>
      <c r="CI28" s="99" t="s">
        <v>194</v>
      </c>
      <c r="CJ28" s="99" t="s">
        <v>195</v>
      </c>
      <c r="CK28" s="99" t="s">
        <v>195</v>
      </c>
      <c r="CL28" s="99" t="s">
        <v>195</v>
      </c>
      <c r="CM28" s="99" t="s">
        <v>195</v>
      </c>
      <c r="CN28" s="99" t="s">
        <v>195</v>
      </c>
      <c r="CO28" s="99" t="s">
        <v>195</v>
      </c>
      <c r="CP28" s="99" t="s">
        <v>195</v>
      </c>
      <c r="CQ28" s="99" t="s">
        <v>195</v>
      </c>
      <c r="CR28" s="99" t="s">
        <v>195</v>
      </c>
      <c r="CS28" s="99" t="s">
        <v>195</v>
      </c>
      <c r="CT28" s="99" t="s">
        <v>195</v>
      </c>
      <c r="CU28" s="99" t="s">
        <v>195</v>
      </c>
      <c r="CV28" s="99" t="s">
        <v>195</v>
      </c>
      <c r="CW28" s="99" t="s">
        <v>195</v>
      </c>
      <c r="CX28" s="99" t="s">
        <v>195</v>
      </c>
      <c r="CY28" s="99" t="s">
        <v>195</v>
      </c>
      <c r="CZ28" s="99" t="s">
        <v>195</v>
      </c>
      <c r="DA28" s="99" t="s">
        <v>195</v>
      </c>
      <c r="DB28" s="99" t="s">
        <v>195</v>
      </c>
      <c r="DC28" s="99" t="s">
        <v>195</v>
      </c>
      <c r="DD28" s="99" t="s">
        <v>195</v>
      </c>
      <c r="DE28" s="99" t="s">
        <v>195</v>
      </c>
      <c r="DF28" s="99" t="s">
        <v>195</v>
      </c>
      <c r="DG28" s="99" t="s">
        <v>195</v>
      </c>
      <c r="DH28" s="99" t="s">
        <v>195</v>
      </c>
      <c r="DI28" s="99" t="s">
        <v>195</v>
      </c>
      <c r="DJ28" s="99" t="s">
        <v>195</v>
      </c>
      <c r="DK28" s="99"/>
      <c r="DL28" s="99" t="s">
        <v>194</v>
      </c>
      <c r="DM28" s="99" t="s">
        <v>195</v>
      </c>
      <c r="DN28" s="99" t="s">
        <v>195</v>
      </c>
      <c r="DO28" s="99" t="s">
        <v>195</v>
      </c>
      <c r="DP28" s="99" t="s">
        <v>195</v>
      </c>
      <c r="DQ28" s="99" t="s">
        <v>195</v>
      </c>
      <c r="DR28" s="99" t="s">
        <v>195</v>
      </c>
      <c r="DS28" s="99" t="s">
        <v>195</v>
      </c>
      <c r="DT28" s="99" t="s">
        <v>195</v>
      </c>
      <c r="DU28" s="99" t="s">
        <v>195</v>
      </c>
      <c r="DV28" s="99" t="s">
        <v>195</v>
      </c>
      <c r="DW28" s="99" t="s">
        <v>195</v>
      </c>
      <c r="DX28" s="99" t="s">
        <v>195</v>
      </c>
      <c r="DY28" s="99" t="s">
        <v>195</v>
      </c>
      <c r="DZ28" s="99" t="s">
        <v>195</v>
      </c>
      <c r="EA28" s="99"/>
      <c r="EB28" s="99" t="s">
        <v>194</v>
      </c>
      <c r="EC28" s="99" t="s">
        <v>195</v>
      </c>
      <c r="ED28" s="99" t="s">
        <v>195</v>
      </c>
      <c r="EE28" s="99" t="s">
        <v>195</v>
      </c>
      <c r="EF28" s="99" t="s">
        <v>195</v>
      </c>
      <c r="EG28" s="99" t="s">
        <v>195</v>
      </c>
      <c r="EH28" s="100" t="s">
        <v>195</v>
      </c>
    </row>
    <row r="29" spans="1:138" ht="23.25" customHeight="1" x14ac:dyDescent="0.25">
      <c r="A29" s="101" t="s">
        <v>16</v>
      </c>
      <c r="B29" s="90" t="s">
        <v>193</v>
      </c>
      <c r="C29" s="90" t="s">
        <v>194</v>
      </c>
      <c r="D29" s="90" t="s">
        <v>195</v>
      </c>
      <c r="E29" s="90" t="s">
        <v>195</v>
      </c>
      <c r="F29" s="90" t="s">
        <v>195</v>
      </c>
      <c r="G29" s="90" t="s">
        <v>195</v>
      </c>
      <c r="H29" s="90" t="s">
        <v>195</v>
      </c>
      <c r="I29" s="90" t="s">
        <v>195</v>
      </c>
      <c r="J29" s="90" t="s">
        <v>195</v>
      </c>
      <c r="K29" s="90" t="s">
        <v>195</v>
      </c>
      <c r="L29" s="90" t="s">
        <v>195</v>
      </c>
      <c r="M29" s="90" t="s">
        <v>195</v>
      </c>
      <c r="N29" s="90" t="s">
        <v>195</v>
      </c>
      <c r="O29" s="90" t="s">
        <v>195</v>
      </c>
      <c r="P29" s="90" t="s">
        <v>195</v>
      </c>
      <c r="Q29" s="90" t="s">
        <v>195</v>
      </c>
      <c r="R29" s="90" t="s">
        <v>195</v>
      </c>
      <c r="S29" s="90" t="s">
        <v>195</v>
      </c>
      <c r="T29" s="90"/>
      <c r="U29" s="90" t="s">
        <v>194</v>
      </c>
      <c r="V29" s="90" t="s">
        <v>195</v>
      </c>
      <c r="W29" s="90" t="s">
        <v>195</v>
      </c>
      <c r="X29" s="90" t="s">
        <v>195</v>
      </c>
      <c r="Y29" s="90" t="s">
        <v>195</v>
      </c>
      <c r="Z29" s="90" t="s">
        <v>196</v>
      </c>
      <c r="AA29" s="90" t="s">
        <v>195</v>
      </c>
      <c r="AB29" s="90" t="s">
        <v>195</v>
      </c>
      <c r="AC29" s="90" t="s">
        <v>195</v>
      </c>
      <c r="AD29" s="90" t="s">
        <v>195</v>
      </c>
      <c r="AE29" s="90" t="s">
        <v>195</v>
      </c>
      <c r="AF29" s="90" t="s">
        <v>195</v>
      </c>
      <c r="AG29" s="90" t="s">
        <v>195</v>
      </c>
      <c r="AH29" s="90" t="s">
        <v>195</v>
      </c>
      <c r="AI29" s="90" t="s">
        <v>194</v>
      </c>
      <c r="AJ29" s="90" t="s">
        <v>195</v>
      </c>
      <c r="AK29" s="90" t="s">
        <v>195</v>
      </c>
      <c r="AL29" s="90" t="s">
        <v>195</v>
      </c>
      <c r="AM29" s="90"/>
      <c r="AN29" s="90" t="s">
        <v>194</v>
      </c>
      <c r="AO29" s="90" t="s">
        <v>195</v>
      </c>
      <c r="AP29" s="90" t="s">
        <v>195</v>
      </c>
      <c r="AQ29" s="90" t="s">
        <v>195</v>
      </c>
      <c r="AR29" s="90" t="s">
        <v>195</v>
      </c>
      <c r="AS29" s="90" t="s">
        <v>195</v>
      </c>
      <c r="AT29" s="90" t="s">
        <v>195</v>
      </c>
      <c r="AU29" s="90" t="s">
        <v>195</v>
      </c>
      <c r="AV29" s="90" t="s">
        <v>195</v>
      </c>
      <c r="AW29" s="90" t="s">
        <v>195</v>
      </c>
      <c r="AX29" s="90" t="s">
        <v>195</v>
      </c>
      <c r="AY29" s="90"/>
      <c r="AZ29" s="90" t="s">
        <v>194</v>
      </c>
      <c r="BA29" s="90" t="s">
        <v>194</v>
      </c>
      <c r="BB29" s="90" t="s">
        <v>195</v>
      </c>
      <c r="BC29" s="90" t="s">
        <v>195</v>
      </c>
      <c r="BD29" s="90" t="s">
        <v>195</v>
      </c>
      <c r="BE29" s="90" t="s">
        <v>195</v>
      </c>
      <c r="BF29" s="90" t="s">
        <v>195</v>
      </c>
      <c r="BG29" s="90" t="s">
        <v>195</v>
      </c>
      <c r="BH29" s="90" t="s">
        <v>195</v>
      </c>
      <c r="BI29" s="90" t="s">
        <v>195</v>
      </c>
      <c r="BJ29" s="90" t="s">
        <v>195</v>
      </c>
      <c r="BK29" s="90" t="s">
        <v>195</v>
      </c>
      <c r="BL29" s="90" t="s">
        <v>195</v>
      </c>
      <c r="BM29" s="90" t="s">
        <v>195</v>
      </c>
      <c r="BN29" s="90" t="s">
        <v>195</v>
      </c>
      <c r="BO29" s="90" t="s">
        <v>195</v>
      </c>
      <c r="BP29" s="90" t="s">
        <v>195</v>
      </c>
      <c r="BQ29" s="90" t="s">
        <v>195</v>
      </c>
      <c r="BR29" s="90" t="s">
        <v>195</v>
      </c>
      <c r="BS29" s="90" t="s">
        <v>195</v>
      </c>
      <c r="BT29" s="90"/>
      <c r="BU29" s="90" t="s">
        <v>200</v>
      </c>
      <c r="BV29" s="90" t="s">
        <v>30</v>
      </c>
      <c r="BW29" s="90" t="s">
        <v>30</v>
      </c>
      <c r="BX29" s="90" t="s">
        <v>30</v>
      </c>
      <c r="BY29" s="90" t="s">
        <v>30</v>
      </c>
      <c r="BZ29" s="90" t="s">
        <v>30</v>
      </c>
      <c r="CA29" s="90" t="s">
        <v>30</v>
      </c>
      <c r="CB29" s="90"/>
      <c r="CC29" s="90" t="s">
        <v>198</v>
      </c>
      <c r="CD29" s="90"/>
      <c r="CE29" s="90" t="s">
        <v>199</v>
      </c>
      <c r="CF29" s="90"/>
      <c r="CG29" s="90"/>
      <c r="CH29" s="90"/>
      <c r="CI29" s="90" t="s">
        <v>199</v>
      </c>
      <c r="CJ29" s="90" t="s">
        <v>206</v>
      </c>
      <c r="CK29" s="90" t="s">
        <v>206</v>
      </c>
      <c r="CL29" s="90" t="s">
        <v>206</v>
      </c>
      <c r="CM29" s="90" t="s">
        <v>206</v>
      </c>
      <c r="CN29" s="90" t="s">
        <v>206</v>
      </c>
      <c r="CO29" s="90" t="s">
        <v>206</v>
      </c>
      <c r="CP29" s="90" t="s">
        <v>206</v>
      </c>
      <c r="CQ29" s="90" t="s">
        <v>207</v>
      </c>
      <c r="CR29" s="90" t="s">
        <v>207</v>
      </c>
      <c r="CS29" s="90" t="s">
        <v>200</v>
      </c>
      <c r="CT29" s="90" t="s">
        <v>200</v>
      </c>
      <c r="CU29" s="90" t="s">
        <v>200</v>
      </c>
      <c r="CV29" s="90" t="s">
        <v>200</v>
      </c>
      <c r="CW29" s="90" t="s">
        <v>200</v>
      </c>
      <c r="CX29" s="90" t="s">
        <v>206</v>
      </c>
      <c r="CY29" s="90" t="s">
        <v>206</v>
      </c>
      <c r="CZ29" s="90" t="s">
        <v>30</v>
      </c>
      <c r="DA29" s="90" t="s">
        <v>207</v>
      </c>
      <c r="DB29" s="90" t="s">
        <v>30</v>
      </c>
      <c r="DC29" s="90" t="s">
        <v>30</v>
      </c>
      <c r="DD29" s="90" t="s">
        <v>206</v>
      </c>
      <c r="DE29" s="90" t="s">
        <v>207</v>
      </c>
      <c r="DF29" s="90" t="s">
        <v>206</v>
      </c>
      <c r="DG29" s="90" t="s">
        <v>206</v>
      </c>
      <c r="DH29" s="90" t="s">
        <v>206</v>
      </c>
      <c r="DI29" s="90" t="s">
        <v>206</v>
      </c>
      <c r="DJ29" s="90" t="s">
        <v>206</v>
      </c>
      <c r="DK29" s="90"/>
      <c r="DL29" s="90" t="s">
        <v>194</v>
      </c>
      <c r="DM29" s="90" t="s">
        <v>195</v>
      </c>
      <c r="DN29" s="90" t="s">
        <v>195</v>
      </c>
      <c r="DO29" s="90" t="s">
        <v>195</v>
      </c>
      <c r="DP29" s="90" t="s">
        <v>195</v>
      </c>
      <c r="DQ29" s="90" t="s">
        <v>195</v>
      </c>
      <c r="DR29" s="90" t="s">
        <v>195</v>
      </c>
      <c r="DS29" s="90" t="s">
        <v>195</v>
      </c>
      <c r="DT29" s="90" t="s">
        <v>195</v>
      </c>
      <c r="DU29" s="90" t="s">
        <v>195</v>
      </c>
      <c r="DV29" s="90" t="s">
        <v>195</v>
      </c>
      <c r="DW29" s="90" t="s">
        <v>195</v>
      </c>
      <c r="DX29" s="90" t="s">
        <v>195</v>
      </c>
      <c r="DY29" s="90" t="s">
        <v>195</v>
      </c>
      <c r="DZ29" s="90" t="s">
        <v>195</v>
      </c>
      <c r="EA29" s="90"/>
      <c r="EB29" s="90" t="s">
        <v>199</v>
      </c>
      <c r="EC29" s="90" t="s">
        <v>207</v>
      </c>
      <c r="ED29" s="90" t="s">
        <v>207</v>
      </c>
      <c r="EE29" s="90" t="s">
        <v>201</v>
      </c>
      <c r="EF29" s="90" t="s">
        <v>207</v>
      </c>
      <c r="EG29" s="90" t="s">
        <v>207</v>
      </c>
      <c r="EH29" s="102" t="s">
        <v>206</v>
      </c>
    </row>
    <row r="30" spans="1:138" ht="23.25" customHeight="1" x14ac:dyDescent="0.25">
      <c r="A30" s="98" t="s">
        <v>16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195</v>
      </c>
      <c r="G30" s="99" t="s">
        <v>195</v>
      </c>
      <c r="H30" s="99" t="s">
        <v>195</v>
      </c>
      <c r="I30" s="99" t="s">
        <v>195</v>
      </c>
      <c r="J30" s="99" t="s">
        <v>195</v>
      </c>
      <c r="K30" s="99" t="s">
        <v>195</v>
      </c>
      <c r="L30" s="99" t="s">
        <v>195</v>
      </c>
      <c r="M30" s="99" t="s">
        <v>195</v>
      </c>
      <c r="N30" s="99" t="s">
        <v>195</v>
      </c>
      <c r="O30" s="99" t="s">
        <v>195</v>
      </c>
      <c r="P30" s="99" t="s">
        <v>195</v>
      </c>
      <c r="Q30" s="99" t="s">
        <v>195</v>
      </c>
      <c r="R30" s="99" t="s">
        <v>195</v>
      </c>
      <c r="S30" s="99" t="s">
        <v>195</v>
      </c>
      <c r="T30" s="99"/>
      <c r="U30" s="99" t="s">
        <v>194</v>
      </c>
      <c r="V30" s="99" t="s">
        <v>195</v>
      </c>
      <c r="W30" s="99" t="s">
        <v>195</v>
      </c>
      <c r="X30" s="99" t="s">
        <v>195</v>
      </c>
      <c r="Y30" s="99" t="s">
        <v>195</v>
      </c>
      <c r="Z30" s="99" t="s">
        <v>196</v>
      </c>
      <c r="AA30" s="99" t="s">
        <v>195</v>
      </c>
      <c r="AB30" s="99" t="s">
        <v>195</v>
      </c>
      <c r="AC30" s="99" t="s">
        <v>195</v>
      </c>
      <c r="AD30" s="99" t="s">
        <v>195</v>
      </c>
      <c r="AE30" s="99" t="s">
        <v>195</v>
      </c>
      <c r="AF30" s="99" t="s">
        <v>195</v>
      </c>
      <c r="AG30" s="99" t="s">
        <v>195</v>
      </c>
      <c r="AH30" s="99" t="s">
        <v>195</v>
      </c>
      <c r="AI30" s="99" t="s">
        <v>194</v>
      </c>
      <c r="AJ30" s="99" t="s">
        <v>195</v>
      </c>
      <c r="AK30" s="99" t="s">
        <v>195</v>
      </c>
      <c r="AL30" s="99" t="s">
        <v>195</v>
      </c>
      <c r="AM30" s="99"/>
      <c r="AN30" s="99" t="s">
        <v>194</v>
      </c>
      <c r="AO30" s="99" t="s">
        <v>195</v>
      </c>
      <c r="AP30" s="99" t="s">
        <v>195</v>
      </c>
      <c r="AQ30" s="99" t="s">
        <v>195</v>
      </c>
      <c r="AR30" s="99" t="s">
        <v>195</v>
      </c>
      <c r="AS30" s="99" t="s">
        <v>195</v>
      </c>
      <c r="AT30" s="99" t="s">
        <v>195</v>
      </c>
      <c r="AU30" s="99" t="s">
        <v>195</v>
      </c>
      <c r="AV30" s="99" t="s">
        <v>195</v>
      </c>
      <c r="AW30" s="99" t="s">
        <v>195</v>
      </c>
      <c r="AX30" s="99" t="s">
        <v>195</v>
      </c>
      <c r="AY30" s="99"/>
      <c r="AZ30" s="99" t="s">
        <v>194</v>
      </c>
      <c r="BA30" s="99" t="s">
        <v>194</v>
      </c>
      <c r="BB30" s="99" t="s">
        <v>195</v>
      </c>
      <c r="BC30" s="99" t="s">
        <v>195</v>
      </c>
      <c r="BD30" s="99" t="s">
        <v>195</v>
      </c>
      <c r="BE30" s="99" t="s">
        <v>195</v>
      </c>
      <c r="BF30" s="99" t="s">
        <v>195</v>
      </c>
      <c r="BG30" s="99" t="s">
        <v>195</v>
      </c>
      <c r="BH30" s="99" t="s">
        <v>195</v>
      </c>
      <c r="BI30" s="99" t="s">
        <v>195</v>
      </c>
      <c r="BJ30" s="99" t="s">
        <v>195</v>
      </c>
      <c r="BK30" s="99" t="s">
        <v>195</v>
      </c>
      <c r="BL30" s="99" t="s">
        <v>195</v>
      </c>
      <c r="BM30" s="99" t="s">
        <v>195</v>
      </c>
      <c r="BN30" s="99" t="s">
        <v>195</v>
      </c>
      <c r="BO30" s="99" t="s">
        <v>195</v>
      </c>
      <c r="BP30" s="99" t="s">
        <v>195</v>
      </c>
      <c r="BQ30" s="99" t="s">
        <v>195</v>
      </c>
      <c r="BR30" s="99" t="s">
        <v>195</v>
      </c>
      <c r="BS30" s="99" t="s">
        <v>195</v>
      </c>
      <c r="BT30" s="99"/>
      <c r="BU30" s="99" t="s">
        <v>30</v>
      </c>
      <c r="BV30" s="99" t="s">
        <v>195</v>
      </c>
      <c r="BW30" s="99" t="s">
        <v>195</v>
      </c>
      <c r="BX30" s="99" t="s">
        <v>195</v>
      </c>
      <c r="BY30" s="99" t="s">
        <v>195</v>
      </c>
      <c r="BZ30" s="99" t="s">
        <v>195</v>
      </c>
      <c r="CA30" s="99" t="s">
        <v>200</v>
      </c>
      <c r="CB30" s="99"/>
      <c r="CC30" s="99" t="s">
        <v>202</v>
      </c>
      <c r="CD30" s="99"/>
      <c r="CE30" s="99" t="s">
        <v>199</v>
      </c>
      <c r="CF30" s="99"/>
      <c r="CG30" s="99"/>
      <c r="CH30" s="99"/>
      <c r="CI30" s="99" t="s">
        <v>194</v>
      </c>
      <c r="CJ30" s="99" t="s">
        <v>195</v>
      </c>
      <c r="CK30" s="99" t="s">
        <v>195</v>
      </c>
      <c r="CL30" s="99" t="s">
        <v>195</v>
      </c>
      <c r="CM30" s="99" t="s">
        <v>195</v>
      </c>
      <c r="CN30" s="99" t="s">
        <v>195</v>
      </c>
      <c r="CO30" s="99" t="s">
        <v>195</v>
      </c>
      <c r="CP30" s="99" t="s">
        <v>195</v>
      </c>
      <c r="CQ30" s="99" t="s">
        <v>195</v>
      </c>
      <c r="CR30" s="99" t="s">
        <v>195</v>
      </c>
      <c r="CS30" s="99" t="s">
        <v>195</v>
      </c>
      <c r="CT30" s="99" t="s">
        <v>195</v>
      </c>
      <c r="CU30" s="99" t="s">
        <v>195</v>
      </c>
      <c r="CV30" s="99" t="s">
        <v>195</v>
      </c>
      <c r="CW30" s="99" t="s">
        <v>195</v>
      </c>
      <c r="CX30" s="99" t="s">
        <v>195</v>
      </c>
      <c r="CY30" s="99" t="s">
        <v>195</v>
      </c>
      <c r="CZ30" s="99" t="s">
        <v>195</v>
      </c>
      <c r="DA30" s="99" t="s">
        <v>195</v>
      </c>
      <c r="DB30" s="99" t="s">
        <v>195</v>
      </c>
      <c r="DC30" s="99" t="s">
        <v>195</v>
      </c>
      <c r="DD30" s="99" t="s">
        <v>195</v>
      </c>
      <c r="DE30" s="99" t="s">
        <v>195</v>
      </c>
      <c r="DF30" s="99" t="s">
        <v>195</v>
      </c>
      <c r="DG30" s="99" t="s">
        <v>195</v>
      </c>
      <c r="DH30" s="99" t="s">
        <v>195</v>
      </c>
      <c r="DI30" s="99" t="s">
        <v>195</v>
      </c>
      <c r="DJ30" s="99" t="s">
        <v>195</v>
      </c>
      <c r="DK30" s="99"/>
      <c r="DL30" s="99" t="s">
        <v>194</v>
      </c>
      <c r="DM30" s="99" t="s">
        <v>195</v>
      </c>
      <c r="DN30" s="99" t="s">
        <v>195</v>
      </c>
      <c r="DO30" s="99" t="s">
        <v>195</v>
      </c>
      <c r="DP30" s="99" t="s">
        <v>195</v>
      </c>
      <c r="DQ30" s="99" t="s">
        <v>195</v>
      </c>
      <c r="DR30" s="99" t="s">
        <v>195</v>
      </c>
      <c r="DS30" s="99" t="s">
        <v>195</v>
      </c>
      <c r="DT30" s="99" t="s">
        <v>195</v>
      </c>
      <c r="DU30" s="99" t="s">
        <v>195</v>
      </c>
      <c r="DV30" s="99" t="s">
        <v>195</v>
      </c>
      <c r="DW30" s="99" t="s">
        <v>195</v>
      </c>
      <c r="DX30" s="99" t="s">
        <v>195</v>
      </c>
      <c r="DY30" s="99" t="s">
        <v>195</v>
      </c>
      <c r="DZ30" s="99" t="s">
        <v>195</v>
      </c>
      <c r="EA30" s="99"/>
      <c r="EB30" s="99" t="s">
        <v>194</v>
      </c>
      <c r="EC30" s="99" t="s">
        <v>195</v>
      </c>
      <c r="ED30" s="99" t="s">
        <v>195</v>
      </c>
      <c r="EE30" s="99" t="s">
        <v>195</v>
      </c>
      <c r="EF30" s="99" t="s">
        <v>195</v>
      </c>
      <c r="EG30" s="99" t="s">
        <v>195</v>
      </c>
      <c r="EH30" s="100" t="s">
        <v>195</v>
      </c>
    </row>
    <row r="31" spans="1:138" ht="23.25" customHeight="1" x14ac:dyDescent="0.25">
      <c r="A31" s="101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102"/>
    </row>
    <row r="32" spans="1:138" ht="23.25" customHeight="1" x14ac:dyDescent="0.25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100"/>
    </row>
    <row r="33" spans="1:138" ht="23.25" customHeight="1" x14ac:dyDescent="0.25">
      <c r="A33" s="101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102"/>
    </row>
    <row r="34" spans="1:138" ht="23.25" customHeight="1" x14ac:dyDescent="0.25">
      <c r="A34" s="98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100"/>
    </row>
    <row r="35" spans="1:138" ht="23.25" customHeight="1" x14ac:dyDescent="0.25">
      <c r="A35" s="101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102"/>
    </row>
    <row r="36" spans="1:138" ht="23.25" customHeight="1" x14ac:dyDescent="0.25">
      <c r="A36" s="98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100"/>
    </row>
    <row r="37" spans="1:138" ht="23.25" customHeight="1" x14ac:dyDescent="0.25">
      <c r="A37" s="101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102"/>
    </row>
    <row r="38" spans="1:138" ht="23.25" customHeight="1" x14ac:dyDescent="0.25">
      <c r="A38" s="98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  <c r="DK38" s="99"/>
      <c r="DL38" s="99"/>
      <c r="DM38" s="99"/>
      <c r="DN38" s="99"/>
      <c r="DO38" s="99"/>
      <c r="DP38" s="99"/>
      <c r="DQ38" s="99"/>
      <c r="DR38" s="99"/>
      <c r="DS38" s="99"/>
      <c r="DT38" s="99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100"/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493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COUNTIFS(Resp4[Vínculo],"tecnico",Resp4[4.14],B7)</f>
        <v>0</v>
      </c>
      <c r="D7" s="4">
        <f>COUNTIFS(Resp4[Vínculo],"docente",Resp4[4.14],B7)</f>
        <v>0</v>
      </c>
      <c r="E7" s="4">
        <f>COUNTIF(Resp4[4.14],B7)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0</v>
      </c>
      <c r="E10" s="4">
        <f>COUNTIF(Resp4[4.14],B10)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COUNTIFS(Resp4[Vínculo],"tecnico",Resp4[4.14],B11)</f>
        <v>0</v>
      </c>
      <c r="D11" s="4">
        <f>COUNTIFS(Resp4[Vínculo],"docente",Resp4[4.14],B11)</f>
        <v>0</v>
      </c>
      <c r="E11" s="4">
        <f>COUNTIF(Resp4[4.14],B11)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COUNTIFS(Resp4[Vínculo],"tecnico",Resp4[4.14],B12)</f>
        <v>1</v>
      </c>
      <c r="D12" s="4">
        <f>COUNTIFS(Resp4[Vínculo],"docente",Resp4[4.14],B12)</f>
        <v>0</v>
      </c>
      <c r="E12" s="4">
        <f>COUNTIF(Resp4[4.14],B12)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493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COUNTIFS(Resp4[Vínculo],"tecnico",Resp4[4.15],B7)</f>
        <v>0</v>
      </c>
      <c r="D7" s="4">
        <f>COUNTIFS(Resp4[Vínculo],"docente",Resp4[4.15],B7)</f>
        <v>0</v>
      </c>
      <c r="E7" s="4">
        <f>COUNTIF(Resp4[4.15],B7)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0</v>
      </c>
      <c r="E10" s="4">
        <f>COUNTIF(Resp4[4.15],B10)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COUNTIFS(Resp4[Vínculo],"tecnico",Resp4[4.15],B11)</f>
        <v>1</v>
      </c>
      <c r="D11" s="4">
        <f>COUNTIFS(Resp4[Vínculo],"docente",Resp4[4.15],B11)</f>
        <v>0</v>
      </c>
      <c r="E11" s="4">
        <f>COUNTIF(Resp4[4.15],B11)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COUNTIFS(Resp4[Vínculo],"tecnico",Resp4[4.15],B12)</f>
        <v>0</v>
      </c>
      <c r="D12" s="4">
        <f>COUNTIFS(Resp4[Vínculo],"docente",Resp4[4.15],B12)</f>
        <v>0</v>
      </c>
      <c r="E12" s="4">
        <f>COUNTIF(Resp4[4.15],B12)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493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COUNTIFS(Resp4[Vínculo],"tecnico",Resp4[4.16],B7)</f>
        <v>1</v>
      </c>
      <c r="D7" s="4">
        <f>COUNTIFS(Resp4[Vínculo],"docente",Resp4[4.16],B7)</f>
        <v>0</v>
      </c>
      <c r="E7" s="4">
        <f>COUNTIF(Resp4[4.16],B7)</f>
        <v>1</v>
      </c>
      <c r="F7" s="4">
        <f t="shared" ref="F7:F13" si="0">ROUND($E7/E$13*100,2)</f>
        <v>3.45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COUNTIFS(Resp4[Vínculo],"tecnico",Resp4[4.16],B9)</f>
        <v>0</v>
      </c>
      <c r="D9" s="4">
        <f>COUNTIFS(Resp4[Vínculo],"docente",Resp4[4.16],B9)</f>
        <v>0</v>
      </c>
      <c r="E9" s="4">
        <f>COUNTIF(Resp4[4.16],B9)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COUNTIFS(Resp4[Vínculo],"tecnico",Resp4[4.16],B11)</f>
        <v>0</v>
      </c>
      <c r="D11" s="4">
        <f>COUNTIFS(Resp4[Vínculo],"docente",Resp4[4.16],B11)</f>
        <v>0</v>
      </c>
      <c r="E11" s="4">
        <f>COUNTIF(Resp4[4.16],B11)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COUNTIFS(Resp4[Vínculo],"tecnico",Resp4[4.16],B12)</f>
        <v>0</v>
      </c>
      <c r="D12" s="4">
        <f>COUNTIFS(Resp4[Vínculo],"docente",Resp4[4.16],B12)</f>
        <v>0</v>
      </c>
      <c r="E12" s="4">
        <f>COUNTIF(Resp4[4.16],B12)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493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COUNTIFS(Resp4[Vínculo],"tecnico",Resp4[4.17],B7)</f>
        <v>1</v>
      </c>
      <c r="D7" s="4">
        <f>COUNTIFS(Resp4[Vínculo],"docente",Resp4[4.17],B7)</f>
        <v>0</v>
      </c>
      <c r="E7" s="4">
        <f>COUNTIF(Resp4[4.17],B7)</f>
        <v>1</v>
      </c>
      <c r="F7" s="4">
        <f t="shared" ref="F7:F13" si="0">ROUND($E7/E$13*100,2)</f>
        <v>3.45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0</v>
      </c>
      <c r="E10" s="4">
        <f>COUNTIF(Resp4[4.17],B10)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COUNTIFS(Resp4[Vínculo],"tecnico",Resp4[4.17],B11)</f>
        <v>0</v>
      </c>
      <c r="D11" s="4">
        <f>COUNTIFS(Resp4[Vínculo],"docente",Resp4[4.17],B11)</f>
        <v>0</v>
      </c>
      <c r="E11" s="4">
        <f>COUNTIF(Resp4[4.17],B11)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COUNTIFS(Resp4[Vínculo],"tecnico",Resp4[4.17],B12)</f>
        <v>0</v>
      </c>
      <c r="D12" s="4">
        <f>COUNTIFS(Resp4[Vínculo],"docente",Resp4[4.17],B12)</f>
        <v>0</v>
      </c>
      <c r="E12" s="4">
        <f>COUNTIF(Resp4[4.17],B12)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2</v>
      </c>
      <c r="D7" s="4">
        <f>COUNTIFS(Resp4[Vínculo],"docente",Resp4[4.19],B7)</f>
        <v>0</v>
      </c>
      <c r="E7" s="2">
        <f>COUNTIF(Resp4[4.19],B7)</f>
        <v>2</v>
      </c>
      <c r="F7" s="4">
        <f t="shared" ref="F7:F9" si="0">ROUND($E7/E$9*100,2)</f>
        <v>6.9</v>
      </c>
      <c r="G7" s="4">
        <f>ROUND($E7/SUM($E$7:$E$8)*100,2)</f>
        <v>6.9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27</v>
      </c>
      <c r="D8" s="4">
        <f>COUNTIFS(Resp4[Vínculo],"docente",Resp4[4.19],B8)</f>
        <v>0</v>
      </c>
      <c r="E8" s="2">
        <f>COUNTIF(Resp4[4.19],B8)</f>
        <v>27</v>
      </c>
      <c r="F8" s="22">
        <f t="shared" si="0"/>
        <v>93.1</v>
      </c>
      <c r="G8" s="4">
        <f>ROUND($E8/SUM($E$7:$E$8)*100,2)</f>
        <v>93.1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493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COUNTIFS(Resp4[Vínculo],"tecnico",Resp4[4.20],B7)</f>
        <v>0</v>
      </c>
      <c r="D7" s="4">
        <f>COUNTIFS(Resp4[Vínculo],"docente",Resp4[4.20],B7)</f>
        <v>0</v>
      </c>
      <c r="E7" s="4">
        <f>COUNTIF(Resp4[4.20],B7)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COUNTIFS(Resp4[Vínculo],"tecnico",Resp4[4.20],B9)</f>
        <v>0</v>
      </c>
      <c r="D9" s="4">
        <f>COUNTIFS(Resp4[Vínculo],"docente",Resp4[4.20],B9)</f>
        <v>0</v>
      </c>
      <c r="E9" s="4">
        <f>COUNTIF(Resp4[4.20],B9)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COUNTIFS(Resp4[Vínculo],"tecnico",Resp4[4.20],B10)</f>
        <v>1</v>
      </c>
      <c r="D10" s="4">
        <f>COUNTIFS(Resp4[Vínculo],"docente",Resp4[4.20],B10)</f>
        <v>0</v>
      </c>
      <c r="E10" s="4">
        <f>COUNTIF(Resp4[4.20],B10)</f>
        <v>1</v>
      </c>
      <c r="F10" s="4">
        <f t="shared" si="0"/>
        <v>3.45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COUNTIFS(Resp4[Vínculo],"tecnico",Resp4[4.20],B11)</f>
        <v>1</v>
      </c>
      <c r="D11" s="4">
        <f>COUNTIFS(Resp4[Vínculo],"docente",Resp4[4.20],B11)</f>
        <v>0</v>
      </c>
      <c r="E11" s="4">
        <f>COUNTIF(Resp4[4.20],B11)</f>
        <v>1</v>
      </c>
      <c r="F11" s="4">
        <f t="shared" si="0"/>
        <v>3.45</v>
      </c>
      <c r="G11" s="3">
        <f t="shared" si="1"/>
        <v>50</v>
      </c>
    </row>
    <row r="12" spans="1:7" x14ac:dyDescent="0.25">
      <c r="B12" s="7" t="s">
        <v>203</v>
      </c>
      <c r="C12" s="4">
        <f>COUNTIFS(Resp4[Vínculo],"tecnico",Resp4[4.20],B12)</f>
        <v>0</v>
      </c>
      <c r="D12" s="4">
        <f>COUNTIFS(Resp4[Vínculo],"docente",Resp4[4.20],B12)</f>
        <v>0</v>
      </c>
      <c r="E12" s="4">
        <f>COUNTIF(Resp4[4.20],B12)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493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0</v>
      </c>
      <c r="E10" s="4">
        <f>COUNTIF(Resp4[4.21],B10)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COUNTIFS(Resp4[Vínculo],"tecnico",Resp4[4.21],B11)</f>
        <v>2</v>
      </c>
      <c r="D11" s="4">
        <f>COUNTIFS(Resp4[Vínculo],"docente",Resp4[4.21],B11)</f>
        <v>0</v>
      </c>
      <c r="E11" s="4">
        <f>COUNTIF(Resp4[4.21],B11)</f>
        <v>2</v>
      </c>
      <c r="F11" s="4">
        <f t="shared" si="0"/>
        <v>6.9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COUNTIFS(Resp4[Vínculo],"tecnico",Resp4[4.21],B12)</f>
        <v>0</v>
      </c>
      <c r="D12" s="4">
        <f>COUNTIFS(Resp4[Vínculo],"docente",Resp4[4.21],B12)</f>
        <v>0</v>
      </c>
      <c r="E12" s="4">
        <f>COUNTIF(Resp4[4.21],B12)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493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COUNTIFS(Resp4[Vínculo],"tecnico",Resp4[4.22],B7)</f>
        <v>1</v>
      </c>
      <c r="D7" s="4">
        <f>COUNTIFS(Resp4[Vínculo],"docente",Resp4[4.22],B7)</f>
        <v>0</v>
      </c>
      <c r="E7" s="4">
        <f>COUNTIF(Resp4[4.22],B7)</f>
        <v>1</v>
      </c>
      <c r="F7" s="4">
        <f t="shared" ref="F7:F13" si="0">ROUND($E7/E$13*100,2)</f>
        <v>3.45</v>
      </c>
      <c r="G7" s="3">
        <f t="shared" ref="G7:G12" si="1">ROUND($E7/SUM($E$7:$E$12)*100,3)</f>
        <v>50</v>
      </c>
    </row>
    <row r="8" spans="1:7" x14ac:dyDescent="0.25">
      <c r="B8" s="2" t="s">
        <v>207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0</v>
      </c>
      <c r="E10" s="4">
        <f>COUNTIF(Resp4[4.22],B10)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COUNTIFS(Resp4[Vínculo],"tecnico",Resp4[4.22],B11)</f>
        <v>1</v>
      </c>
      <c r="D11" s="4">
        <f>COUNTIFS(Resp4[Vínculo],"docente",Resp4[4.22],B11)</f>
        <v>0</v>
      </c>
      <c r="E11" s="4">
        <f>COUNTIF(Resp4[4.22],B11)</f>
        <v>1</v>
      </c>
      <c r="F11" s="4">
        <f t="shared" si="0"/>
        <v>3.45</v>
      </c>
      <c r="G11" s="3">
        <f t="shared" si="1"/>
        <v>50</v>
      </c>
    </row>
    <row r="12" spans="1:7" x14ac:dyDescent="0.25">
      <c r="B12" s="7" t="s">
        <v>203</v>
      </c>
      <c r="C12" s="4">
        <f>COUNTIFS(Resp4[Vínculo],"tecnico",Resp4[4.22],B12)</f>
        <v>0</v>
      </c>
      <c r="D12" s="4">
        <f>COUNTIFS(Resp4[Vínculo],"docente",Resp4[4.22],B12)</f>
        <v>0</v>
      </c>
      <c r="E12" s="4">
        <f>COUNTIF(Resp4[4.22],B12)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493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COUNTIFS(Resp4[Vínculo],"tecnico",Resp4[4.23],B9)</f>
        <v>0</v>
      </c>
      <c r="D9" s="4">
        <f>COUNTIFS(Resp4[Vínculo],"docente",Resp4[4.23],B9)</f>
        <v>0</v>
      </c>
      <c r="E9" s="4">
        <f>COUNTIF(Resp4[4.23],B9)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0</v>
      </c>
      <c r="E10" s="4">
        <f>COUNTIF(Resp4[4.23],B10)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COUNTIFS(Resp4[Vínculo],"tecnico",Resp4[4.23],B11)</f>
        <v>1</v>
      </c>
      <c r="D11" s="4">
        <f>COUNTIFS(Resp4[Vínculo],"docente",Resp4[4.23],B11)</f>
        <v>0</v>
      </c>
      <c r="E11" s="4">
        <f>COUNTIF(Resp4[4.23],B11)</f>
        <v>1</v>
      </c>
      <c r="F11" s="4">
        <f t="shared" si="0"/>
        <v>3.45</v>
      </c>
      <c r="G11" s="3">
        <f t="shared" si="1"/>
        <v>50</v>
      </c>
    </row>
    <row r="12" spans="1:7" x14ac:dyDescent="0.25">
      <c r="B12" s="7" t="s">
        <v>203</v>
      </c>
      <c r="C12" s="4">
        <f>COUNTIFS(Resp4[Vínculo],"tecnico",Resp4[4.23],B12)</f>
        <v>1</v>
      </c>
      <c r="D12" s="4">
        <f>COUNTIFS(Resp4[Vínculo],"docente",Resp4[4.23],B12)</f>
        <v>0</v>
      </c>
      <c r="E12" s="4">
        <f>COUNTIF(Resp4[4.23],B12)</f>
        <v>1</v>
      </c>
      <c r="F12" s="22">
        <f t="shared" si="0"/>
        <v>3.45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493</v>
      </c>
      <c r="B3" s="2" t="str">
        <f>VLOOKUP(A$2,Eixo4[],4,FALSE)</f>
        <v>Eixo 4: Questão 24</v>
      </c>
    </row>
    <row r="5" spans="1:7" x14ac:dyDescent="0.25"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</row>
    <row r="6" spans="1:7" x14ac:dyDescent="0.25"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28</v>
      </c>
      <c r="D7" s="4">
        <f>COUNTIFS(Resp4[Vínculo],"docente",Resp4[4.24],B7)</f>
        <v>0</v>
      </c>
      <c r="E7" s="2">
        <f>COUNTIF(Resp4[4.24],B7)</f>
        <v>28</v>
      </c>
      <c r="F7" s="4">
        <f t="shared" ref="F7:F9" si="0">ROUND($E7/E$9*100,2)</f>
        <v>96.55</v>
      </c>
      <c r="G7" s="4">
        <f>ROUND($E7/SUM($E$7:$E$8)*100,2)</f>
        <v>96.55</v>
      </c>
    </row>
    <row r="8" spans="1:7" x14ac:dyDescent="0.25">
      <c r="B8" s="7" t="s">
        <v>506</v>
      </c>
      <c r="C8" s="22">
        <f>COUNTIFS(Resp4[Vínculo],"tecnico",Resp4[4.24],B8)</f>
        <v>1</v>
      </c>
      <c r="D8" s="22">
        <f>COUNTIFS(Resp4[Vínculo],"docente",Resp4[4.24],B8)</f>
        <v>0</v>
      </c>
      <c r="E8" s="7">
        <f>COUNTIF(Resp4[4.24],B8)</f>
        <v>1</v>
      </c>
      <c r="F8" s="22">
        <f t="shared" si="0"/>
        <v>3.45</v>
      </c>
      <c r="G8" s="22">
        <f>ROUND($E8/SUM($E$7:$E$8)*100,2)</f>
        <v>3.45</v>
      </c>
    </row>
    <row r="9" spans="1:7" x14ac:dyDescent="0.25">
      <c r="B9" t="s">
        <v>501</v>
      </c>
      <c r="C9">
        <f>SUM(C6:C8)</f>
        <v>29</v>
      </c>
      <c r="D9">
        <f>SUM(D6:D8)</f>
        <v>0</v>
      </c>
      <c r="E9">
        <f>C9+D9</f>
        <v>29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208</v>
      </c>
      <c r="B1" s="92" t="s">
        <v>209</v>
      </c>
      <c r="C1" s="92" t="s">
        <v>210</v>
      </c>
      <c r="D1" s="92" t="s">
        <v>211</v>
      </c>
      <c r="E1" s="93" t="s">
        <v>212</v>
      </c>
    </row>
    <row r="2" spans="1:5" customFormat="1" x14ac:dyDescent="0.25">
      <c r="A2" t="s">
        <v>57</v>
      </c>
      <c r="B2" t="s">
        <v>5</v>
      </c>
      <c r="C2" s="1" t="s">
        <v>213</v>
      </c>
      <c r="D2" s="95" t="s">
        <v>214</v>
      </c>
    </row>
    <row r="3" spans="1:5" x14ac:dyDescent="0.25">
      <c r="A3" s="94" t="s">
        <v>58</v>
      </c>
      <c r="B3" s="94" t="s">
        <v>3</v>
      </c>
      <c r="C3" s="96" t="s">
        <v>215</v>
      </c>
      <c r="D3" s="97" t="s">
        <v>216</v>
      </c>
    </row>
    <row r="4" spans="1:5" x14ac:dyDescent="0.25">
      <c r="A4" s="94" t="s">
        <v>59</v>
      </c>
      <c r="B4" s="94" t="s">
        <v>3</v>
      </c>
      <c r="C4" s="96" t="s">
        <v>217</v>
      </c>
      <c r="D4" s="97" t="s">
        <v>218</v>
      </c>
    </row>
    <row r="5" spans="1:5" x14ac:dyDescent="0.25">
      <c r="A5" s="94" t="s">
        <v>60</v>
      </c>
      <c r="B5" s="94" t="s">
        <v>3</v>
      </c>
      <c r="C5" s="96" t="s">
        <v>219</v>
      </c>
      <c r="D5" s="97" t="s">
        <v>220</v>
      </c>
    </row>
    <row r="6" spans="1:5" x14ac:dyDescent="0.25">
      <c r="A6" s="94" t="s">
        <v>61</v>
      </c>
      <c r="B6" s="94" t="s">
        <v>3</v>
      </c>
      <c r="C6" s="96" t="s">
        <v>221</v>
      </c>
      <c r="D6" s="97" t="s">
        <v>222</v>
      </c>
    </row>
    <row r="7" spans="1:5" x14ac:dyDescent="0.25">
      <c r="A7" s="94" t="s">
        <v>62</v>
      </c>
      <c r="B7" s="94" t="s">
        <v>3</v>
      </c>
      <c r="C7" s="96" t="s">
        <v>223</v>
      </c>
      <c r="D7" s="97" t="s">
        <v>224</v>
      </c>
    </row>
    <row r="8" spans="1:5" x14ac:dyDescent="0.25">
      <c r="A8" s="94" t="s">
        <v>63</v>
      </c>
      <c r="B8" s="94" t="s">
        <v>3</v>
      </c>
      <c r="C8" s="96" t="s">
        <v>225</v>
      </c>
      <c r="D8" s="97" t="s">
        <v>226</v>
      </c>
    </row>
    <row r="9" spans="1:5" x14ac:dyDescent="0.25">
      <c r="A9" s="94" t="s">
        <v>64</v>
      </c>
      <c r="B9" s="94" t="s">
        <v>3</v>
      </c>
      <c r="C9" s="96" t="s">
        <v>227</v>
      </c>
      <c r="D9" s="97" t="s">
        <v>228</v>
      </c>
    </row>
    <row r="10" spans="1:5" x14ac:dyDescent="0.25">
      <c r="A10" s="94" t="s">
        <v>65</v>
      </c>
      <c r="B10" s="94" t="s">
        <v>3</v>
      </c>
      <c r="C10" s="96" t="s">
        <v>229</v>
      </c>
      <c r="D10" s="97" t="s">
        <v>230</v>
      </c>
    </row>
    <row r="11" spans="1:5" x14ac:dyDescent="0.25">
      <c r="A11" s="94" t="s">
        <v>66</v>
      </c>
      <c r="B11" s="94" t="s">
        <v>3</v>
      </c>
      <c r="C11" s="96" t="s">
        <v>231</v>
      </c>
      <c r="D11" s="97" t="s">
        <v>232</v>
      </c>
    </row>
    <row r="12" spans="1:5" x14ac:dyDescent="0.25">
      <c r="A12" s="94" t="s">
        <v>67</v>
      </c>
      <c r="B12" s="94" t="s">
        <v>3</v>
      </c>
      <c r="C12" s="96" t="s">
        <v>233</v>
      </c>
      <c r="D12" s="97" t="s">
        <v>234</v>
      </c>
    </row>
    <row r="13" spans="1:5" x14ac:dyDescent="0.25">
      <c r="A13" s="94" t="s">
        <v>68</v>
      </c>
      <c r="B13" s="94" t="s">
        <v>3</v>
      </c>
      <c r="C13" s="96" t="s">
        <v>235</v>
      </c>
      <c r="D13" s="97" t="s">
        <v>236</v>
      </c>
    </row>
    <row r="14" spans="1:5" x14ac:dyDescent="0.25">
      <c r="A14" s="94" t="s">
        <v>69</v>
      </c>
      <c r="B14" s="94" t="s">
        <v>3</v>
      </c>
      <c r="C14" s="96" t="s">
        <v>237</v>
      </c>
      <c r="D14" s="97" t="s">
        <v>238</v>
      </c>
    </row>
    <row r="15" spans="1:5" x14ac:dyDescent="0.25">
      <c r="A15" s="94" t="s">
        <v>70</v>
      </c>
      <c r="B15" s="94" t="s">
        <v>3</v>
      </c>
      <c r="C15" s="96" t="s">
        <v>239</v>
      </c>
      <c r="D15" s="97" t="s">
        <v>240</v>
      </c>
    </row>
    <row r="16" spans="1:5" x14ac:dyDescent="0.25">
      <c r="A16" s="94" t="s">
        <v>71</v>
      </c>
      <c r="B16" s="94" t="s">
        <v>3</v>
      </c>
      <c r="C16" s="96" t="s">
        <v>241</v>
      </c>
      <c r="D16" s="97" t="s">
        <v>242</v>
      </c>
    </row>
    <row r="17" spans="1:5" x14ac:dyDescent="0.25">
      <c r="A17" s="94" t="s">
        <v>72</v>
      </c>
      <c r="B17" s="94" t="s">
        <v>3</v>
      </c>
      <c r="C17" s="96" t="s">
        <v>243</v>
      </c>
      <c r="D17" s="97" t="s">
        <v>244</v>
      </c>
    </row>
    <row r="18" spans="1:5" x14ac:dyDescent="0.25">
      <c r="A18" s="94" t="s">
        <v>73</v>
      </c>
      <c r="B18" s="94" t="s">
        <v>3</v>
      </c>
      <c r="C18" s="96" t="s">
        <v>245</v>
      </c>
      <c r="D18" s="97" t="s">
        <v>246</v>
      </c>
    </row>
    <row r="19" spans="1:5" customFormat="1" x14ac:dyDescent="0.25">
      <c r="A19" t="s">
        <v>74</v>
      </c>
      <c r="B19" t="s">
        <v>247</v>
      </c>
      <c r="C19" s="1" t="s">
        <v>248</v>
      </c>
      <c r="D19" s="95" t="s">
        <v>249</v>
      </c>
      <c r="E19" t="s">
        <v>250</v>
      </c>
    </row>
    <row r="20" spans="1:5" customFormat="1" x14ac:dyDescent="0.25">
      <c r="A20" t="s">
        <v>75</v>
      </c>
      <c r="B20" t="s">
        <v>5</v>
      </c>
      <c r="C20" s="1" t="s">
        <v>251</v>
      </c>
      <c r="D20" s="95" t="s">
        <v>252</v>
      </c>
    </row>
    <row r="21" spans="1:5" x14ac:dyDescent="0.25">
      <c r="A21" s="94" t="s">
        <v>76</v>
      </c>
      <c r="B21" s="94" t="s">
        <v>3</v>
      </c>
      <c r="C21" s="96" t="s">
        <v>253</v>
      </c>
      <c r="D21" s="97" t="s">
        <v>254</v>
      </c>
    </row>
    <row r="22" spans="1:5" x14ac:dyDescent="0.25">
      <c r="A22" s="94" t="s">
        <v>77</v>
      </c>
      <c r="B22" s="94" t="s">
        <v>3</v>
      </c>
      <c r="C22" s="96" t="s">
        <v>255</v>
      </c>
      <c r="D22" s="97" t="s">
        <v>256</v>
      </c>
    </row>
    <row r="23" spans="1:5" x14ac:dyDescent="0.25">
      <c r="A23" s="94" t="s">
        <v>78</v>
      </c>
      <c r="B23" s="94" t="s">
        <v>3</v>
      </c>
      <c r="C23" s="96" t="s">
        <v>257</v>
      </c>
      <c r="D23" s="97" t="s">
        <v>258</v>
      </c>
    </row>
    <row r="24" spans="1:5" x14ac:dyDescent="0.25">
      <c r="A24" s="94" t="s">
        <v>79</v>
      </c>
      <c r="B24" s="94" t="s">
        <v>3</v>
      </c>
      <c r="C24" s="96" t="s">
        <v>259</v>
      </c>
      <c r="D24" s="97" t="s">
        <v>260</v>
      </c>
    </row>
    <row r="25" spans="1:5" customFormat="1" x14ac:dyDescent="0.25">
      <c r="A25" t="s">
        <v>80</v>
      </c>
      <c r="B25" t="s">
        <v>42</v>
      </c>
      <c r="C25" s="1" t="s">
        <v>261</v>
      </c>
      <c r="D25" s="95" t="s">
        <v>262</v>
      </c>
      <c r="E25" t="s">
        <v>263</v>
      </c>
    </row>
    <row r="26" spans="1:5" x14ac:dyDescent="0.25">
      <c r="A26" s="94" t="s">
        <v>81</v>
      </c>
      <c r="B26" s="94" t="s">
        <v>3</v>
      </c>
      <c r="C26" s="96" t="s">
        <v>264</v>
      </c>
      <c r="D26" s="97" t="s">
        <v>265</v>
      </c>
    </row>
    <row r="27" spans="1:5" x14ac:dyDescent="0.25">
      <c r="A27" s="94" t="s">
        <v>82</v>
      </c>
      <c r="B27" s="94" t="s">
        <v>3</v>
      </c>
      <c r="C27" s="96" t="s">
        <v>266</v>
      </c>
      <c r="D27" s="97" t="s">
        <v>267</v>
      </c>
    </row>
    <row r="28" spans="1:5" x14ac:dyDescent="0.25">
      <c r="A28" s="94" t="s">
        <v>83</v>
      </c>
      <c r="B28" s="94" t="s">
        <v>3</v>
      </c>
      <c r="C28" s="96" t="s">
        <v>268</v>
      </c>
      <c r="D28" s="97" t="s">
        <v>269</v>
      </c>
    </row>
    <row r="29" spans="1:5" x14ac:dyDescent="0.25">
      <c r="A29" s="94" t="s">
        <v>84</v>
      </c>
      <c r="B29" s="94" t="s">
        <v>3</v>
      </c>
      <c r="C29" s="96" t="s">
        <v>270</v>
      </c>
      <c r="D29" s="97" t="s">
        <v>271</v>
      </c>
    </row>
    <row r="30" spans="1:5" x14ac:dyDescent="0.25">
      <c r="A30" s="94" t="s">
        <v>85</v>
      </c>
      <c r="B30" s="94" t="s">
        <v>3</v>
      </c>
      <c r="C30" s="96" t="s">
        <v>272</v>
      </c>
      <c r="D30" s="97" t="s">
        <v>273</v>
      </c>
    </row>
    <row r="31" spans="1:5" x14ac:dyDescent="0.25">
      <c r="A31" s="94" t="s">
        <v>86</v>
      </c>
      <c r="B31" s="94" t="s">
        <v>3</v>
      </c>
      <c r="C31" s="96" t="s">
        <v>274</v>
      </c>
      <c r="D31" s="97" t="s">
        <v>275</v>
      </c>
    </row>
    <row r="32" spans="1:5" x14ac:dyDescent="0.25">
      <c r="A32" s="94" t="s">
        <v>87</v>
      </c>
      <c r="B32" s="94" t="s">
        <v>3</v>
      </c>
      <c r="C32" s="96" t="s">
        <v>276</v>
      </c>
      <c r="D32" s="97" t="s">
        <v>277</v>
      </c>
    </row>
    <row r="33" spans="1:5" x14ac:dyDescent="0.25">
      <c r="A33" s="94" t="s">
        <v>88</v>
      </c>
      <c r="B33" s="94" t="s">
        <v>3</v>
      </c>
      <c r="C33" s="96" t="s">
        <v>278</v>
      </c>
      <c r="D33" s="97" t="s">
        <v>279</v>
      </c>
    </row>
    <row r="34" spans="1:5" customFormat="1" x14ac:dyDescent="0.25">
      <c r="A34" t="s">
        <v>89</v>
      </c>
      <c r="B34" t="s">
        <v>5</v>
      </c>
      <c r="C34" s="1" t="s">
        <v>280</v>
      </c>
      <c r="D34" s="95" t="s">
        <v>281</v>
      </c>
    </row>
    <row r="35" spans="1:5" x14ac:dyDescent="0.25">
      <c r="A35" s="94" t="s">
        <v>90</v>
      </c>
      <c r="B35" s="94" t="s">
        <v>3</v>
      </c>
      <c r="C35" s="96" t="s">
        <v>282</v>
      </c>
      <c r="D35" s="97" t="s">
        <v>283</v>
      </c>
    </row>
    <row r="36" spans="1:5" x14ac:dyDescent="0.25">
      <c r="A36" s="94" t="s">
        <v>91</v>
      </c>
      <c r="B36" s="94" t="s">
        <v>3</v>
      </c>
      <c r="C36" s="96" t="s">
        <v>284</v>
      </c>
      <c r="D36" s="97" t="s">
        <v>285</v>
      </c>
    </row>
    <row r="37" spans="1:5" x14ac:dyDescent="0.25">
      <c r="A37" s="94" t="s">
        <v>92</v>
      </c>
      <c r="B37" s="94" t="s">
        <v>3</v>
      </c>
      <c r="C37" s="96" t="s">
        <v>286</v>
      </c>
      <c r="D37" s="97" t="s">
        <v>287</v>
      </c>
    </row>
    <row r="38" spans="1:5" customFormat="1" x14ac:dyDescent="0.25">
      <c r="A38" t="s">
        <v>93</v>
      </c>
      <c r="B38" t="s">
        <v>247</v>
      </c>
      <c r="C38" s="1" t="s">
        <v>288</v>
      </c>
      <c r="D38" s="95" t="s">
        <v>289</v>
      </c>
      <c r="E38" t="s">
        <v>250</v>
      </c>
    </row>
    <row r="39" spans="1:5" customFormat="1" x14ac:dyDescent="0.25">
      <c r="A39" t="s">
        <v>94</v>
      </c>
      <c r="B39" t="s">
        <v>5</v>
      </c>
      <c r="C39" s="1" t="s">
        <v>290</v>
      </c>
      <c r="D39" s="95" t="s">
        <v>291</v>
      </c>
    </row>
    <row r="40" spans="1:5" x14ac:dyDescent="0.25">
      <c r="A40" s="94" t="s">
        <v>95</v>
      </c>
      <c r="B40" s="94" t="s">
        <v>292</v>
      </c>
      <c r="C40" s="96" t="s">
        <v>293</v>
      </c>
      <c r="D40" s="97" t="s">
        <v>294</v>
      </c>
    </row>
    <row r="41" spans="1:5" x14ac:dyDescent="0.25">
      <c r="A41" s="94" t="s">
        <v>96</v>
      </c>
      <c r="B41" s="94" t="s">
        <v>292</v>
      </c>
      <c r="C41" s="96" t="s">
        <v>295</v>
      </c>
      <c r="D41" s="97" t="s">
        <v>296</v>
      </c>
    </row>
    <row r="42" spans="1:5" x14ac:dyDescent="0.25">
      <c r="A42" s="94" t="s">
        <v>97</v>
      </c>
      <c r="B42" s="94" t="s">
        <v>292</v>
      </c>
      <c r="C42" s="96" t="s">
        <v>297</v>
      </c>
      <c r="D42" s="97" t="s">
        <v>298</v>
      </c>
    </row>
    <row r="43" spans="1:5" x14ac:dyDescent="0.25">
      <c r="A43" s="94" t="s">
        <v>98</v>
      </c>
      <c r="B43" s="94" t="s">
        <v>292</v>
      </c>
      <c r="C43" s="96" t="s">
        <v>299</v>
      </c>
      <c r="D43" s="97" t="s">
        <v>300</v>
      </c>
    </row>
    <row r="44" spans="1:5" x14ac:dyDescent="0.25">
      <c r="A44" s="94" t="s">
        <v>99</v>
      </c>
      <c r="B44" s="94" t="s">
        <v>292</v>
      </c>
      <c r="C44" s="96" t="s">
        <v>301</v>
      </c>
      <c r="D44" s="97" t="s">
        <v>302</v>
      </c>
    </row>
    <row r="45" spans="1:5" x14ac:dyDescent="0.25">
      <c r="A45" s="94" t="s">
        <v>100</v>
      </c>
      <c r="B45" s="94" t="s">
        <v>292</v>
      </c>
      <c r="C45" s="96" t="s">
        <v>303</v>
      </c>
      <c r="D45" s="97" t="s">
        <v>304</v>
      </c>
    </row>
    <row r="46" spans="1:5" x14ac:dyDescent="0.25">
      <c r="A46" s="94" t="s">
        <v>101</v>
      </c>
      <c r="B46" s="94" t="s">
        <v>292</v>
      </c>
      <c r="C46" s="96" t="s">
        <v>305</v>
      </c>
      <c r="D46" s="97" t="s">
        <v>306</v>
      </c>
    </row>
    <row r="47" spans="1:5" x14ac:dyDescent="0.25">
      <c r="A47" s="94" t="s">
        <v>102</v>
      </c>
      <c r="B47" s="94" t="s">
        <v>292</v>
      </c>
      <c r="C47" s="96" t="s">
        <v>307</v>
      </c>
      <c r="D47" s="97" t="s">
        <v>308</v>
      </c>
    </row>
    <row r="48" spans="1:5" x14ac:dyDescent="0.25">
      <c r="A48" s="94" t="s">
        <v>103</v>
      </c>
      <c r="B48" s="94" t="s">
        <v>292</v>
      </c>
      <c r="C48" s="96" t="s">
        <v>309</v>
      </c>
      <c r="D48" s="97" t="s">
        <v>310</v>
      </c>
    </row>
    <row r="49" spans="1:5" x14ac:dyDescent="0.25">
      <c r="A49" s="94" t="s">
        <v>104</v>
      </c>
      <c r="B49" s="94" t="s">
        <v>292</v>
      </c>
      <c r="C49" s="96" t="s">
        <v>311</v>
      </c>
      <c r="D49" s="97" t="s">
        <v>312</v>
      </c>
    </row>
    <row r="50" spans="1:5" customFormat="1" x14ac:dyDescent="0.25">
      <c r="A50" t="s">
        <v>105</v>
      </c>
      <c r="B50" t="s">
        <v>247</v>
      </c>
      <c r="C50" s="1" t="s">
        <v>313</v>
      </c>
      <c r="D50" s="95" t="s">
        <v>314</v>
      </c>
      <c r="E50" t="s">
        <v>250</v>
      </c>
    </row>
    <row r="51" spans="1:5" customFormat="1" x14ac:dyDescent="0.25">
      <c r="A51" t="s">
        <v>106</v>
      </c>
      <c r="B51" t="s">
        <v>5</v>
      </c>
      <c r="C51" s="1" t="s">
        <v>315</v>
      </c>
      <c r="D51" s="95" t="s">
        <v>316</v>
      </c>
    </row>
    <row r="52" spans="1:5" customFormat="1" x14ac:dyDescent="0.25">
      <c r="A52" t="s">
        <v>107</v>
      </c>
      <c r="B52" t="s">
        <v>5</v>
      </c>
      <c r="C52" s="1" t="s">
        <v>317</v>
      </c>
      <c r="D52" s="95" t="s">
        <v>318</v>
      </c>
    </row>
    <row r="53" spans="1:5" x14ac:dyDescent="0.25">
      <c r="A53" s="94" t="s">
        <v>108</v>
      </c>
      <c r="B53" s="94" t="s">
        <v>292</v>
      </c>
      <c r="C53" s="96" t="s">
        <v>319</v>
      </c>
      <c r="D53" s="97" t="s">
        <v>320</v>
      </c>
    </row>
    <row r="54" spans="1:5" x14ac:dyDescent="0.25">
      <c r="A54" s="94" t="s">
        <v>109</v>
      </c>
      <c r="B54" s="94" t="s">
        <v>292</v>
      </c>
      <c r="C54" s="96" t="s">
        <v>321</v>
      </c>
      <c r="D54" s="97" t="s">
        <v>322</v>
      </c>
    </row>
    <row r="55" spans="1:5" x14ac:dyDescent="0.25">
      <c r="A55" s="94" t="s">
        <v>110</v>
      </c>
      <c r="B55" s="94" t="s">
        <v>292</v>
      </c>
      <c r="C55" s="96" t="s">
        <v>323</v>
      </c>
      <c r="D55" s="97" t="s">
        <v>324</v>
      </c>
    </row>
    <row r="56" spans="1:5" x14ac:dyDescent="0.25">
      <c r="A56" s="94" t="s">
        <v>111</v>
      </c>
      <c r="B56" s="94" t="s">
        <v>292</v>
      </c>
      <c r="C56" s="96" t="s">
        <v>325</v>
      </c>
      <c r="D56" s="97" t="s">
        <v>326</v>
      </c>
    </row>
    <row r="57" spans="1:5" x14ac:dyDescent="0.25">
      <c r="A57" s="94" t="s">
        <v>112</v>
      </c>
      <c r="B57" s="94" t="s">
        <v>292</v>
      </c>
      <c r="C57" s="96" t="s">
        <v>327</v>
      </c>
      <c r="D57" s="97" t="s">
        <v>328</v>
      </c>
    </row>
    <row r="58" spans="1:5" x14ac:dyDescent="0.25">
      <c r="A58" s="94" t="s">
        <v>113</v>
      </c>
      <c r="B58" s="94" t="s">
        <v>292</v>
      </c>
      <c r="C58" s="96" t="s">
        <v>329</v>
      </c>
      <c r="D58" s="97" t="s">
        <v>330</v>
      </c>
    </row>
    <row r="59" spans="1:5" x14ac:dyDescent="0.25">
      <c r="A59" s="94" t="s">
        <v>114</v>
      </c>
      <c r="B59" s="94" t="s">
        <v>292</v>
      </c>
      <c r="C59" s="96" t="s">
        <v>331</v>
      </c>
      <c r="D59" s="97" t="s">
        <v>332</v>
      </c>
    </row>
    <row r="60" spans="1:5" x14ac:dyDescent="0.25">
      <c r="A60" s="94" t="s">
        <v>115</v>
      </c>
      <c r="B60" s="94" t="s">
        <v>292</v>
      </c>
      <c r="C60" s="96" t="s">
        <v>333</v>
      </c>
      <c r="D60" s="97" t="s">
        <v>334</v>
      </c>
    </row>
    <row r="61" spans="1:5" x14ac:dyDescent="0.25">
      <c r="A61" s="94" t="s">
        <v>116</v>
      </c>
      <c r="B61" s="94" t="s">
        <v>292</v>
      </c>
      <c r="C61" s="96" t="s">
        <v>335</v>
      </c>
      <c r="D61" s="97" t="s">
        <v>336</v>
      </c>
    </row>
    <row r="62" spans="1:5" x14ac:dyDescent="0.25">
      <c r="A62" s="94" t="s">
        <v>117</v>
      </c>
      <c r="B62" s="94" t="s">
        <v>292</v>
      </c>
      <c r="C62" s="96" t="s">
        <v>337</v>
      </c>
      <c r="D62" s="97" t="s">
        <v>338</v>
      </c>
    </row>
    <row r="63" spans="1:5" x14ac:dyDescent="0.25">
      <c r="A63" s="94" t="s">
        <v>118</v>
      </c>
      <c r="B63" s="94" t="s">
        <v>292</v>
      </c>
      <c r="C63" s="96" t="s">
        <v>339</v>
      </c>
      <c r="D63" s="97" t="s">
        <v>340</v>
      </c>
    </row>
    <row r="64" spans="1:5" x14ac:dyDescent="0.25">
      <c r="A64" s="94" t="s">
        <v>119</v>
      </c>
      <c r="B64" s="94" t="s">
        <v>292</v>
      </c>
      <c r="C64" s="96" t="s">
        <v>341</v>
      </c>
      <c r="D64" s="97" t="s">
        <v>342</v>
      </c>
    </row>
    <row r="65" spans="1:5" x14ac:dyDescent="0.25">
      <c r="A65" s="94" t="s">
        <v>120</v>
      </c>
      <c r="B65" s="94" t="s">
        <v>292</v>
      </c>
      <c r="C65" s="96" t="s">
        <v>343</v>
      </c>
      <c r="D65" s="97" t="s">
        <v>344</v>
      </c>
    </row>
    <row r="66" spans="1:5" x14ac:dyDescent="0.25">
      <c r="A66" s="94" t="s">
        <v>121</v>
      </c>
      <c r="B66" s="94" t="s">
        <v>292</v>
      </c>
      <c r="C66" s="96" t="s">
        <v>345</v>
      </c>
      <c r="D66" s="97" t="s">
        <v>346</v>
      </c>
    </row>
    <row r="67" spans="1:5" x14ac:dyDescent="0.25">
      <c r="A67" s="94" t="s">
        <v>122</v>
      </c>
      <c r="B67" s="94" t="s">
        <v>292</v>
      </c>
      <c r="C67" s="96" t="s">
        <v>347</v>
      </c>
      <c r="D67" s="97" t="s">
        <v>348</v>
      </c>
    </row>
    <row r="68" spans="1:5" x14ac:dyDescent="0.25">
      <c r="A68" s="94" t="s">
        <v>123</v>
      </c>
      <c r="B68" s="94" t="s">
        <v>292</v>
      </c>
      <c r="C68" s="96" t="s">
        <v>349</v>
      </c>
      <c r="D68" s="97" t="s">
        <v>350</v>
      </c>
    </row>
    <row r="69" spans="1:5" x14ac:dyDescent="0.25">
      <c r="A69" s="94" t="s">
        <v>124</v>
      </c>
      <c r="B69" s="94" t="s">
        <v>292</v>
      </c>
      <c r="C69" s="96" t="s">
        <v>351</v>
      </c>
      <c r="D69" s="97" t="s">
        <v>352</v>
      </c>
    </row>
    <row r="70" spans="1:5" x14ac:dyDescent="0.25">
      <c r="A70" s="94" t="s">
        <v>125</v>
      </c>
      <c r="B70" s="94" t="s">
        <v>292</v>
      </c>
      <c r="C70" s="96" t="s">
        <v>353</v>
      </c>
      <c r="D70" s="97" t="s">
        <v>354</v>
      </c>
    </row>
    <row r="71" spans="1:5" customFormat="1" x14ac:dyDescent="0.25">
      <c r="A71" t="s">
        <v>126</v>
      </c>
      <c r="B71" t="s">
        <v>247</v>
      </c>
      <c r="C71" s="1" t="s">
        <v>355</v>
      </c>
      <c r="D71" s="95" t="s">
        <v>356</v>
      </c>
      <c r="E71" t="s">
        <v>250</v>
      </c>
    </row>
    <row r="72" spans="1:5" x14ac:dyDescent="0.25">
      <c r="A72" s="94" t="s">
        <v>127</v>
      </c>
      <c r="B72" s="94" t="s">
        <v>7</v>
      </c>
      <c r="C72" s="96" t="s">
        <v>357</v>
      </c>
      <c r="D72" s="97" t="s">
        <v>358</v>
      </c>
    </row>
    <row r="73" spans="1:5" x14ac:dyDescent="0.25">
      <c r="A73" s="94" t="s">
        <v>128</v>
      </c>
      <c r="B73" s="94" t="s">
        <v>7</v>
      </c>
      <c r="C73" s="96" t="s">
        <v>359</v>
      </c>
      <c r="D73" s="97" t="s">
        <v>360</v>
      </c>
    </row>
    <row r="74" spans="1:5" x14ac:dyDescent="0.25">
      <c r="A74" s="94" t="s">
        <v>129</v>
      </c>
      <c r="B74" s="94" t="s">
        <v>7</v>
      </c>
      <c r="C74" s="96" t="s">
        <v>361</v>
      </c>
      <c r="D74" s="97" t="s">
        <v>362</v>
      </c>
    </row>
    <row r="75" spans="1:5" x14ac:dyDescent="0.25">
      <c r="A75" s="94" t="s">
        <v>130</v>
      </c>
      <c r="B75" s="94" t="s">
        <v>7</v>
      </c>
      <c r="C75" s="96" t="s">
        <v>363</v>
      </c>
      <c r="D75" s="97" t="s">
        <v>364</v>
      </c>
    </row>
    <row r="76" spans="1:5" x14ac:dyDescent="0.25">
      <c r="A76" s="94" t="s">
        <v>131</v>
      </c>
      <c r="B76" s="94" t="s">
        <v>7</v>
      </c>
      <c r="C76" s="96" t="s">
        <v>365</v>
      </c>
      <c r="D76" s="97" t="s">
        <v>366</v>
      </c>
    </row>
    <row r="77" spans="1:5" x14ac:dyDescent="0.25">
      <c r="A77" s="94" t="s">
        <v>132</v>
      </c>
      <c r="B77" s="94" t="s">
        <v>7</v>
      </c>
      <c r="C77" s="96" t="s">
        <v>367</v>
      </c>
      <c r="D77" s="97" t="s">
        <v>368</v>
      </c>
    </row>
    <row r="78" spans="1:5" x14ac:dyDescent="0.25">
      <c r="A78" s="94" t="s">
        <v>133</v>
      </c>
      <c r="B78" s="94" t="s">
        <v>7</v>
      </c>
      <c r="C78" s="96" t="s">
        <v>369</v>
      </c>
      <c r="D78" s="97" t="s">
        <v>370</v>
      </c>
    </row>
    <row r="79" spans="1:5" customFormat="1" x14ac:dyDescent="0.25">
      <c r="A79" t="s">
        <v>134</v>
      </c>
      <c r="B79" t="s">
        <v>247</v>
      </c>
      <c r="C79" s="1" t="s">
        <v>371</v>
      </c>
      <c r="D79" s="95" t="s">
        <v>372</v>
      </c>
      <c r="E79" t="s">
        <v>250</v>
      </c>
    </row>
    <row r="80" spans="1:5" customFormat="1" x14ac:dyDescent="0.25">
      <c r="A80" t="s">
        <v>135</v>
      </c>
      <c r="B80" t="s">
        <v>9</v>
      </c>
      <c r="C80" s="1" t="s">
        <v>373</v>
      </c>
      <c r="D80" s="95" t="s">
        <v>374</v>
      </c>
      <c r="E80" t="s">
        <v>375</v>
      </c>
    </row>
    <row r="81" spans="1:5" customFormat="1" x14ac:dyDescent="0.25">
      <c r="A81" t="s">
        <v>136</v>
      </c>
      <c r="B81" t="s">
        <v>247</v>
      </c>
      <c r="C81" s="1" t="s">
        <v>376</v>
      </c>
      <c r="D81" s="95" t="s">
        <v>377</v>
      </c>
      <c r="E81" t="s">
        <v>250</v>
      </c>
    </row>
    <row r="82" spans="1:5" customFormat="1" x14ac:dyDescent="0.25">
      <c r="A82" t="s">
        <v>137</v>
      </c>
      <c r="B82" t="s">
        <v>5</v>
      </c>
      <c r="C82" s="1" t="s">
        <v>378</v>
      </c>
      <c r="D82" s="95" t="s">
        <v>379</v>
      </c>
    </row>
    <row r="83" spans="1:5" customFormat="1" x14ac:dyDescent="0.25">
      <c r="A83" t="s">
        <v>138</v>
      </c>
      <c r="B83" t="s">
        <v>247</v>
      </c>
      <c r="C83" s="1" t="s">
        <v>380</v>
      </c>
      <c r="D83" s="95" t="s">
        <v>381</v>
      </c>
      <c r="E83" t="s">
        <v>250</v>
      </c>
    </row>
    <row r="84" spans="1:5" customFormat="1" x14ac:dyDescent="0.25">
      <c r="A84" t="s">
        <v>139</v>
      </c>
      <c r="B84" t="s">
        <v>247</v>
      </c>
      <c r="C84" s="1" t="s">
        <v>382</v>
      </c>
      <c r="D84" s="95" t="s">
        <v>383</v>
      </c>
      <c r="E84" t="s">
        <v>250</v>
      </c>
    </row>
    <row r="85" spans="1:5" customFormat="1" x14ac:dyDescent="0.25">
      <c r="A85" t="s">
        <v>140</v>
      </c>
      <c r="B85" t="s">
        <v>247</v>
      </c>
      <c r="C85" s="1" t="s">
        <v>384</v>
      </c>
      <c r="D85" s="95" t="s">
        <v>385</v>
      </c>
      <c r="E85" t="s">
        <v>250</v>
      </c>
    </row>
    <row r="86" spans="1:5" customFormat="1" x14ac:dyDescent="0.25">
      <c r="A86" t="s">
        <v>141</v>
      </c>
      <c r="B86" t="s">
        <v>5</v>
      </c>
      <c r="C86" s="1" t="s">
        <v>386</v>
      </c>
      <c r="D86" s="95" t="s">
        <v>387</v>
      </c>
    </row>
    <row r="87" spans="1:5" x14ac:dyDescent="0.25">
      <c r="A87" s="94" t="s">
        <v>142</v>
      </c>
      <c r="B87" s="94" t="s">
        <v>3</v>
      </c>
      <c r="C87" s="96" t="s">
        <v>388</v>
      </c>
      <c r="D87" s="97" t="s">
        <v>389</v>
      </c>
    </row>
    <row r="88" spans="1:5" x14ac:dyDescent="0.25">
      <c r="A88" s="94" t="s">
        <v>143</v>
      </c>
      <c r="B88" s="94" t="s">
        <v>3</v>
      </c>
      <c r="C88" s="96" t="s">
        <v>390</v>
      </c>
      <c r="D88" s="97" t="s">
        <v>391</v>
      </c>
    </row>
    <row r="89" spans="1:5" x14ac:dyDescent="0.25">
      <c r="A89" s="94" t="s">
        <v>144</v>
      </c>
      <c r="B89" s="94" t="s">
        <v>3</v>
      </c>
      <c r="C89" s="96" t="s">
        <v>392</v>
      </c>
      <c r="D89" s="97" t="s">
        <v>393</v>
      </c>
    </row>
    <row r="90" spans="1:5" x14ac:dyDescent="0.25">
      <c r="A90" s="94" t="s">
        <v>145</v>
      </c>
      <c r="B90" s="94" t="s">
        <v>3</v>
      </c>
      <c r="C90" s="96" t="s">
        <v>394</v>
      </c>
      <c r="D90" s="97" t="s">
        <v>395</v>
      </c>
    </row>
    <row r="91" spans="1:5" x14ac:dyDescent="0.25">
      <c r="A91" s="94" t="s">
        <v>146</v>
      </c>
      <c r="B91" s="94" t="s">
        <v>3</v>
      </c>
      <c r="C91" s="96" t="s">
        <v>396</v>
      </c>
      <c r="D91" s="97" t="s">
        <v>397</v>
      </c>
    </row>
    <row r="92" spans="1:5" x14ac:dyDescent="0.25">
      <c r="A92" s="94" t="s">
        <v>147</v>
      </c>
      <c r="B92" s="94" t="s">
        <v>3</v>
      </c>
      <c r="C92" s="96" t="s">
        <v>398</v>
      </c>
      <c r="D92" s="97" t="s">
        <v>399</v>
      </c>
    </row>
    <row r="93" spans="1:5" x14ac:dyDescent="0.25">
      <c r="A93" s="94" t="s">
        <v>148</v>
      </c>
      <c r="B93" s="94" t="s">
        <v>3</v>
      </c>
      <c r="C93" s="96" t="s">
        <v>400</v>
      </c>
      <c r="D93" s="97" t="s">
        <v>401</v>
      </c>
    </row>
    <row r="94" spans="1:5" x14ac:dyDescent="0.25">
      <c r="A94" s="94" t="s">
        <v>149</v>
      </c>
      <c r="B94" s="94" t="s">
        <v>3</v>
      </c>
      <c r="C94" s="96" t="s">
        <v>402</v>
      </c>
      <c r="D94" s="97" t="s">
        <v>403</v>
      </c>
    </row>
    <row r="95" spans="1:5" x14ac:dyDescent="0.25">
      <c r="A95" s="94" t="s">
        <v>150</v>
      </c>
      <c r="B95" s="94" t="s">
        <v>3</v>
      </c>
      <c r="C95" s="96" t="s">
        <v>404</v>
      </c>
      <c r="D95" s="97" t="s">
        <v>405</v>
      </c>
    </row>
    <row r="96" spans="1:5" x14ac:dyDescent="0.25">
      <c r="A96" s="94" t="s">
        <v>151</v>
      </c>
      <c r="B96" s="94" t="s">
        <v>3</v>
      </c>
      <c r="C96" s="96" t="s">
        <v>406</v>
      </c>
      <c r="D96" s="97" t="s">
        <v>407</v>
      </c>
    </row>
    <row r="97" spans="1:4" x14ac:dyDescent="0.25">
      <c r="A97" s="94" t="s">
        <v>152</v>
      </c>
      <c r="B97" s="94" t="s">
        <v>3</v>
      </c>
      <c r="C97" s="96" t="s">
        <v>408</v>
      </c>
      <c r="D97" s="97" t="s">
        <v>409</v>
      </c>
    </row>
    <row r="98" spans="1:4" x14ac:dyDescent="0.25">
      <c r="A98" s="94" t="s">
        <v>153</v>
      </c>
      <c r="B98" s="94" t="s">
        <v>3</v>
      </c>
      <c r="C98" s="96" t="s">
        <v>410</v>
      </c>
      <c r="D98" s="97" t="s">
        <v>411</v>
      </c>
    </row>
    <row r="99" spans="1:4" x14ac:dyDescent="0.25">
      <c r="A99" s="94" t="s">
        <v>154</v>
      </c>
      <c r="B99" s="94" t="s">
        <v>3</v>
      </c>
      <c r="C99" s="96" t="s">
        <v>412</v>
      </c>
      <c r="D99" s="97" t="s">
        <v>413</v>
      </c>
    </row>
    <row r="100" spans="1:4" x14ac:dyDescent="0.25">
      <c r="A100" s="94" t="s">
        <v>155</v>
      </c>
      <c r="B100" s="94" t="s">
        <v>3</v>
      </c>
      <c r="C100" s="96" t="s">
        <v>414</v>
      </c>
      <c r="D100" s="97" t="s">
        <v>415</v>
      </c>
    </row>
    <row r="101" spans="1:4" x14ac:dyDescent="0.25">
      <c r="A101" s="94" t="s">
        <v>156</v>
      </c>
      <c r="B101" s="94" t="s">
        <v>3</v>
      </c>
      <c r="C101" s="96" t="s">
        <v>416</v>
      </c>
      <c r="D101" s="97" t="s">
        <v>417</v>
      </c>
    </row>
    <row r="102" spans="1:4" x14ac:dyDescent="0.25">
      <c r="A102" s="94" t="s">
        <v>157</v>
      </c>
      <c r="B102" s="94" t="s">
        <v>3</v>
      </c>
      <c r="C102" s="96" t="s">
        <v>418</v>
      </c>
      <c r="D102" s="97" t="s">
        <v>419</v>
      </c>
    </row>
    <row r="103" spans="1:4" x14ac:dyDescent="0.25">
      <c r="A103" s="94" t="s">
        <v>158</v>
      </c>
      <c r="B103" s="94" t="s">
        <v>3</v>
      </c>
      <c r="C103" s="96" t="s">
        <v>420</v>
      </c>
      <c r="D103" s="97" t="s">
        <v>421</v>
      </c>
    </row>
    <row r="104" spans="1:4" x14ac:dyDescent="0.25">
      <c r="A104" s="94" t="s">
        <v>159</v>
      </c>
      <c r="B104" s="94" t="s">
        <v>3</v>
      </c>
      <c r="C104" s="96" t="s">
        <v>422</v>
      </c>
      <c r="D104" s="97" t="s">
        <v>423</v>
      </c>
    </row>
    <row r="105" spans="1:4" x14ac:dyDescent="0.25">
      <c r="A105" s="94" t="s">
        <v>160</v>
      </c>
      <c r="B105" s="94" t="s">
        <v>3</v>
      </c>
      <c r="C105" s="96" t="s">
        <v>424</v>
      </c>
      <c r="D105" s="97" t="s">
        <v>425</v>
      </c>
    </row>
    <row r="106" spans="1:4" x14ac:dyDescent="0.25">
      <c r="A106" s="94" t="s">
        <v>161</v>
      </c>
      <c r="B106" s="94" t="s">
        <v>3</v>
      </c>
      <c r="C106" s="96" t="s">
        <v>426</v>
      </c>
      <c r="D106" s="97" t="s">
        <v>427</v>
      </c>
    </row>
    <row r="107" spans="1:4" x14ac:dyDescent="0.25">
      <c r="A107" s="94" t="s">
        <v>162</v>
      </c>
      <c r="B107" s="94" t="s">
        <v>3</v>
      </c>
      <c r="C107" s="96" t="s">
        <v>428</v>
      </c>
      <c r="D107" s="97" t="s">
        <v>429</v>
      </c>
    </row>
    <row r="108" spans="1:4" x14ac:dyDescent="0.25">
      <c r="A108" s="94" t="s">
        <v>163</v>
      </c>
      <c r="B108" s="94" t="s">
        <v>3</v>
      </c>
      <c r="C108" s="96" t="s">
        <v>430</v>
      </c>
      <c r="D108" s="97" t="s">
        <v>431</v>
      </c>
    </row>
    <row r="109" spans="1:4" x14ac:dyDescent="0.25">
      <c r="A109" s="94" t="s">
        <v>164</v>
      </c>
      <c r="B109" s="94" t="s">
        <v>3</v>
      </c>
      <c r="C109" s="96" t="s">
        <v>432</v>
      </c>
      <c r="D109" s="97" t="s">
        <v>433</v>
      </c>
    </row>
    <row r="110" spans="1:4" x14ac:dyDescent="0.25">
      <c r="A110" s="94" t="s">
        <v>165</v>
      </c>
      <c r="B110" s="94" t="s">
        <v>3</v>
      </c>
      <c r="C110" s="96" t="s">
        <v>434</v>
      </c>
      <c r="D110" s="97" t="s">
        <v>435</v>
      </c>
    </row>
    <row r="111" spans="1:4" x14ac:dyDescent="0.25">
      <c r="A111" s="94" t="s">
        <v>166</v>
      </c>
      <c r="B111" s="94" t="s">
        <v>3</v>
      </c>
      <c r="C111" s="96" t="s">
        <v>436</v>
      </c>
      <c r="D111" s="97" t="s">
        <v>437</v>
      </c>
    </row>
    <row r="112" spans="1:4" x14ac:dyDescent="0.25">
      <c r="A112" s="94" t="s">
        <v>167</v>
      </c>
      <c r="B112" s="94" t="s">
        <v>3</v>
      </c>
      <c r="C112" s="96" t="s">
        <v>438</v>
      </c>
      <c r="D112" s="97" t="s">
        <v>439</v>
      </c>
    </row>
    <row r="113" spans="1:5" x14ac:dyDescent="0.25">
      <c r="A113" s="94" t="s">
        <v>168</v>
      </c>
      <c r="B113" s="94" t="s">
        <v>3</v>
      </c>
      <c r="C113" s="96" t="s">
        <v>440</v>
      </c>
      <c r="D113" s="97" t="s">
        <v>441</v>
      </c>
    </row>
    <row r="114" spans="1:5" customFormat="1" x14ac:dyDescent="0.25">
      <c r="A114" t="s">
        <v>169</v>
      </c>
      <c r="B114" t="s">
        <v>247</v>
      </c>
      <c r="C114" s="1" t="s">
        <v>442</v>
      </c>
      <c r="D114" s="95" t="s">
        <v>443</v>
      </c>
      <c r="E114" t="s">
        <v>250</v>
      </c>
    </row>
    <row r="115" spans="1:5" customFormat="1" x14ac:dyDescent="0.25">
      <c r="A115" t="s">
        <v>170</v>
      </c>
      <c r="B115" t="s">
        <v>5</v>
      </c>
      <c r="C115" s="1" t="s">
        <v>444</v>
      </c>
      <c r="D115" s="95" t="s">
        <v>445</v>
      </c>
    </row>
    <row r="116" spans="1:5" x14ac:dyDescent="0.25">
      <c r="A116" s="94" t="s">
        <v>171</v>
      </c>
      <c r="B116" s="94" t="s">
        <v>3</v>
      </c>
      <c r="C116" s="96" t="s">
        <v>446</v>
      </c>
      <c r="D116" s="97" t="s">
        <v>447</v>
      </c>
    </row>
    <row r="117" spans="1:5" x14ac:dyDescent="0.25">
      <c r="A117" s="94" t="s">
        <v>172</v>
      </c>
      <c r="B117" s="94" t="s">
        <v>3</v>
      </c>
      <c r="C117" s="96" t="s">
        <v>448</v>
      </c>
      <c r="D117" s="97" t="s">
        <v>449</v>
      </c>
    </row>
    <row r="118" spans="1:5" x14ac:dyDescent="0.25">
      <c r="A118" s="94" t="s">
        <v>173</v>
      </c>
      <c r="B118" s="94" t="s">
        <v>3</v>
      </c>
      <c r="C118" s="96" t="s">
        <v>450</v>
      </c>
      <c r="D118" s="97" t="s">
        <v>451</v>
      </c>
    </row>
    <row r="119" spans="1:5" x14ac:dyDescent="0.25">
      <c r="A119" s="94" t="s">
        <v>174</v>
      </c>
      <c r="B119" s="94" t="s">
        <v>3</v>
      </c>
      <c r="C119" s="96" t="s">
        <v>452</v>
      </c>
      <c r="D119" s="97" t="s">
        <v>453</v>
      </c>
    </row>
    <row r="120" spans="1:5" x14ac:dyDescent="0.25">
      <c r="A120" s="94" t="s">
        <v>175</v>
      </c>
      <c r="B120" s="94" t="s">
        <v>3</v>
      </c>
      <c r="C120" s="96" t="s">
        <v>454</v>
      </c>
      <c r="D120" s="97" t="s">
        <v>455</v>
      </c>
    </row>
    <row r="121" spans="1:5" x14ac:dyDescent="0.25">
      <c r="A121" s="94" t="s">
        <v>176</v>
      </c>
      <c r="B121" s="94" t="s">
        <v>3</v>
      </c>
      <c r="C121" s="96" t="s">
        <v>456</v>
      </c>
      <c r="D121" s="97" t="s">
        <v>457</v>
      </c>
    </row>
    <row r="122" spans="1:5" x14ac:dyDescent="0.25">
      <c r="A122" s="94" t="s">
        <v>177</v>
      </c>
      <c r="B122" s="94" t="s">
        <v>3</v>
      </c>
      <c r="C122" s="96" t="s">
        <v>458</v>
      </c>
      <c r="D122" s="97" t="s">
        <v>459</v>
      </c>
    </row>
    <row r="123" spans="1:5" x14ac:dyDescent="0.25">
      <c r="A123" s="94" t="s">
        <v>178</v>
      </c>
      <c r="B123" s="94" t="s">
        <v>3</v>
      </c>
      <c r="C123" s="96" t="s">
        <v>460</v>
      </c>
      <c r="D123" s="97" t="s">
        <v>461</v>
      </c>
    </row>
    <row r="124" spans="1:5" x14ac:dyDescent="0.25">
      <c r="A124" s="94" t="s">
        <v>179</v>
      </c>
      <c r="B124" s="94" t="s">
        <v>3</v>
      </c>
      <c r="C124" s="96" t="s">
        <v>462</v>
      </c>
      <c r="D124" s="97" t="s">
        <v>463</v>
      </c>
    </row>
    <row r="125" spans="1:5" x14ac:dyDescent="0.25">
      <c r="A125" s="94" t="s">
        <v>180</v>
      </c>
      <c r="B125" s="94" t="s">
        <v>3</v>
      </c>
      <c r="C125" s="96" t="s">
        <v>464</v>
      </c>
      <c r="D125" s="97" t="s">
        <v>465</v>
      </c>
    </row>
    <row r="126" spans="1:5" x14ac:dyDescent="0.25">
      <c r="A126" s="94" t="s">
        <v>181</v>
      </c>
      <c r="B126" s="94" t="s">
        <v>3</v>
      </c>
      <c r="C126" s="96" t="s">
        <v>466</v>
      </c>
      <c r="D126" s="97" t="s">
        <v>467</v>
      </c>
    </row>
    <row r="127" spans="1:5" x14ac:dyDescent="0.25">
      <c r="A127" s="94" t="s">
        <v>182</v>
      </c>
      <c r="B127" s="94" t="s">
        <v>3</v>
      </c>
      <c r="C127" s="96" t="s">
        <v>468</v>
      </c>
      <c r="D127" s="97" t="s">
        <v>469</v>
      </c>
    </row>
    <row r="128" spans="1:5" x14ac:dyDescent="0.25">
      <c r="A128" s="94" t="s">
        <v>183</v>
      </c>
      <c r="B128" s="94" t="s">
        <v>3</v>
      </c>
      <c r="C128" s="96" t="s">
        <v>470</v>
      </c>
      <c r="D128" s="97" t="s">
        <v>471</v>
      </c>
    </row>
    <row r="129" spans="1:5" x14ac:dyDescent="0.25">
      <c r="A129" s="94" t="s">
        <v>184</v>
      </c>
      <c r="B129" s="94" t="s">
        <v>3</v>
      </c>
      <c r="C129" s="96" t="s">
        <v>472</v>
      </c>
      <c r="D129" s="97" t="s">
        <v>473</v>
      </c>
    </row>
    <row r="130" spans="1:5" customFormat="1" x14ac:dyDescent="0.25">
      <c r="A130" t="s">
        <v>185</v>
      </c>
      <c r="B130" t="s">
        <v>247</v>
      </c>
      <c r="C130" s="1" t="s">
        <v>474</v>
      </c>
      <c r="D130" s="95" t="s">
        <v>475</v>
      </c>
      <c r="E130" t="s">
        <v>250</v>
      </c>
    </row>
    <row r="131" spans="1:5" customFormat="1" x14ac:dyDescent="0.25">
      <c r="A131" t="s">
        <v>186</v>
      </c>
      <c r="B131" t="s">
        <v>5</v>
      </c>
      <c r="C131" s="1" t="s">
        <v>476</v>
      </c>
      <c r="D131" s="95" t="s">
        <v>477</v>
      </c>
    </row>
    <row r="132" spans="1:5" x14ac:dyDescent="0.25">
      <c r="A132" s="94" t="s">
        <v>187</v>
      </c>
      <c r="B132" s="94" t="s">
        <v>3</v>
      </c>
      <c r="C132" s="96" t="s">
        <v>478</v>
      </c>
      <c r="D132" s="97" t="s">
        <v>479</v>
      </c>
    </row>
    <row r="133" spans="1:5" x14ac:dyDescent="0.25">
      <c r="A133" s="94" t="s">
        <v>188</v>
      </c>
      <c r="B133" s="94" t="s">
        <v>3</v>
      </c>
      <c r="C133" s="96" t="s">
        <v>480</v>
      </c>
      <c r="D133" s="97" t="s">
        <v>481</v>
      </c>
    </row>
    <row r="134" spans="1:5" x14ac:dyDescent="0.25">
      <c r="A134" s="94" t="s">
        <v>189</v>
      </c>
      <c r="B134" s="94" t="s">
        <v>3</v>
      </c>
      <c r="C134" s="96" t="s">
        <v>482</v>
      </c>
      <c r="D134" s="97" t="s">
        <v>483</v>
      </c>
    </row>
    <row r="135" spans="1:5" x14ac:dyDescent="0.25">
      <c r="A135" s="94" t="s">
        <v>190</v>
      </c>
      <c r="B135" s="94" t="s">
        <v>3</v>
      </c>
      <c r="C135" s="96" t="s">
        <v>484</v>
      </c>
      <c r="D135" s="97" t="s">
        <v>485</v>
      </c>
    </row>
    <row r="136" spans="1:5" x14ac:dyDescent="0.25">
      <c r="A136" s="94" t="s">
        <v>191</v>
      </c>
      <c r="B136" s="94" t="s">
        <v>3</v>
      </c>
      <c r="C136" s="96" t="s">
        <v>486</v>
      </c>
      <c r="D136" s="97" t="s">
        <v>487</v>
      </c>
    </row>
    <row r="137" spans="1:5" x14ac:dyDescent="0.25">
      <c r="A137" s="94" t="s">
        <v>192</v>
      </c>
      <c r="B137" s="94" t="s">
        <v>3</v>
      </c>
      <c r="C137" s="96" t="s">
        <v>488</v>
      </c>
      <c r="D137" s="97" t="s">
        <v>489</v>
      </c>
    </row>
    <row r="138" spans="1:5" customFormat="1" x14ac:dyDescent="0.25">
      <c r="A138" t="s">
        <v>490</v>
      </c>
      <c r="B138" t="s">
        <v>247</v>
      </c>
      <c r="C138" s="1" t="s">
        <v>491</v>
      </c>
      <c r="D138" s="95" t="s">
        <v>492</v>
      </c>
      <c r="E138" t="s">
        <v>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493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0</v>
      </c>
      <c r="E10" s="4">
        <f>COUNTIF(Resp4[4.25],B10)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COUNTIFS(Resp4[Vínculo],"tecnico",Resp4[4.25],B12)</f>
        <v>0</v>
      </c>
      <c r="D12" s="4">
        <f>COUNTIFS(Resp4[Vínculo],"docente",Resp4[4.25],B12)</f>
        <v>0</v>
      </c>
      <c r="E12" s="4">
        <f>COUNTIF(Resp4[4.25],B12)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493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COUNTIFS(Resp4[Vínculo],"tecnico",Resp4[4.26],B7)</f>
        <v>0</v>
      </c>
      <c r="D7" s="4">
        <f>COUNTIFS(Resp4[Vínculo],"docente",Resp4[4.26],B7)</f>
        <v>0</v>
      </c>
      <c r="E7" s="4">
        <f>COUNTIF(Resp4[4.26],B7)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COUNTIFS(Resp4[Vínculo],"tecnico",Resp4[4.26],B9)</f>
        <v>0</v>
      </c>
      <c r="D9" s="4">
        <f>COUNTIFS(Resp4[Vínculo],"docente",Resp4[4.26],B9)</f>
        <v>0</v>
      </c>
      <c r="E9" s="4">
        <f>COUNTIF(Resp4[4.26],B9)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0</v>
      </c>
      <c r="E10" s="4">
        <f>COUNTIF(Resp4[4.26],B10)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COUNTIFS(Resp4[Vínculo],"tecnico",Resp4[4.26],B12)</f>
        <v>0</v>
      </c>
      <c r="D12" s="4">
        <f>COUNTIFS(Resp4[Vínculo],"docente",Resp4[4.26],B12)</f>
        <v>0</v>
      </c>
      <c r="E12" s="4">
        <f>COUNTIF(Resp4[4.26],B12)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493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COUNTIFS(Resp4[Vínculo],"tecnico",Resp4[4.27],B11)</f>
        <v>0</v>
      </c>
      <c r="D11" s="4">
        <f>COUNTIFS(Resp4[Vínculo],"docente",Resp4[4.27],B11)</f>
        <v>0</v>
      </c>
      <c r="E11" s="4">
        <f>COUNTIF(Resp4[4.27],B11)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493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29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206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0</v>
      </c>
      <c r="E10" s="4">
        <f>COUNTIF(Resp4[4.28],B10)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COUNTIFS(Resp4[Vínculo],"tecnico",Resp4[4.28],B11)</f>
        <v>0</v>
      </c>
      <c r="D11" s="4">
        <f>COUNTIFS(Resp4[Vínculo],"docente",Resp4[4.28],B11)</f>
        <v>0</v>
      </c>
      <c r="E11" s="4">
        <f>COUNTIF(Resp4[4.28],B11)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203</v>
      </c>
      <c r="C12" s="4">
        <f>COUNTIFS(Resp4[Vínculo],"tecnico",Resp4[4.28],B12)</f>
        <v>0</v>
      </c>
      <c r="D12" s="4">
        <f>COUNTIFS(Resp4[Vínculo],"docente",Resp4[4.28],B12)</f>
        <v>0</v>
      </c>
      <c r="E12" s="4">
        <f>COUNTIF(Resp4[4.28],B12)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493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COUNTIFS(Resp4[Vínculo],"tecnico",Resp4[4.29],B7)</f>
        <v>1</v>
      </c>
      <c r="D7" s="4">
        <f>COUNTIFS(Resp4[Vínculo],"docente",Resp4[4.29],B7)</f>
        <v>0</v>
      </c>
      <c r="E7" s="4">
        <f>COUNTIF(Resp4[4.29],B7)</f>
        <v>1</v>
      </c>
      <c r="F7" s="4">
        <f t="shared" ref="F7:F13" si="0">ROUND($E7/E$13*100,2)</f>
        <v>3.45</v>
      </c>
      <c r="G7" s="3">
        <f t="shared" ref="G7:G12" si="1">ROUND($E7/SUM($E$7:$E$12)*100,3)</f>
        <v>50</v>
      </c>
    </row>
    <row r="8" spans="1:7" x14ac:dyDescent="0.25">
      <c r="B8" s="2" t="s">
        <v>207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1</v>
      </c>
      <c r="D10" s="4">
        <f>COUNTIFS(Resp4[Vínculo],"docente",Resp4[4.29],B10)</f>
        <v>0</v>
      </c>
      <c r="E10" s="4">
        <f>COUNTIF(Resp4[4.29],B10)</f>
        <v>1</v>
      </c>
      <c r="F10" s="4">
        <f t="shared" si="0"/>
        <v>3.45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493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COUNTIFS(Resp4[Vínculo],"tecnico",Resp4[4.30],B7)</f>
        <v>1</v>
      </c>
      <c r="D7" s="4">
        <f>COUNTIFS(Resp4[Vínculo],"docente",Resp4[4.30],B7)</f>
        <v>0</v>
      </c>
      <c r="E7" s="4">
        <f>COUNTIF(Resp4[4.30],B7)</f>
        <v>1</v>
      </c>
      <c r="F7" s="4">
        <f t="shared" ref="F7:F13" si="0">ROUND($E7/E$13*100,2)</f>
        <v>3.45</v>
      </c>
      <c r="G7" s="3">
        <f t="shared" ref="G7:G12" si="1">ROUND($E7/SUM($E$7:$E$12)*100,3)</f>
        <v>50</v>
      </c>
    </row>
    <row r="8" spans="1:7" x14ac:dyDescent="0.25">
      <c r="B8" s="2" t="s">
        <v>207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1</v>
      </c>
      <c r="D10" s="4">
        <f>COUNTIFS(Resp4[Vínculo],"docente",Resp4[4.30],B10)</f>
        <v>0</v>
      </c>
      <c r="E10" s="4">
        <f>COUNTIF(Resp4[4.30],B10)</f>
        <v>1</v>
      </c>
      <c r="F10" s="4">
        <f t="shared" si="0"/>
        <v>3.45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493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COUNTIFS(Resp4[Vínculo],"tecnico",Resp4[4.31],B7)</f>
        <v>1</v>
      </c>
      <c r="D7" s="4">
        <f>COUNTIFS(Resp4[Vínculo],"docente",Resp4[4.31],B7)</f>
        <v>0</v>
      </c>
      <c r="E7" s="4">
        <f>COUNTIF(Resp4[4.31],B7)</f>
        <v>1</v>
      </c>
      <c r="F7" s="4">
        <f t="shared" ref="F7:F13" si="0">ROUND($E7/E$13*100,2)</f>
        <v>3.45</v>
      </c>
      <c r="G7" s="3">
        <f t="shared" ref="G7:G12" si="1">ROUND($E7/SUM($E$7:$E$12)*100,3)</f>
        <v>50</v>
      </c>
    </row>
    <row r="8" spans="1:7" x14ac:dyDescent="0.25">
      <c r="B8" s="2" t="s">
        <v>207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COUNTIFS(Resp4[Vínculo],"tecnico",Resp4[4.31],B11)</f>
        <v>1</v>
      </c>
      <c r="D11" s="4">
        <f>COUNTIFS(Resp4[Vínculo],"docente",Resp4[4.31],B11)</f>
        <v>0</v>
      </c>
      <c r="E11" s="4">
        <f>COUNTIF(Resp4[4.31],B11)</f>
        <v>1</v>
      </c>
      <c r="F11" s="4">
        <f t="shared" si="0"/>
        <v>3.45</v>
      </c>
      <c r="G11" s="3">
        <f t="shared" si="1"/>
        <v>50</v>
      </c>
    </row>
    <row r="12" spans="1:7" x14ac:dyDescent="0.25">
      <c r="B12" s="7" t="s">
        <v>203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493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27</v>
      </c>
      <c r="D6" s="2">
        <f>COUNTIF(Resp4[Vínculo],"docente")-SUM(D$7:D$12)</f>
        <v>0</v>
      </c>
      <c r="E6" s="4">
        <f>E13-SUM(E7:E12)</f>
        <v>27</v>
      </c>
      <c r="F6" s="4">
        <f>ROUND($E6/E$13*100,2)</f>
        <v>93.1</v>
      </c>
    </row>
    <row r="7" spans="1:7" x14ac:dyDescent="0.25">
      <c r="B7" s="2" t="s">
        <v>201</v>
      </c>
      <c r="C7" s="4">
        <f>COUNTIFS(Resp4[Vínculo],"tecnico",Resp4[4.32],B7)</f>
        <v>1</v>
      </c>
      <c r="D7" s="4">
        <f>COUNTIFS(Resp4[Vínculo],"docente",Resp4[4.32],B7)</f>
        <v>0</v>
      </c>
      <c r="E7" s="4">
        <f>COUNTIF(Resp4[4.32],B7)</f>
        <v>1</v>
      </c>
      <c r="F7" s="4">
        <f t="shared" ref="F7:F13" si="0">ROUND($E7/E$13*100,2)</f>
        <v>3.45</v>
      </c>
      <c r="G7" s="3">
        <f t="shared" ref="G7:G12" si="1">ROUND($E7/SUM($E$7:$E$12)*100,3)</f>
        <v>50</v>
      </c>
    </row>
    <row r="8" spans="1:7" x14ac:dyDescent="0.25">
      <c r="B8" s="2" t="s">
        <v>207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1</v>
      </c>
      <c r="D10" s="4">
        <f>COUNTIFS(Resp4[Vínculo],"docente",Resp4[4.32],B10)</f>
        <v>0</v>
      </c>
      <c r="E10" s="4">
        <f>COUNTIF(Resp4[4.32],B10)</f>
        <v>1</v>
      </c>
      <c r="F10" s="4">
        <f t="shared" si="0"/>
        <v>3.45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1</v>
      </c>
      <c r="D7" s="4">
        <f>COUNTIFS(Resp4[Vínculo],"docente",Resp4[4.33],B7)</f>
        <v>0</v>
      </c>
      <c r="E7" s="2">
        <f>COUNTIF(Resp4[4.33],B7)</f>
        <v>1</v>
      </c>
      <c r="F7" s="4">
        <f t="shared" ref="F7:F9" si="0">ROUND($E7/E$9*100,2)</f>
        <v>3.45</v>
      </c>
      <c r="G7" s="4">
        <f>ROUND($E7/SUM($E$7:$E$8)*100,2)</f>
        <v>3.45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28</v>
      </c>
      <c r="D8" s="4">
        <f>COUNTIFS(Resp4[Vínculo],"docente",Resp4[4.33],B8)</f>
        <v>0</v>
      </c>
      <c r="E8" s="2">
        <f>COUNTIF(Resp4[4.33],B8)</f>
        <v>28</v>
      </c>
      <c r="F8" s="22">
        <f t="shared" si="0"/>
        <v>96.55</v>
      </c>
      <c r="G8" s="4">
        <f>ROUND($E8/SUM($E$7:$E$8)*100,2)</f>
        <v>96.55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493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0</v>
      </c>
      <c r="E10" s="4">
        <f>COUNTIF(Resp4[4.34],B10)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COUNTIFS(Resp4[Vínculo],"tecnico",Resp4[4.34],B11)</f>
        <v>0</v>
      </c>
      <c r="D11" s="4">
        <f>COUNTIFS(Resp4[Vínculo],"docente",Resp4[4.34],B11)</f>
        <v>0</v>
      </c>
      <c r="E11" s="4">
        <f>COUNTIF(Resp4[4.34],B11)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COUNTIFS(Resp4[Vínculo],"tecnico",Resp4[4.34],B12)</f>
        <v>1</v>
      </c>
      <c r="D12" s="4">
        <f>COUNTIFS(Resp4[Vínculo],"docente",Resp4[4.34],B12)</f>
        <v>0</v>
      </c>
      <c r="E12" s="4">
        <f>COUNTIF(Resp4[4.34],B12)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493</v>
      </c>
      <c r="B3" s="2" t="str">
        <f>VLOOKUP(A$2,Eixo4[],4,FALSE)</f>
        <v>Eixo 4: Questão 2</v>
      </c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3">
        <f>ROUND($E6/E$13*100,2)</f>
        <v>96.55</v>
      </c>
      <c r="G6" s="3"/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COUNTIFS(Resp4[Vínculo],"tecnico",Resp4[4.02],B$11)</f>
        <v>1</v>
      </c>
      <c r="D11" s="4">
        <f>COUNTIFS(Resp4[Vínculo],"docente",Resp4[4.02],B11)</f>
        <v>0</v>
      </c>
      <c r="E11" s="4">
        <f>COUNTIF(Resp4[4.02],B11)</f>
        <v>1</v>
      </c>
      <c r="F11" s="3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COUNTIFS(Resp4[Vínculo],"tecnico",Resp4[4.02],B$12)</f>
        <v>0</v>
      </c>
      <c r="D12" s="4">
        <f>COUNTIFS(Resp4[Vínculo],"docente",Resp4[4.02],B12)</f>
        <v>0</v>
      </c>
      <c r="E12" s="4">
        <f>COUNTIF(Resp4[4.02],B12)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502</v>
      </c>
      <c r="C17" s="21" t="s">
        <v>503</v>
      </c>
      <c r="D17" s="5" t="s">
        <v>495</v>
      </c>
      <c r="E17" s="6" t="s">
        <v>498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5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5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5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493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0</v>
      </c>
      <c r="E10" s="4">
        <f>COUNTIF(Resp4[4.35],B10)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COUNTIFS(Resp4[Vínculo],"tecnico",Resp4[4.35],B11)</f>
        <v>0</v>
      </c>
      <c r="D11" s="4">
        <f>COUNTIFS(Resp4[Vínculo],"docente",Resp4[4.35],B11)</f>
        <v>0</v>
      </c>
      <c r="E11" s="4">
        <f>COUNTIF(Resp4[4.35],B11)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COUNTIFS(Resp4[Vínculo],"tecnico",Resp4[4.35],B12)</f>
        <v>1</v>
      </c>
      <c r="D12" s="4">
        <f>COUNTIFS(Resp4[Vínculo],"docente",Resp4[4.35],B12)</f>
        <v>0</v>
      </c>
      <c r="E12" s="4">
        <f>COUNTIF(Resp4[4.35],B12)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493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0</v>
      </c>
      <c r="E10" s="4">
        <f>COUNTIF(Resp4[4.36],B10)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COUNTIFS(Resp4[Vínculo],"tecnico",Resp4[4.36],B11)</f>
        <v>0</v>
      </c>
      <c r="D11" s="4">
        <f>COUNTIFS(Resp4[Vínculo],"docente",Resp4[4.36],B11)</f>
        <v>0</v>
      </c>
      <c r="E11" s="4">
        <f>COUNTIF(Resp4[4.36],B11)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COUNTIFS(Resp4[Vínculo],"tecnico",Resp4[4.36],B12)</f>
        <v>1</v>
      </c>
      <c r="D12" s="4">
        <f>COUNTIFS(Resp4[Vínculo],"docente",Resp4[4.36],B12)</f>
        <v>0</v>
      </c>
      <c r="E12" s="4">
        <f>COUNTIF(Resp4[4.36],B12)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1</v>
      </c>
      <c r="D7" s="4">
        <f>COUNTIFS(Resp4[Vínculo],"docente",Resp4[4.38],B7)</f>
        <v>0</v>
      </c>
      <c r="E7" s="2">
        <f>COUNTIF(Resp4[4.38],B7)</f>
        <v>1</v>
      </c>
      <c r="F7" s="4">
        <f t="shared" ref="F7:F9" si="0">ROUND($E7/E$9*100,2)</f>
        <v>3.45</v>
      </c>
      <c r="G7" s="4">
        <f>ROUND($E7/SUM($E$7:$E$8)*100,2)</f>
        <v>3.45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28</v>
      </c>
      <c r="D8" s="4">
        <f>COUNTIFS(Resp4[Vínculo],"docente",Resp4[4.38],B8)</f>
        <v>0</v>
      </c>
      <c r="E8" s="2">
        <f>COUNTIF(Resp4[4.38],B8)</f>
        <v>28</v>
      </c>
      <c r="F8" s="22">
        <f t="shared" si="0"/>
        <v>96.55</v>
      </c>
      <c r="G8" s="4">
        <f>ROUND($E8/SUM($E$7:$E$8)*100,2)</f>
        <v>96.55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493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0</v>
      </c>
      <c r="E10" s="4">
        <f>COUNTIF(Resp4[4.39],B10)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COUNTIFS(Resp4[Vínculo],"tecnico",Resp4[4.39],B11)</f>
        <v>1</v>
      </c>
      <c r="D11" s="4">
        <f>COUNTIFS(Resp4[Vínculo],"docente",Resp4[4.39],B11)</f>
        <v>0</v>
      </c>
      <c r="E11" s="4">
        <f>COUNTIF(Resp4[4.39],B11)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COUNTIFS(Resp4[Vínculo],"tecnico",Resp4[4.39],B12)</f>
        <v>0</v>
      </c>
      <c r="D12" s="4">
        <f>COUNTIFS(Resp4[Vínculo],"docente",Resp4[4.39],B12)</f>
        <v>0</v>
      </c>
      <c r="E12" s="4">
        <f>COUNTIF(Resp4[4.39],B12)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493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15">
        <f>ROUND($E6/E$13*100,2)</f>
        <v>96.55</v>
      </c>
    </row>
    <row r="7" spans="1:7" x14ac:dyDescent="0.25">
      <c r="B7" s="2" t="s">
        <v>201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0</v>
      </c>
      <c r="E10" s="4">
        <f>COUNTIF(Resp4[4.40],B10)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COUNTIFS(Resp4[Vínculo],"tecnico",Resp4[4.40],B11)</f>
        <v>1</v>
      </c>
      <c r="D11" s="4">
        <f>COUNTIFS(Resp4[Vínculo],"docente",Resp4[4.40],B11)</f>
        <v>0</v>
      </c>
      <c r="E11" s="4">
        <f>COUNTIF(Resp4[4.40],B11)</f>
        <v>1</v>
      </c>
      <c r="F11" s="15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COUNTIFS(Resp4[Vínculo],"tecnico",Resp4[4.40],B12)</f>
        <v>0</v>
      </c>
      <c r="D12" s="4">
        <f>COUNTIFS(Resp4[Vínculo],"docente",Resp4[4.40],B12)</f>
        <v>0</v>
      </c>
      <c r="E12" s="4">
        <f>COUNTIF(Resp4[4.40],B12)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493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0</v>
      </c>
      <c r="E10" s="4">
        <f>COUNTIF(Resp4[4.41],B10)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COUNTIFS(Resp4[Vínculo],"tecnico",Resp4[4.41],B11)</f>
        <v>1</v>
      </c>
      <c r="D11" s="4">
        <f>COUNTIFS(Resp4[Vínculo],"docente",Resp4[4.41],B11)</f>
        <v>0</v>
      </c>
      <c r="E11" s="4">
        <f>COUNTIF(Resp4[4.41],B11)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493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COUNTIFS(Resp4[Vínculo],"tecnico",Resp4[4.42],B11)</f>
        <v>1</v>
      </c>
      <c r="D11" s="4">
        <f>COUNTIFS(Resp4[Vínculo],"docente",Resp4[4.42],B11)</f>
        <v>0</v>
      </c>
      <c r="E11" s="4">
        <f>COUNTIF(Resp4[4.42],B11)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COUNTIFS(Resp4[Vínculo],"tecnico",Resp4[4.42],B12)</f>
        <v>0</v>
      </c>
      <c r="D12" s="4">
        <f>COUNTIFS(Resp4[Vínculo],"docente",Resp4[4.42],B12)</f>
        <v>0</v>
      </c>
      <c r="E12" s="4">
        <f>COUNTIF(Resp4[4.42],B12)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493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COUNTIFS(Resp4[Vínculo],"tecnico",Resp4[4.43],B10)</f>
        <v>1</v>
      </c>
      <c r="D10" s="4">
        <f>COUNTIFS(Resp4[Vínculo],"docente",Resp4[4.43],B10)</f>
        <v>0</v>
      </c>
      <c r="E10" s="4">
        <f>COUNTIF(Resp4[4.43],B10)</f>
        <v>1</v>
      </c>
      <c r="F10" s="4">
        <f t="shared" si="0"/>
        <v>3.45</v>
      </c>
      <c r="G10" s="3">
        <f t="shared" si="1"/>
        <v>100</v>
      </c>
    </row>
    <row r="11" spans="1:7" x14ac:dyDescent="0.25">
      <c r="B11" s="2" t="s">
        <v>200</v>
      </c>
      <c r="C11" s="4">
        <f>COUNTIFS(Resp4[Vínculo],"tecnico",Resp4[4.43],B11)</f>
        <v>0</v>
      </c>
      <c r="D11" s="4">
        <f>COUNTIFS(Resp4[Vínculo],"docente",Resp4[4.43],B11)</f>
        <v>0</v>
      </c>
      <c r="E11" s="4">
        <f>COUNTIF(Resp4[4.43],B11)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493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COUNTIFS(Resp4[Vínculo],"tecnico",Resp4[4.44],B11)</f>
        <v>1</v>
      </c>
      <c r="D11" s="4">
        <f>COUNTIFS(Resp4[Vínculo],"docente",Resp4[4.44],B11)</f>
        <v>0</v>
      </c>
      <c r="E11" s="4">
        <f>COUNTIF(Resp4[4.44],B11)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COUNTIFS(Resp4[Vínculo],"tecnico",Resp4[4.44],B12)</f>
        <v>0</v>
      </c>
      <c r="D12" s="4">
        <f>COUNTIFS(Resp4[Vínculo],"docente",Resp4[4.44],B12)</f>
        <v>0</v>
      </c>
      <c r="E12" s="4">
        <f>COUNTIF(Resp4[4.44],B12)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493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0</v>
      </c>
      <c r="E10" s="4">
        <f>COUNTIF(Resp4[4.45],B10)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COUNTIFS(Resp4[Vínculo],"tecnico",Resp4[4.45],B11)</f>
        <v>1</v>
      </c>
      <c r="D11" s="4">
        <f>COUNTIFS(Resp4[Vínculo],"docente",Resp4[4.45],B11)</f>
        <v>0</v>
      </c>
      <c r="E11" s="4">
        <f>COUNTIF(Resp4[4.45],B11)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1</v>
      </c>
      <c r="D7" s="4">
        <f>COUNTIFS(Resp4[Vínculo],"docente",Resp4[4.01],B7)</f>
        <v>0</v>
      </c>
      <c r="E7" s="2">
        <f>COUNTIF(Resp4[4.01],B7)</f>
        <v>1</v>
      </c>
      <c r="F7" s="3">
        <f t="shared" ref="F7:F8" si="0">ROUND($E7/E$9*100,2)</f>
        <v>3.45</v>
      </c>
      <c r="G7" s="4">
        <f>ROUND($E7/SUM($E$7:$E$8)*100,2)</f>
        <v>3.45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28</v>
      </c>
      <c r="D8" s="4">
        <f>COUNTIFS(Resp4[Vínculo],"docente",Resp4[4.01],B8)</f>
        <v>0</v>
      </c>
      <c r="E8" s="2">
        <f>COUNTIF(Resp4[4.01],B8)</f>
        <v>28</v>
      </c>
      <c r="F8" s="24">
        <f t="shared" si="0"/>
        <v>96.55</v>
      </c>
      <c r="G8" s="4">
        <f>ROUND($E8/SUM($E$7:$E$8)*100,2)</f>
        <v>96.55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493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0</v>
      </c>
      <c r="E10" s="4">
        <f>COUNTIF(Resp4[4.46],B10)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COUNTIFS(Resp4[Vínculo],"tecnico",Resp4[4.46],B11)</f>
        <v>1</v>
      </c>
      <c r="D11" s="4">
        <f>COUNTIFS(Resp4[Vínculo],"docente",Resp4[4.46],B11)</f>
        <v>0</v>
      </c>
      <c r="E11" s="4">
        <f>COUNTIF(Resp4[4.46],B11)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COUNTIFS(Resp4[Vínculo],"tecnico",Resp4[4.46],B12)</f>
        <v>0</v>
      </c>
      <c r="D12" s="4">
        <f>COUNTIFS(Resp4[Vínculo],"docente",Resp4[4.46],B12)</f>
        <v>0</v>
      </c>
      <c r="E12" s="4">
        <f>COUNTIF(Resp4[4.46],B12)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493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0</v>
      </c>
      <c r="E10" s="4">
        <f>COUNTIF(Resp4[4.47],B10)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COUNTIFS(Resp4[Vínculo],"tecnico",Resp4[4.47],B11)</f>
        <v>1</v>
      </c>
      <c r="D11" s="4">
        <f>COUNTIFS(Resp4[Vínculo],"docente",Resp4[4.47],B11)</f>
        <v>0</v>
      </c>
      <c r="E11" s="4">
        <f>COUNTIF(Resp4[4.47],B11)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COUNTIFS(Resp4[Vínculo],"tecnico",Resp4[4.47],B12)</f>
        <v>0</v>
      </c>
      <c r="D12" s="4">
        <f>COUNTIFS(Resp4[Vínculo],"docente",Resp4[4.47],B12)</f>
        <v>0</v>
      </c>
      <c r="E12" s="4">
        <f>COUNTIF(Resp4[4.47],B12)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493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0</v>
      </c>
      <c r="E10" s="4">
        <f>COUNTIF(Resp4[4.48],B10)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COUNTIFS(Resp4[Vínculo],"tecnico",Resp4[4.48],B11)</f>
        <v>1</v>
      </c>
      <c r="D11" s="4">
        <f>COUNTIFS(Resp4[Vínculo],"docente",Resp4[4.48],B11)</f>
        <v>0</v>
      </c>
      <c r="E11" s="4">
        <f>COUNTIF(Resp4[4.48],B11)</f>
        <v>1</v>
      </c>
      <c r="F11" s="4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COUNTIFS(Resp4[Vínculo],"tecnico",Resp4[4.48],B12)</f>
        <v>0</v>
      </c>
      <c r="D12" s="4">
        <f>COUNTIFS(Resp4[Vínculo],"docente",Resp4[4.48],B12)</f>
        <v>0</v>
      </c>
      <c r="E12" s="4">
        <f>COUNTIF(Resp4[4.48],B12)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3</v>
      </c>
      <c r="D7" s="4">
        <f>COUNTIFS(Resp4[Vínculo],"docente",Resp4[4.50],B7)</f>
        <v>0</v>
      </c>
      <c r="E7" s="2">
        <f>COUNTIF(Resp4[4.50],B7)</f>
        <v>3</v>
      </c>
      <c r="F7" s="4">
        <f t="shared" ref="F7:F9" si="0">ROUND($E7/E$9*100,2)</f>
        <v>10.34</v>
      </c>
      <c r="G7" s="4">
        <f>ROUND($E7/SUM($E$7:$E$8)*100,2)</f>
        <v>10.34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26</v>
      </c>
      <c r="D8" s="4">
        <f>COUNTIFS(Resp4[Vínculo],"docente",Resp4[4.50],B8)</f>
        <v>0</v>
      </c>
      <c r="E8" s="2">
        <f>COUNTIF(Resp4[4.50],B8)</f>
        <v>26</v>
      </c>
      <c r="F8" s="22">
        <f t="shared" si="0"/>
        <v>89.66</v>
      </c>
      <c r="G8" s="4">
        <f>ROUND($E8/SUM($E$7:$E$8)*100,2)</f>
        <v>89.66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1</v>
      </c>
      <c r="D7" s="4">
        <f>COUNTIFS(Resp4[Vínculo],"docente",Resp4[4.51],B7)</f>
        <v>0</v>
      </c>
      <c r="E7" s="2">
        <f>COUNTIF(Resp4[4.51],B7)</f>
        <v>1</v>
      </c>
      <c r="F7" s="4">
        <f t="shared" ref="F7:F9" si="0">ROUND($E7/E$9*100,2)</f>
        <v>3.45</v>
      </c>
      <c r="G7" s="4">
        <f>ROUND($E7/SUM($E$7:$E$8)*100,2)</f>
        <v>3.45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28</v>
      </c>
      <c r="D8" s="4">
        <f>COUNTIFS(Resp4[Vínculo],"docente",Resp4[4.51],B8)</f>
        <v>0</v>
      </c>
      <c r="E8" s="2">
        <f>COUNTIF(Resp4[4.51],B8)</f>
        <v>28</v>
      </c>
      <c r="F8" s="22">
        <f t="shared" si="0"/>
        <v>96.55</v>
      </c>
      <c r="G8" s="4">
        <f>ROUND($E8/SUM($E$7:$E$8)*100,2)</f>
        <v>96.55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493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4">
        <f>ROUND($E6/E$13*100,2)</f>
        <v>96.55</v>
      </c>
    </row>
    <row r="7" spans="1:7" x14ac:dyDescent="0.25">
      <c r="B7" s="2" t="s">
        <v>201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COUNTIFS(Resp4[Vínculo],"tecnico",Resp4[4.52],B11)</f>
        <v>0</v>
      </c>
      <c r="D11" s="4">
        <f>COUNTIFS(Resp4[Vínculo],"docente",Resp4[4.52],B11)</f>
        <v>0</v>
      </c>
      <c r="E11" s="4">
        <f>COUNTIF(Resp4[4.52],B11)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COUNTIFS(Resp4[Vínculo],"tecnico",Resp4[4.52],B12)</f>
        <v>1</v>
      </c>
      <c r="D12" s="4">
        <f>COUNTIFS(Resp4[Vínculo],"docente",Resp4[4.52],B12)</f>
        <v>0</v>
      </c>
      <c r="E12" s="4">
        <f>COUNTIF(Resp4[4.52],B12)</f>
        <v>1</v>
      </c>
      <c r="F12" s="22">
        <f t="shared" si="0"/>
        <v>3.45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493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COUNTIFS(Resp4[Vínculo],"tecnico",Resp4[4.53],B10)</f>
        <v>2</v>
      </c>
      <c r="D10" s="4">
        <f>COUNTIFS(Resp4[Vínculo],"docente",Resp4[4.53],B10)</f>
        <v>0</v>
      </c>
      <c r="E10" s="4">
        <f>COUNTIF(Resp4[4.53],B10)</f>
        <v>2</v>
      </c>
      <c r="F10" s="4">
        <f t="shared" si="0"/>
        <v>6.9</v>
      </c>
      <c r="G10" s="3">
        <f t="shared" si="1"/>
        <v>66.667000000000002</v>
      </c>
    </row>
    <row r="11" spans="1:7" x14ac:dyDescent="0.25">
      <c r="B11" s="2" t="s">
        <v>200</v>
      </c>
      <c r="C11" s="4">
        <f>COUNTIFS(Resp4[Vínculo],"tecnico",Resp4[4.53],B11)</f>
        <v>0</v>
      </c>
      <c r="D11" s="4">
        <f>COUNTIFS(Resp4[Vínculo],"docente",Resp4[4.53],B11)</f>
        <v>0</v>
      </c>
      <c r="E11" s="4">
        <f>COUNTIF(Resp4[4.53],B11)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COUNTIFS(Resp4[Vínculo],"tecnico",Resp4[4.53],B12)</f>
        <v>1</v>
      </c>
      <c r="D12" s="4">
        <f>COUNTIFS(Resp4[Vínculo],"docente",Resp4[4.53],B12)</f>
        <v>0</v>
      </c>
      <c r="E12" s="4">
        <f>COUNTIF(Resp4[4.53],B12)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493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29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0</v>
      </c>
      <c r="E10" s="4">
        <f>COUNTIF(Resp4[4.54],B10)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COUNTIFS(Resp4[Vínculo],"tecnico",Resp4[4.02],B$8)</f>
        <v>0</v>
      </c>
      <c r="D11" s="4">
        <f>COUNTIFS(Resp4[Vínculo],"docente",Resp4[4.02],B11)</f>
        <v>0</v>
      </c>
      <c r="E11" s="4">
        <f>COUNTIF(Resp4[4.54],B11)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COUNTIFS(Resp4[Vínculo],"tecnico",Resp4[4.02],B$8)</f>
        <v>0</v>
      </c>
      <c r="D12" s="4">
        <f>COUNTIFS(Resp4[Vínculo],"docente",Resp4[4.02],B12)</f>
        <v>0</v>
      </c>
      <c r="E12" s="4">
        <f>COUNTIF(Resp4[4.54],B12)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493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COUNTIFS(Resp4[Vínculo],"tecnico",Resp4[4.55],B7)</f>
        <v>1</v>
      </c>
      <c r="D7" s="4">
        <f>COUNTIFS(Resp4[Vínculo],"docente",Resp4[4.55],B7)</f>
        <v>0</v>
      </c>
      <c r="E7" s="4">
        <f>COUNTIF(Resp4[4.55],B7)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COUNTIFS(Resp4[Vínculo],"tecnico",Resp4[4.55],B10)</f>
        <v>1</v>
      </c>
      <c r="D10" s="4">
        <f>COUNTIFS(Resp4[Vínculo],"docente",Resp4[4.55],B10)</f>
        <v>0</v>
      </c>
      <c r="E10" s="4">
        <f>COUNTIF(Resp4[4.55],B10)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COUNTIFS(Resp4[Vínculo],"tecnico",Resp4[4.55],B11)</f>
        <v>1</v>
      </c>
      <c r="D11" s="4">
        <f>COUNTIFS(Resp4[Vínculo],"docente",Resp4[4.55],B11)</f>
        <v>0</v>
      </c>
      <c r="E11" s="4">
        <f>COUNTIF(Resp4[4.55],B11)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COUNTIFS(Resp4[Vínculo],"tecnico",Resp4[4.55],B12)</f>
        <v>0</v>
      </c>
      <c r="D12" s="4">
        <f>COUNTIFS(Resp4[Vínculo],"docente",Resp4[4.55],B12)</f>
        <v>0</v>
      </c>
      <c r="E12" s="4">
        <f>COUNTIF(Resp4[4.55],B12)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493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COUNTIFS(Resp4[Vínculo],"tecnico",Resp4[4.56],B9)</f>
        <v>0</v>
      </c>
      <c r="D9" s="4">
        <f>COUNTIFS(Resp4[Vínculo],"docente",Resp4[4.56],B9)</f>
        <v>0</v>
      </c>
      <c r="E9" s="4">
        <f>COUNTIF(Resp4[4.56],B9)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COUNTIFS(Resp4[Vínculo],"tecnico",Resp4[4.56],B10)</f>
        <v>2</v>
      </c>
      <c r="D10" s="4">
        <f>COUNTIFS(Resp4[Vínculo],"docente",Resp4[4.56],B10)</f>
        <v>0</v>
      </c>
      <c r="E10" s="4">
        <f>COUNTIF(Resp4[4.56],B10)</f>
        <v>2</v>
      </c>
      <c r="F10" s="4">
        <f t="shared" si="0"/>
        <v>6.9</v>
      </c>
      <c r="G10" s="3">
        <f t="shared" si="1"/>
        <v>66.667000000000002</v>
      </c>
    </row>
    <row r="11" spans="1:7" x14ac:dyDescent="0.25">
      <c r="B11" s="2" t="s">
        <v>200</v>
      </c>
      <c r="C11" s="4">
        <f>COUNTIFS(Resp4[Vínculo],"tecnico",Resp4[4.56],B11)</f>
        <v>0</v>
      </c>
      <c r="D11" s="4">
        <f>COUNTIFS(Resp4[Vínculo],"docente",Resp4[4.56],B11)</f>
        <v>0</v>
      </c>
      <c r="E11" s="4">
        <f>COUNTIF(Resp4[4.56],B11)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COUNTIFS(Resp4[Vínculo],"tecnico",Resp4[4.56],B12)</f>
        <v>1</v>
      </c>
      <c r="D12" s="4">
        <f>COUNTIFS(Resp4[Vínculo],"docente",Resp4[4.56],B12)</f>
        <v>0</v>
      </c>
      <c r="E12" s="4">
        <f>COUNTIF(Resp4[4.56],B12)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493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5</v>
      </c>
      <c r="D6" s="2">
        <f>COUNTIF(Resp4[Vínculo],"docente")-SUM(D$7:D$12)</f>
        <v>0</v>
      </c>
      <c r="E6" s="4">
        <f>E13-SUM(E7:E12)</f>
        <v>5</v>
      </c>
      <c r="F6" s="4">
        <f>ROUND($E6/E$13*100,2)</f>
        <v>17.239999999999998</v>
      </c>
    </row>
    <row r="7" spans="1:7" x14ac:dyDescent="0.25">
      <c r="B7" t="s">
        <v>197</v>
      </c>
      <c r="C7" s="4">
        <f>COUNTIFS(Resp4[Vínculo],"tecnico",Resp4[4.71],B7)</f>
        <v>16</v>
      </c>
      <c r="D7" s="4">
        <f>COUNTIFS(Resp4[Vínculo],"docente",Resp4[4.71],B7)</f>
        <v>0</v>
      </c>
      <c r="E7" s="4">
        <f>COUNTIF(Resp4[4.71],B7)</f>
        <v>16</v>
      </c>
      <c r="F7" s="4">
        <f t="shared" ref="F7:F12" si="0">ROUND($E7/E$13*100,2)</f>
        <v>55.17</v>
      </c>
      <c r="G7" s="3">
        <f t="shared" ref="G7:G12" si="1">ROUND($E7/SUM($E$7:$E$12)*100,3)</f>
        <v>66.667000000000002</v>
      </c>
    </row>
    <row r="8" spans="1:7" x14ac:dyDescent="0.25">
      <c r="B8" s="2" t="s">
        <v>207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0</v>
      </c>
      <c r="E10" s="4">
        <f>COUNTIF(Resp4[4.71],B10)</f>
        <v>1</v>
      </c>
      <c r="F10" s="4">
        <f t="shared" si="0"/>
        <v>3.45</v>
      </c>
      <c r="G10" s="3">
        <f t="shared" si="1"/>
        <v>4.1669999999999998</v>
      </c>
    </row>
    <row r="11" spans="1:7" x14ac:dyDescent="0.25">
      <c r="B11" s="2" t="s">
        <v>200</v>
      </c>
      <c r="C11" s="4">
        <f>COUNTIFS(Resp4[Vínculo],"tecnico",Resp4[4.71],B11)</f>
        <v>5</v>
      </c>
      <c r="D11" s="4">
        <f>COUNTIFS(Resp4[Vínculo],"docente",Resp4[4.71],B11)</f>
        <v>0</v>
      </c>
      <c r="E11" s="4">
        <f>COUNTIF(Resp4[4.71],B11)</f>
        <v>5</v>
      </c>
      <c r="F11" s="4">
        <f t="shared" si="0"/>
        <v>17.239999999999998</v>
      </c>
      <c r="G11" s="3">
        <f t="shared" si="1"/>
        <v>20.832999999999998</v>
      </c>
    </row>
    <row r="12" spans="1:7" x14ac:dyDescent="0.25">
      <c r="B12" s="7" t="s">
        <v>203</v>
      </c>
      <c r="C12" s="4">
        <f>COUNTIFS(Resp4[Vínculo],"tecnico",Resp4[4.71],B12)</f>
        <v>2</v>
      </c>
      <c r="D12" s="4">
        <f>COUNTIFS(Resp4[Vínculo],"docente",Resp4[4.71],B12)</f>
        <v>0</v>
      </c>
      <c r="E12" s="4">
        <f>COUNTIF(Resp4[4.71],B12)</f>
        <v>2</v>
      </c>
      <c r="F12" s="22">
        <f t="shared" si="0"/>
        <v>6.9</v>
      </c>
      <c r="G12" s="3">
        <f t="shared" si="1"/>
        <v>8.3330000000000002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4.1669999999999998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29.167000000000002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493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COUNTIFS(Resp4[Vínculo],"tecnico",Resp4[4.57],B7)</f>
        <v>1</v>
      </c>
      <c r="D7" s="4">
        <f>COUNTIFS(Resp4[Vínculo],"docente",Resp4[4.57],B7)</f>
        <v>0</v>
      </c>
      <c r="E7" s="4">
        <f>COUNTIF(Resp4[4.57],B7)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1</v>
      </c>
      <c r="D10" s="4">
        <f>COUNTIFS(Resp4[Vínculo],"docente",Resp4[4.57],B10)</f>
        <v>0</v>
      </c>
      <c r="E10" s="4">
        <f>COUNTIF(Resp4[4.57],B10)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COUNTIFS(Resp4[Vínculo],"tecnico",Resp4[4.57],B11)</f>
        <v>0</v>
      </c>
      <c r="D11" s="4">
        <f>COUNTIFS(Resp4[Vínculo],"docente",Resp4[4.57],B11)</f>
        <v>0</v>
      </c>
      <c r="E11" s="4">
        <f>COUNTIF(Resp4[4.57],B11)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COUNTIFS(Resp4[Vínculo],"tecnico",Resp4[4.57],B12)</f>
        <v>1</v>
      </c>
      <c r="D12" s="4">
        <f>COUNTIFS(Resp4[Vínculo],"docente",Resp4[4.57],B12)</f>
        <v>0</v>
      </c>
      <c r="E12" s="4">
        <f>COUNTIF(Resp4[4.57],B12)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493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COUNTIFS(Resp4[Vínculo],"tecnico",Resp4[4.58],B7)</f>
        <v>1</v>
      </c>
      <c r="D7" s="4">
        <f>COUNTIFS(Resp4[Vínculo],"docente",Resp4[4.58],B7)</f>
        <v>0</v>
      </c>
      <c r="E7" s="4">
        <f>COUNTIF(Resp4[4.58],B7)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COUNTIFS(Resp4[Vínculo],"tecnico",Resp4[4.58],B9)</f>
        <v>0</v>
      </c>
      <c r="D9" s="4">
        <f>COUNTIFS(Resp4[Vínculo],"docente",Resp4[4.58],B9)</f>
        <v>0</v>
      </c>
      <c r="E9" s="4">
        <f>COUNTIF(Resp4[4.58],B9)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COUNTIFS(Resp4[Vínculo],"tecnico",Resp4[4.58],B10)</f>
        <v>1</v>
      </c>
      <c r="D10" s="4">
        <f>COUNTIFS(Resp4[Vínculo],"docente",Resp4[4.58],B10)</f>
        <v>0</v>
      </c>
      <c r="E10" s="4">
        <f>COUNTIF(Resp4[4.58],B10)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COUNTIFS(Resp4[Vínculo],"tecnico",Resp4[4.58],B11)</f>
        <v>0</v>
      </c>
      <c r="D11" s="4">
        <f>COUNTIFS(Resp4[Vínculo],"docente",Resp4[4.58],B11)</f>
        <v>0</v>
      </c>
      <c r="E11" s="4">
        <f>COUNTIF(Resp4[4.58],B11)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COUNTIFS(Resp4[Vínculo],"tecnico",Resp4[4.58],B12)</f>
        <v>1</v>
      </c>
      <c r="D12" s="4">
        <f>COUNTIFS(Resp4[Vínculo],"docente",Resp4[4.58],B12)</f>
        <v>0</v>
      </c>
      <c r="E12" s="4">
        <f>COUNTIF(Resp4[4.58],B12)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493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COUNTIFS(Resp4[Vínculo],"tecnico",Resp4[4.59],B7)</f>
        <v>1</v>
      </c>
      <c r="D7" s="4">
        <f>COUNTIFS(Resp4[Vínculo],"docente",Resp4[4.59],B7)</f>
        <v>0</v>
      </c>
      <c r="E7" s="4">
        <f>COUNTIF(Resp4[4.59],B7)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COUNTIFS(Resp4[Vínculo],"tecnico",Resp4[4.59],B9)</f>
        <v>1</v>
      </c>
      <c r="D9" s="4">
        <f>COUNTIFS(Resp4[Vínculo],"docente",Resp4[4.59],B9)</f>
        <v>0</v>
      </c>
      <c r="E9" s="4">
        <f>COUNTIF(Resp4[4.59],B9)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COUNTIFS(Resp4[Vínculo],"tecnico",Resp4[4.59],B11)</f>
        <v>0</v>
      </c>
      <c r="D11" s="4">
        <f>COUNTIFS(Resp4[Vínculo],"docente",Resp4[4.59],B11)</f>
        <v>0</v>
      </c>
      <c r="E11" s="4">
        <f>COUNTIF(Resp4[4.59],B11)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COUNTIFS(Resp4[Vínculo],"tecnico",Resp4[4.59],B12)</f>
        <v>1</v>
      </c>
      <c r="D12" s="4">
        <f>COUNTIFS(Resp4[Vínculo],"docente",Resp4[4.59],B12)</f>
        <v>0</v>
      </c>
      <c r="E12" s="4">
        <f>COUNTIF(Resp4[4.59],B12)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493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COUNTIFS(Resp4[Vínculo],"tecnico",Resp4[4.60],B7)</f>
        <v>1</v>
      </c>
      <c r="D7" s="4">
        <f>COUNTIFS(Resp4[Vínculo],"docente",Resp4[4.60],B7)</f>
        <v>0</v>
      </c>
      <c r="E7" s="4">
        <f>COUNTIF(Resp4[4.60],B7)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COUNTIFS(Resp4[Vínculo],"tecnico",Resp4[4.60],B9)</f>
        <v>0</v>
      </c>
      <c r="D9" s="4">
        <f>COUNTIFS(Resp4[Vínculo],"docente",Resp4[4.60],B9)</f>
        <v>0</v>
      </c>
      <c r="E9" s="4">
        <f>COUNTIF(Resp4[4.60],B9)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COUNTIFS(Resp4[Vínculo],"tecnico",Resp4[4.60],B10)</f>
        <v>1</v>
      </c>
      <c r="D10" s="4">
        <f>COUNTIFS(Resp4[Vínculo],"docente",Resp4[4.60],B10)</f>
        <v>0</v>
      </c>
      <c r="E10" s="4">
        <f>COUNTIF(Resp4[4.60],B10)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COUNTIFS(Resp4[Vínculo],"tecnico",Resp4[4.60],B11)</f>
        <v>1</v>
      </c>
      <c r="D11" s="4">
        <f>COUNTIFS(Resp4[Vínculo],"docente",Resp4[4.60],B11)</f>
        <v>0</v>
      </c>
      <c r="E11" s="4">
        <f>COUNTIF(Resp4[4.60],B11)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493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COUNTIFS(Resp4[Vínculo],"tecnico",Resp4[4.61],B7)</f>
        <v>1</v>
      </c>
      <c r="D7" s="4">
        <f>COUNTIFS(Resp4[Vínculo],"docente",Resp4[4.61],B7)</f>
        <v>0</v>
      </c>
      <c r="E7" s="4">
        <f>COUNTIF(Resp4[4.61],B7)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COUNTIFS(Resp4[Vínculo],"tecnico",Resp4[4.61],B9)</f>
        <v>1</v>
      </c>
      <c r="D9" s="4">
        <f>COUNTIFS(Resp4[Vínculo],"docente",Resp4[4.61],B9)</f>
        <v>0</v>
      </c>
      <c r="E9" s="4">
        <f>COUNTIF(Resp4[4.61],B9)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0</v>
      </c>
      <c r="E10" s="4">
        <f>COUNTIF(Resp4[4.61],B10)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COUNTIFS(Resp4[Vínculo],"tecnico",Resp4[4.61],B11)</f>
        <v>0</v>
      </c>
      <c r="D11" s="4">
        <f>COUNTIFS(Resp4[Vínculo],"docente",Resp4[4.61],B11)</f>
        <v>0</v>
      </c>
      <c r="E11" s="4">
        <f>COUNTIF(Resp4[4.61],B11)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COUNTIFS(Resp4[Vínculo],"tecnico",Resp4[4.61],B12)</f>
        <v>1</v>
      </c>
      <c r="D12" s="4">
        <f>COUNTIFS(Resp4[Vínculo],"docente",Resp4[4.61],B12)</f>
        <v>0</v>
      </c>
      <c r="E12" s="4">
        <f>COUNTIF(Resp4[4.61],B12)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493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COUNTIFS(Resp4[Vínculo],"tecnico",Resp4[4.62],B11)</f>
        <v>2</v>
      </c>
      <c r="D11" s="4">
        <f>COUNTIFS(Resp4[Vínculo],"docente",Resp4[4.62],B11)</f>
        <v>0</v>
      </c>
      <c r="E11" s="4">
        <f>COUNTIF(Resp4[4.62],B11)</f>
        <v>2</v>
      </c>
      <c r="F11" s="4">
        <f t="shared" si="0"/>
        <v>6.9</v>
      </c>
      <c r="G11" s="3">
        <f t="shared" si="1"/>
        <v>66.667000000000002</v>
      </c>
    </row>
    <row r="12" spans="1:7" x14ac:dyDescent="0.25">
      <c r="B12" s="7" t="s">
        <v>203</v>
      </c>
      <c r="C12" s="4">
        <f>COUNTIFS(Resp4[Vínculo],"tecnico",Resp4[4.62],B12)</f>
        <v>1</v>
      </c>
      <c r="D12" s="4">
        <f>COUNTIFS(Resp4[Vínculo],"docente",Resp4[4.62],B12)</f>
        <v>0</v>
      </c>
      <c r="E12" s="4">
        <f>COUNTIF(Resp4[4.62],B12)</f>
        <v>1</v>
      </c>
      <c r="F12" s="22">
        <f>ROUND($E12/E$13*100,2)</f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493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1</v>
      </c>
      <c r="D10" s="4">
        <f>COUNTIFS(Resp4[Vínculo],"docente",Resp4[4.63],B10)</f>
        <v>0</v>
      </c>
      <c r="E10" s="4">
        <f>COUNTIF(Resp4[4.63],B10)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COUNTIFS(Resp4[Vínculo],"tecnico",Resp4[4.63],B11)</f>
        <v>1</v>
      </c>
      <c r="D11" s="4">
        <f>COUNTIFS(Resp4[Vínculo],"docente",Resp4[4.63],B11)</f>
        <v>0</v>
      </c>
      <c r="E11" s="4">
        <f>COUNTIF(Resp4[4.63],B11)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COUNTIFS(Resp4[Vínculo],"tecnico",Resp4[4.63],B12)</f>
        <v>1</v>
      </c>
      <c r="D12" s="4">
        <f>COUNTIFS(Resp4[Vínculo],"docente",Resp4[4.63],B12)</f>
        <v>0</v>
      </c>
      <c r="E12" s="4">
        <f>COUNTIF(Resp4[4.63],B12)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493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COUNTIFS(Resp4[Vínculo],"tecnico",Resp4[4.64],B7)</f>
        <v>1</v>
      </c>
      <c r="D7" s="4">
        <f>COUNTIFS(Resp4[Vínculo],"docente",Resp4[4.64],B7)</f>
        <v>0</v>
      </c>
      <c r="E7" s="4">
        <f>COUNTIF(Resp4[4.64],B7)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COUNTIFS(Resp4[Vínculo],"tecnico",Resp4[4.64],B9)</f>
        <v>1</v>
      </c>
      <c r="D9" s="4">
        <f>COUNTIFS(Resp4[Vínculo],"docente",Resp4[4.64],B9)</f>
        <v>0</v>
      </c>
      <c r="E9" s="4">
        <f>COUNTIF(Resp4[4.64],B9)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0</v>
      </c>
      <c r="E10" s="4">
        <f>COUNTIF(Resp4[4.64],B10)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COUNTIFS(Resp4[Vínculo],"tecnico",Resp4[4.64],B11)</f>
        <v>1</v>
      </c>
      <c r="D11" s="4">
        <f>COUNTIFS(Resp4[Vínculo],"docente",Resp4[4.64],B11)</f>
        <v>0</v>
      </c>
      <c r="E11" s="4">
        <f>COUNTIF(Resp4[4.64],B11)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493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COUNTIFS(Resp4[Vínculo],"tecnico",Resp4[4.65],B7)</f>
        <v>1</v>
      </c>
      <c r="D7" s="4">
        <f>COUNTIFS(Resp4[Vínculo],"docente",Resp4[4.65],B7)</f>
        <v>0</v>
      </c>
      <c r="E7" s="4">
        <f>COUNTIF(Resp4[4.65],B7)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COUNTIFS(Resp4[Vínculo],"tecnico",Resp4[4.65],B9)</f>
        <v>1</v>
      </c>
      <c r="D9" s="4">
        <f>COUNTIFS(Resp4[Vínculo],"docente",Resp4[4.65],B9)</f>
        <v>0</v>
      </c>
      <c r="E9" s="4">
        <f>COUNTIF(Resp4[4.65],B9)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COUNTIFS(Resp4[Vínculo],"tecnico",Resp4[4.65],B10)</f>
        <v>1</v>
      </c>
      <c r="D10" s="4">
        <f>COUNTIFS(Resp4[Vínculo],"docente",Resp4[4.65],B10)</f>
        <v>0</v>
      </c>
      <c r="E10" s="4">
        <f>COUNTIF(Resp4[4.65],B10)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COUNTIFS(Resp4[Vínculo],"tecnico",Resp4[4.65],B11)</f>
        <v>0</v>
      </c>
      <c r="D11" s="4">
        <f>COUNTIFS(Resp4[Vínculo],"docente",Resp4[4.65],B11)</f>
        <v>0</v>
      </c>
      <c r="E11" s="4">
        <f>COUNTIF(Resp4[4.65],B11)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493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COUNTIFS(Resp4[Vínculo],"tecnico",Resp4[4.66],B7)</f>
        <v>1</v>
      </c>
      <c r="D7" s="4">
        <f>COUNTIFS(Resp4[Vínculo],"docente",Resp4[4.66],B7)</f>
        <v>0</v>
      </c>
      <c r="E7" s="4">
        <f>COUNTIF(Resp4[4.66],B7)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COUNTIFS(Resp4[Vínculo],"tecnico",Resp4[4.66],B9)</f>
        <v>1</v>
      </c>
      <c r="D9" s="4">
        <f>COUNTIFS(Resp4[Vínculo],"docente",Resp4[4.66],B9)</f>
        <v>0</v>
      </c>
      <c r="E9" s="4">
        <f>COUNTIF(Resp4[4.66],B9)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0</v>
      </c>
      <c r="E10" s="4">
        <f>COUNTIF(Resp4[4.66],B10)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COUNTIFS(Resp4[Vínculo],"tecnico",Resp4[4.66],B11)</f>
        <v>0</v>
      </c>
      <c r="D11" s="4">
        <f>COUNTIFS(Resp4[Vínculo],"docente",Resp4[4.66],B11)</f>
        <v>0</v>
      </c>
      <c r="E11" s="4">
        <f>COUNTIF(Resp4[4.66],B11)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COUNTIFS(Resp4[Vínculo],"tecnico",Resp4[4.66],B12)</f>
        <v>1</v>
      </c>
      <c r="D12" s="4">
        <f>COUNTIFS(Resp4[Vínculo],"docente",Resp4[4.66],B12)</f>
        <v>0</v>
      </c>
      <c r="E12" s="4">
        <f>COUNTIF(Resp4[4.66],B12)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R3" sqref="R3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1</v>
      </c>
      <c r="D7" s="4">
        <f>COUNTIFS(Resp4[Vínculo],"docente",Resp4[4.01],B7)</f>
        <v>0</v>
      </c>
      <c r="E7" s="2">
        <f>COUNTIF(Resp4[4.01],B7)</f>
        <v>1</v>
      </c>
      <c r="F7" s="3">
        <f t="shared" ref="F7:F9" si="0">ROUND($E7/E$9*100,2)</f>
        <v>3.45</v>
      </c>
      <c r="G7" s="4">
        <f>ROUND($E7/SUM($E$7:$E$8)*100,2)</f>
        <v>3.45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28</v>
      </c>
      <c r="D8" s="4">
        <f>COUNTIFS(Resp4[Vínculo],"docente",Resp4[4.01],B8)</f>
        <v>0</v>
      </c>
      <c r="E8" s="2">
        <f>COUNTIF(Resp4[4.01],B8)</f>
        <v>28</v>
      </c>
      <c r="F8" s="24">
        <f t="shared" si="0"/>
        <v>96.55</v>
      </c>
      <c r="G8" s="4">
        <f>ROUND($E8/SUM($E$7:$E$8)*100,2)</f>
        <v>96.55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493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15">
        <f>ROUND($E6/E$13*100,2)</f>
        <v>89.66</v>
      </c>
    </row>
    <row r="7" spans="1:7" x14ac:dyDescent="0.25">
      <c r="B7" s="2" t="s">
        <v>201</v>
      </c>
      <c r="C7" s="4">
        <f>COUNTIFS(Resp4[Vínculo],"tecnico",Resp4[4.67],B7)</f>
        <v>1</v>
      </c>
      <c r="D7" s="4">
        <f>COUNTIFS(Resp4[Vínculo],"docente",Resp4[4.67],B7)</f>
        <v>0</v>
      </c>
      <c r="E7" s="4">
        <f>COUNTIF(Resp4[4.67],B7)</f>
        <v>1</v>
      </c>
      <c r="F7" s="15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COUNTIFS(Resp4[Vínculo],"tecnico",Resp4[4.67],B9)</f>
        <v>1</v>
      </c>
      <c r="D9" s="4">
        <f>COUNTIFS(Resp4[Vínculo],"docente",Resp4[4.67],B9)</f>
        <v>0</v>
      </c>
      <c r="E9" s="4">
        <f>COUNTIF(Resp4[4.67],B9)</f>
        <v>1</v>
      </c>
      <c r="F9" s="15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0</v>
      </c>
      <c r="E10" s="4">
        <f>COUNTIF(Resp4[4.67],B10)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COUNTIFS(Resp4[Vínculo],"tecnico",Resp4[4.67],B11)</f>
        <v>1</v>
      </c>
      <c r="D11" s="4">
        <f>COUNTIFS(Resp4[Vínculo],"docente",Resp4[4.67],B11)</f>
        <v>0</v>
      </c>
      <c r="E11" s="4">
        <f>COUNTIF(Resp4[4.67],B11)</f>
        <v>1</v>
      </c>
      <c r="F11" s="15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493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COUNTIFS(Resp4[Vínculo],"tecnico",Resp4[4.68],B7)</f>
        <v>1</v>
      </c>
      <c r="D7" s="4">
        <f>COUNTIFS(Resp4[Vínculo],"docente",Resp4[4.68],B7)</f>
        <v>0</v>
      </c>
      <c r="E7" s="4">
        <f>COUNTIF(Resp4[4.68],B7)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COUNTIFS(Resp4[Vínculo],"tecnico",Resp4[4.68],B9)</f>
        <v>1</v>
      </c>
      <c r="D9" s="4">
        <f>COUNTIFS(Resp4[Vínculo],"docente",Resp4[4.68],B9)</f>
        <v>0</v>
      </c>
      <c r="E9" s="4">
        <f>COUNTIF(Resp4[4.68],B9)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0</v>
      </c>
      <c r="E10" s="4">
        <f>COUNTIF(Resp4[4.68],B10)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COUNTIFS(Resp4[Vínculo],"tecnico",Resp4[4.68],B11)</f>
        <v>1</v>
      </c>
      <c r="D11" s="4">
        <f>COUNTIFS(Resp4[Vínculo],"docente",Resp4[4.68],B11)</f>
        <v>0</v>
      </c>
      <c r="E11" s="4">
        <f>COUNTIF(Resp4[4.68],B11)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COUNTIFS(Resp4[Vínculo],"tecnico",Resp4[4.68],B12)</f>
        <v>0</v>
      </c>
      <c r="D12" s="4">
        <f>COUNTIFS(Resp4[Vínculo],"docente",Resp4[4.68],B12)</f>
        <v>0</v>
      </c>
      <c r="E12" s="4">
        <f>COUNTIF(Resp4[4.68],B12)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493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COUNTIFS(Resp4[Vínculo],"tecnico",Resp4[4.69],B7)</f>
        <v>1</v>
      </c>
      <c r="D7" s="4">
        <f>COUNTIFS(Resp4[Vínculo],"docente",Resp4[4.69],B7)</f>
        <v>0</v>
      </c>
      <c r="E7" s="4">
        <f>COUNTIF(Resp4[4.69],B7)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COUNTIFS(Resp4[Vínculo],"tecnico",Resp4[4.69],B10)</f>
        <v>1</v>
      </c>
      <c r="D10" s="4">
        <f>COUNTIFS(Resp4[Vínculo],"docente",Resp4[4.69],B10)</f>
        <v>0</v>
      </c>
      <c r="E10" s="4">
        <f>COUNTIF(Resp4[4.69],B10)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COUNTIFS(Resp4[Vínculo],"tecnico",Resp4[4.69],B11)</f>
        <v>1</v>
      </c>
      <c r="D11" s="4">
        <f>COUNTIFS(Resp4[Vínculo],"docente",Resp4[4.69],B11)</f>
        <v>0</v>
      </c>
      <c r="E11" s="4">
        <f>COUNTIF(Resp4[4.69],B11)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COUNTIFS(Resp4[Vínculo],"tecnico",Resp4[4.69],B12)</f>
        <v>0</v>
      </c>
      <c r="D12" s="4">
        <f>COUNTIFS(Resp4[Vínculo],"docente",Resp4[4.69],B12)</f>
        <v>0</v>
      </c>
      <c r="E12" s="4">
        <f>COUNTIF(Resp4[4.69],B12)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493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5</v>
      </c>
      <c r="D6" s="2">
        <f>COUNTIF(Resp4[Vínculo],"docente")-SUM(D$7:D$12)</f>
        <v>0</v>
      </c>
      <c r="E6" s="4">
        <f>E13-SUM(E7:E12)</f>
        <v>5</v>
      </c>
      <c r="F6" s="4">
        <f>ROUND($E6/E$13*100,2)</f>
        <v>17.239999999999998</v>
      </c>
    </row>
    <row r="7" spans="1:7" x14ac:dyDescent="0.25">
      <c r="B7" t="s">
        <v>197</v>
      </c>
      <c r="C7" s="4">
        <f>COUNTIFS(Resp4[Vínculo],"tecnico",Resp4[4.71],B7)</f>
        <v>16</v>
      </c>
      <c r="D7" s="4">
        <f>COUNTIFS(Resp4[Vínculo],"docente",Resp4[4.71],B7)</f>
        <v>0</v>
      </c>
      <c r="E7" s="4">
        <f>COUNTIF(Resp4[4.71],B7)</f>
        <v>16</v>
      </c>
      <c r="F7" s="4">
        <f t="shared" ref="F7:F13" si="0">ROUND($E7/E$13*100,2)</f>
        <v>55.17</v>
      </c>
      <c r="G7" s="3">
        <f t="shared" ref="G7:G12" si="1">ROUND($E7/SUM($E$7:$E$12)*100,3)</f>
        <v>66.667000000000002</v>
      </c>
    </row>
    <row r="8" spans="1:7" x14ac:dyDescent="0.25">
      <c r="B8" s="2" t="s">
        <v>207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0</v>
      </c>
      <c r="E10" s="4">
        <f>COUNTIF(Resp4[4.71],B10)</f>
        <v>1</v>
      </c>
      <c r="F10" s="4">
        <f t="shared" si="0"/>
        <v>3.45</v>
      </c>
      <c r="G10" s="3">
        <f t="shared" si="1"/>
        <v>4.1669999999999998</v>
      </c>
    </row>
    <row r="11" spans="1:7" x14ac:dyDescent="0.25">
      <c r="B11" s="2" t="s">
        <v>200</v>
      </c>
      <c r="C11" s="4">
        <f>COUNTIFS(Resp4[Vínculo],"tecnico",Resp4[4.71],B11)</f>
        <v>5</v>
      </c>
      <c r="D11" s="4">
        <f>COUNTIFS(Resp4[Vínculo],"docente",Resp4[4.71],B11)</f>
        <v>0</v>
      </c>
      <c r="E11" s="4">
        <f>COUNTIF(Resp4[4.71],B11)</f>
        <v>5</v>
      </c>
      <c r="F11" s="4">
        <f t="shared" si="0"/>
        <v>17.239999999999998</v>
      </c>
      <c r="G11" s="3">
        <f t="shared" si="1"/>
        <v>20.832999999999998</v>
      </c>
    </row>
    <row r="12" spans="1:7" x14ac:dyDescent="0.25">
      <c r="B12" s="7" t="s">
        <v>203</v>
      </c>
      <c r="C12" s="4">
        <f>COUNTIFS(Resp4[Vínculo],"tecnico",Resp4[4.71],B12)</f>
        <v>2</v>
      </c>
      <c r="D12" s="4">
        <f>COUNTIFS(Resp4[Vínculo],"docente",Resp4[4.71],B12)</f>
        <v>0</v>
      </c>
      <c r="E12" s="4">
        <f>COUNTIF(Resp4[4.71],B12)</f>
        <v>2</v>
      </c>
      <c r="F12" s="22">
        <f t="shared" si="0"/>
        <v>6.9</v>
      </c>
      <c r="G12" s="3">
        <f t="shared" si="1"/>
        <v>8.3330000000000002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4.1669999999999998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29.167000000000002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493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5</v>
      </c>
      <c r="D6" s="2">
        <f>COUNTIF(Resp4[Vínculo],"docente")-SUM(D$7:D$12)</f>
        <v>0</v>
      </c>
      <c r="E6" s="4">
        <f>E13-SUM(E7:E12)</f>
        <v>5</v>
      </c>
      <c r="F6" s="4">
        <f>ROUND($E6/E$13*100,2)</f>
        <v>17.239999999999998</v>
      </c>
    </row>
    <row r="7" spans="1:7" x14ac:dyDescent="0.25">
      <c r="B7" s="90" t="s">
        <v>197</v>
      </c>
      <c r="C7" s="4">
        <f>COUNTIFS(Resp4[Vínculo],"tecnico",Resp4[4.72],B7)</f>
        <v>16</v>
      </c>
      <c r="D7" s="4">
        <f>COUNTIFS(Resp4[Vínculo],"docente",Resp4[4.72],B7)</f>
        <v>0</v>
      </c>
      <c r="E7" s="4">
        <f>COUNTIF(Resp4[4.72],B7)</f>
        <v>16</v>
      </c>
      <c r="F7" s="4">
        <f t="shared" ref="F7:F13" si="0">ROUND($E7/E$13*100,2)</f>
        <v>55.17</v>
      </c>
      <c r="G7" s="3">
        <f t="shared" ref="G7:G12" si="1">ROUND($E7/SUM($E$7:$E$12)*100,3)</f>
        <v>66.667000000000002</v>
      </c>
    </row>
    <row r="8" spans="1:7" x14ac:dyDescent="0.25">
      <c r="B8" s="2" t="s">
        <v>207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COUNTIFS(Resp4[Vínculo],"tecnico",Resp4[4.72],B9)</f>
        <v>0</v>
      </c>
      <c r="D9" s="4">
        <f>COUNTIFS(Resp4[Vínculo],"docente",Resp4[4.72],B9)</f>
        <v>0</v>
      </c>
      <c r="E9" s="4">
        <f>COUNTIF(Resp4[4.72],B9)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COUNTIFS(Resp4[Vínculo],"tecnico",Resp4[4.72],B10)</f>
        <v>4</v>
      </c>
      <c r="D10" s="4">
        <f>COUNTIFS(Resp4[Vínculo],"docente",Resp4[4.72],B10)</f>
        <v>0</v>
      </c>
      <c r="E10" s="4">
        <f>COUNTIF(Resp4[4.72],B10)</f>
        <v>4</v>
      </c>
      <c r="F10" s="4">
        <f t="shared" si="0"/>
        <v>13.79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COUNTIFS(Resp4[Vínculo],"tecnico",Resp4[4.72],B11)</f>
        <v>3</v>
      </c>
      <c r="D11" s="4">
        <f>COUNTIFS(Resp4[Vínculo],"docente",Resp4[4.72],B11)</f>
        <v>0</v>
      </c>
      <c r="E11" s="4">
        <f>COUNTIF(Resp4[4.72],B11)</f>
        <v>3</v>
      </c>
      <c r="F11" s="4">
        <f t="shared" si="0"/>
        <v>10.34</v>
      </c>
      <c r="G11" s="3">
        <f t="shared" si="1"/>
        <v>12.5</v>
      </c>
    </row>
    <row r="12" spans="1:7" x14ac:dyDescent="0.25">
      <c r="B12" s="7" t="s">
        <v>203</v>
      </c>
      <c r="C12" s="4">
        <f>COUNTIFS(Resp4[Vínculo],"tecnico",Resp4[4.72],B12)</f>
        <v>1</v>
      </c>
      <c r="D12" s="4">
        <f>COUNTIFS(Resp4[Vínculo],"docente",Resp4[4.72],B12)</f>
        <v>0</v>
      </c>
      <c r="E12" s="4">
        <f>COUNTIF(Resp4[4.72],B12)</f>
        <v>1</v>
      </c>
      <c r="F12" s="22">
        <f t="shared" si="0"/>
        <v>3.45</v>
      </c>
      <c r="G12" s="3">
        <f t="shared" si="1"/>
        <v>4.1669999999999998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493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20.69</v>
      </c>
    </row>
    <row r="7" spans="1:7" x14ac:dyDescent="0.25">
      <c r="B7" s="90" t="s">
        <v>197</v>
      </c>
      <c r="C7" s="4">
        <f>COUNTIFS(Resp4[Vínculo],"tecnico",Resp4[4.73],B7)</f>
        <v>16</v>
      </c>
      <c r="D7" s="4">
        <f>COUNTIFS(Resp4[Vínculo],"docente",Resp4[4.73],B7)</f>
        <v>0</v>
      </c>
      <c r="E7" s="4">
        <f>COUNTIF(Resp4[4.73],B7)</f>
        <v>16</v>
      </c>
      <c r="F7" s="4">
        <f t="shared" ref="F7:F12" si="0">ROUND($E7/E$13*100,2)</f>
        <v>55.17</v>
      </c>
      <c r="G7" s="3">
        <f t="shared" ref="G7:G12" si="1">ROUND($E7/SUM($E$7:$E$12)*100,3)</f>
        <v>69.564999999999998</v>
      </c>
    </row>
    <row r="8" spans="1:7" x14ac:dyDescent="0.25">
      <c r="B8" s="2" t="s">
        <v>207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2</v>
      </c>
      <c r="D10" s="4">
        <f>COUNTIFS(Resp4[Vínculo],"docente",Resp4[4.73],B10)</f>
        <v>0</v>
      </c>
      <c r="E10" s="4">
        <f>COUNTIF(Resp4[4.73],B10)</f>
        <v>2</v>
      </c>
      <c r="F10" s="4">
        <f t="shared" si="0"/>
        <v>6.9</v>
      </c>
      <c r="G10" s="3">
        <f t="shared" si="1"/>
        <v>8.6959999999999997</v>
      </c>
    </row>
    <row r="11" spans="1:7" x14ac:dyDescent="0.25">
      <c r="B11" s="2" t="s">
        <v>200</v>
      </c>
      <c r="C11" s="4">
        <f>COUNTIFS(Resp4[Vínculo],"tecnico",Resp4[4.73],B11)</f>
        <v>4</v>
      </c>
      <c r="D11" s="4">
        <f>COUNTIFS(Resp4[Vínculo],"docente",Resp4[4.73],B11)</f>
        <v>0</v>
      </c>
      <c r="E11" s="4">
        <f>COUNTIF(Resp4[4.73],B11)</f>
        <v>4</v>
      </c>
      <c r="F11" s="4">
        <f t="shared" si="0"/>
        <v>13.79</v>
      </c>
      <c r="G11" s="3">
        <f t="shared" si="1"/>
        <v>17.390999999999998</v>
      </c>
    </row>
    <row r="12" spans="1:7" x14ac:dyDescent="0.25">
      <c r="B12" s="7" t="s">
        <v>203</v>
      </c>
      <c r="C12" s="4">
        <f>COUNTIFS(Resp4[Vínculo],"tecnico",Resp4[4.73],B12)</f>
        <v>1</v>
      </c>
      <c r="D12" s="4">
        <f>COUNTIFS(Resp4[Vínculo],"docente",Resp4[4.73],B12)</f>
        <v>0</v>
      </c>
      <c r="E12" s="4">
        <f>COUNTIF(Resp4[4.73],B12)</f>
        <v>1</v>
      </c>
      <c r="F12" s="22">
        <f t="shared" si="0"/>
        <v>3.45</v>
      </c>
      <c r="G12" s="3">
        <f t="shared" si="1"/>
        <v>4.3479999999999999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>ROUND($E13/E$13*100,2)</f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69.564999999999998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8.6959999999999997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21.739000000000001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493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20.69</v>
      </c>
    </row>
    <row r="7" spans="1:7" x14ac:dyDescent="0.25">
      <c r="B7" t="s">
        <v>197</v>
      </c>
      <c r="C7" s="4">
        <f>COUNTIFS(Resp4[Vínculo],"tecnico",Resp4[4.74],B7)</f>
        <v>16</v>
      </c>
      <c r="D7" s="4">
        <f>COUNTIFS(Resp4[Vínculo],"docente",Resp4[4.74],B7)</f>
        <v>0</v>
      </c>
      <c r="E7" s="4">
        <f>COUNTIF(Resp4[4.74],B7)</f>
        <v>16</v>
      </c>
      <c r="F7" s="4">
        <f t="shared" ref="F7:F13" si="0">ROUND($E7/E$13*100,2)</f>
        <v>55.17</v>
      </c>
      <c r="G7" s="3">
        <f t="shared" ref="G7:G12" si="1">ROUND($E7/SUM($E$7:$E$12)*100,3)</f>
        <v>69.564999999999998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3</v>
      </c>
      <c r="D10" s="4">
        <f>COUNTIFS(Resp4[Vínculo],"docente",Resp4[4.74],B10)</f>
        <v>0</v>
      </c>
      <c r="E10" s="4">
        <f>COUNTIF(Resp4[4.74],B10)</f>
        <v>3</v>
      </c>
      <c r="F10" s="4">
        <f t="shared" si="0"/>
        <v>10.34</v>
      </c>
      <c r="G10" s="3">
        <f t="shared" si="1"/>
        <v>13.042999999999999</v>
      </c>
    </row>
    <row r="11" spans="1:7" x14ac:dyDescent="0.25">
      <c r="B11" s="2" t="s">
        <v>200</v>
      </c>
      <c r="C11" s="4">
        <f>COUNTIFS(Resp4[Vínculo],"tecnico",Resp4[4.74],B11)</f>
        <v>3</v>
      </c>
      <c r="D11" s="4">
        <f>COUNTIFS(Resp4[Vínculo],"docente",Resp4[4.74],B11)</f>
        <v>0</v>
      </c>
      <c r="E11" s="4">
        <f>COUNTIF(Resp4[4.74],B11)</f>
        <v>3</v>
      </c>
      <c r="F11" s="4">
        <f t="shared" si="0"/>
        <v>10.34</v>
      </c>
      <c r="G11" s="3">
        <f t="shared" si="1"/>
        <v>13.042999999999999</v>
      </c>
    </row>
    <row r="12" spans="1:7" x14ac:dyDescent="0.25">
      <c r="B12" s="7" t="s">
        <v>203</v>
      </c>
      <c r="C12" s="4">
        <f>COUNTIFS(Resp4[Vínculo],"tecnico",Resp4[4.74],B12)</f>
        <v>1</v>
      </c>
      <c r="D12" s="4">
        <f>COUNTIFS(Resp4[Vínculo],"docente",Resp4[4.74],B12)</f>
        <v>0</v>
      </c>
      <c r="E12" s="4">
        <f>COUNTIF(Resp4[4.74],B12)</f>
        <v>1</v>
      </c>
      <c r="F12" s="22">
        <f t="shared" si="0"/>
        <v>3.45</v>
      </c>
      <c r="G12" s="3">
        <f t="shared" si="1"/>
        <v>4.3479999999999999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69.564999999999998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13.042999999999999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17.390999999999998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493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</v>
      </c>
      <c r="D6" s="2">
        <f>COUNTIF(Resp4[Vínculo],"docente")-SUM(D$7:D$12)</f>
        <v>0</v>
      </c>
      <c r="E6" s="4">
        <f>E13-SUM(E7:E12)</f>
        <v>6</v>
      </c>
      <c r="F6" s="4">
        <f>ROUND($E6/E$13*100,2)</f>
        <v>20.69</v>
      </c>
    </row>
    <row r="7" spans="1:7" x14ac:dyDescent="0.25">
      <c r="B7" t="s">
        <v>197</v>
      </c>
      <c r="C7" s="4">
        <f>COUNTIFS(Resp4[Vínculo],"tecnico",Resp4[4.75],B7)</f>
        <v>16</v>
      </c>
      <c r="D7" s="4">
        <f>COUNTIFS(Resp4[Vínculo],"docente",Resp4[4.75],B7)</f>
        <v>0</v>
      </c>
      <c r="E7" s="4">
        <f>COUNTIF(Resp4[4.75],B7)</f>
        <v>16</v>
      </c>
      <c r="F7" s="4">
        <f t="shared" ref="F7:F12" si="0">ROUND($E7/E$13*100,2)</f>
        <v>55.17</v>
      </c>
      <c r="G7" s="3">
        <f t="shared" ref="G7:G12" si="1">ROUND($E7/SUM($E$7:$E$12)*100,3)</f>
        <v>69.564999999999998</v>
      </c>
    </row>
    <row r="8" spans="1:7" x14ac:dyDescent="0.25">
      <c r="B8" s="2" t="s">
        <v>207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2</v>
      </c>
      <c r="D10" s="4">
        <f>COUNTIFS(Resp4[Vínculo],"docente",Resp4[4.75],B10)</f>
        <v>0</v>
      </c>
      <c r="E10" s="4">
        <f>COUNTIF(Resp4[4.75],B10)</f>
        <v>2</v>
      </c>
      <c r="F10" s="4">
        <f t="shared" si="0"/>
        <v>6.9</v>
      </c>
      <c r="G10" s="3">
        <f t="shared" si="1"/>
        <v>8.6959999999999997</v>
      </c>
    </row>
    <row r="11" spans="1:7" x14ac:dyDescent="0.25">
      <c r="B11" s="2" t="s">
        <v>200</v>
      </c>
      <c r="C11" s="4">
        <f>COUNTIFS(Resp4[Vínculo],"tecnico",Resp4[4.75],B11)</f>
        <v>4</v>
      </c>
      <c r="D11" s="4">
        <f>COUNTIFS(Resp4[Vínculo],"docente",Resp4[4.75],B11)</f>
        <v>0</v>
      </c>
      <c r="E11" s="4">
        <f>COUNTIF(Resp4[4.75],B11)</f>
        <v>4</v>
      </c>
      <c r="F11" s="4">
        <f t="shared" si="0"/>
        <v>13.79</v>
      </c>
      <c r="G11" s="3">
        <f t="shared" si="1"/>
        <v>17.390999999999998</v>
      </c>
    </row>
    <row r="12" spans="1:7" x14ac:dyDescent="0.25">
      <c r="B12" s="7" t="s">
        <v>203</v>
      </c>
      <c r="C12" s="4">
        <f>COUNTIFS(Resp4[Vínculo],"tecnico",Resp4[4.75],B12)</f>
        <v>1</v>
      </c>
      <c r="D12" s="4">
        <f>COUNTIFS(Resp4[Vínculo],"docente",Resp4[4.75],B12)</f>
        <v>0</v>
      </c>
      <c r="E12" s="4">
        <f>COUNTIF(Resp4[4.75],B12)</f>
        <v>1</v>
      </c>
      <c r="F12" s="22">
        <f t="shared" si="0"/>
        <v>3.45</v>
      </c>
      <c r="G12" s="3">
        <f t="shared" si="1"/>
        <v>4.3479999999999999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>SUM(F6:F12)</f>
        <v>100.00000000000001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69.564999999999998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8.6959999999999997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21.739000000000001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493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</v>
      </c>
      <c r="D6" s="2">
        <f>COUNTIF(Resp4[Vínculo],"docente")-SUM(D$7:D$12)</f>
        <v>0</v>
      </c>
      <c r="E6" s="4">
        <f>E13-SUM(E7:E12)</f>
        <v>7</v>
      </c>
      <c r="F6" s="4">
        <f>ROUND($E6/E$13*100,2)</f>
        <v>24.14</v>
      </c>
    </row>
    <row r="7" spans="1:7" x14ac:dyDescent="0.25">
      <c r="B7" t="s">
        <v>197</v>
      </c>
      <c r="C7" s="4">
        <f>COUNTIFS(Resp4[Vínculo],"tecnico",Resp4[4.76],B7)</f>
        <v>16</v>
      </c>
      <c r="D7" s="4">
        <f>COUNTIFS(Resp4[Vínculo],"docente",Resp4[4.76],B7)</f>
        <v>0</v>
      </c>
      <c r="E7" s="4">
        <f>COUNTIF(Resp4[4.76],B7)</f>
        <v>16</v>
      </c>
      <c r="F7" s="4">
        <f t="shared" ref="F7:F12" si="0">ROUND($E7/E$13*100,2)</f>
        <v>55.17</v>
      </c>
      <c r="G7" s="3">
        <f t="shared" ref="G7:G12" si="1">ROUND($E7/SUM($E$7:$E$12)*100,3)</f>
        <v>72.727000000000004</v>
      </c>
    </row>
    <row r="8" spans="1:7" x14ac:dyDescent="0.25">
      <c r="B8" s="2" t="s">
        <v>207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2</v>
      </c>
      <c r="D10" s="4">
        <f>COUNTIFS(Resp4[Vínculo],"docente",Resp4[4.76],B10)</f>
        <v>0</v>
      </c>
      <c r="E10" s="4">
        <f>COUNTIF(Resp4[4.76],B10)</f>
        <v>2</v>
      </c>
      <c r="F10" s="4">
        <f t="shared" si="0"/>
        <v>6.9</v>
      </c>
      <c r="G10" s="3">
        <f t="shared" si="1"/>
        <v>9.0909999999999993</v>
      </c>
    </row>
    <row r="11" spans="1:7" x14ac:dyDescent="0.25">
      <c r="B11" s="2" t="s">
        <v>200</v>
      </c>
      <c r="C11" s="4">
        <f>COUNTIFS(Resp4[Vínculo],"tecnico",Resp4[4.76],B11)</f>
        <v>3</v>
      </c>
      <c r="D11" s="4">
        <f>COUNTIFS(Resp4[Vínculo],"docente",Resp4[4.76],B11)</f>
        <v>0</v>
      </c>
      <c r="E11" s="4">
        <f>COUNTIF(Resp4[4.76],B11)</f>
        <v>3</v>
      </c>
      <c r="F11" s="4">
        <f t="shared" si="0"/>
        <v>10.34</v>
      </c>
      <c r="G11" s="3">
        <f t="shared" si="1"/>
        <v>13.635999999999999</v>
      </c>
    </row>
    <row r="12" spans="1:7" x14ac:dyDescent="0.25">
      <c r="B12" s="7" t="s">
        <v>203</v>
      </c>
      <c r="C12" s="4">
        <f>COUNTIFS(Resp4[Vínculo],"tecnico",Resp4[4.76],B12)</f>
        <v>1</v>
      </c>
      <c r="D12" s="4">
        <f>COUNTIFS(Resp4[Vínculo],"docente",Resp4[4.76],B12)</f>
        <v>0</v>
      </c>
      <c r="E12" s="4">
        <f>COUNTIF(Resp4[4.76],B12)</f>
        <v>1</v>
      </c>
      <c r="F12" s="4">
        <f t="shared" si="0"/>
        <v>3.45</v>
      </c>
      <c r="G12" s="3">
        <f t="shared" si="1"/>
        <v>4.5449999999999999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88">
        <f>SUM(F6:F12)</f>
        <v>100.00000000000001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16</v>
      </c>
      <c r="E19" s="15">
        <f t="shared" ref="E19:E21" si="2">ROUND(D19/SUM(D$18:D$21)*100,3)</f>
        <v>72.727000000000004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18.181999999999999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493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8</v>
      </c>
      <c r="D6" s="2">
        <f>COUNTIF(Resp4[Vínculo],"docente")-SUM(D$7:D$12)</f>
        <v>0</v>
      </c>
      <c r="E6" s="4">
        <f>E13-SUM(E7:E12)</f>
        <v>8</v>
      </c>
      <c r="F6" s="4">
        <f>ROUND($E6/E$13*100,2)</f>
        <v>27.59</v>
      </c>
    </row>
    <row r="7" spans="1:7" x14ac:dyDescent="0.25">
      <c r="B7" t="s">
        <v>197</v>
      </c>
      <c r="C7" s="4">
        <f>COUNTIFS(Resp4[Vínculo],"tecnico",Resp4[4.77],B7)</f>
        <v>14</v>
      </c>
      <c r="D7" s="4">
        <f>COUNTIFS(Resp4[Vínculo],"docente",Resp4[4.77],B7)</f>
        <v>0</v>
      </c>
      <c r="E7" s="4">
        <f>COUNTIF(Resp4[4.77],B7)</f>
        <v>14</v>
      </c>
      <c r="F7" s="4">
        <f t="shared" ref="F7:F12" si="0">ROUND($E7/E$13*100,2)</f>
        <v>48.28</v>
      </c>
      <c r="G7" s="3">
        <f t="shared" ref="G7:G12" si="1">ROUND($E7/SUM($E$7:$E$12)*100,3)</f>
        <v>66.667000000000002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3</v>
      </c>
      <c r="D10" s="4">
        <f>COUNTIFS(Resp4[Vínculo],"docente",Resp4[4.74],B10)</f>
        <v>0</v>
      </c>
      <c r="E10" s="4">
        <f>COUNTIF(Resp4[4.74],B10)</f>
        <v>3</v>
      </c>
      <c r="F10" s="4">
        <f t="shared" si="0"/>
        <v>10.34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COUNTIFS(Resp4[Vínculo],"tecnico",Resp4[4.74],B11)</f>
        <v>3</v>
      </c>
      <c r="D11" s="4">
        <f>COUNTIFS(Resp4[Vínculo],"docente",Resp4[4.74],B11)</f>
        <v>0</v>
      </c>
      <c r="E11" s="4">
        <f>COUNTIF(Resp4[4.74],B11)</f>
        <v>3</v>
      </c>
      <c r="F11" s="4">
        <f t="shared" si="0"/>
        <v>10.34</v>
      </c>
      <c r="G11" s="3">
        <f t="shared" si="1"/>
        <v>14.286</v>
      </c>
    </row>
    <row r="12" spans="1:7" x14ac:dyDescent="0.25">
      <c r="B12" s="7" t="s">
        <v>203</v>
      </c>
      <c r="C12" s="4">
        <f>COUNTIFS(Resp4[Vínculo],"tecnico",Resp4[4.74],B12)</f>
        <v>1</v>
      </c>
      <c r="D12" s="4">
        <f>COUNTIFS(Resp4[Vínculo],"docente",Resp4[4.74],B12)</f>
        <v>0</v>
      </c>
      <c r="E12" s="4">
        <f>COUNTIF(Resp4[4.74],B12)</f>
        <v>1</v>
      </c>
      <c r="F12" s="22">
        <f t="shared" si="0"/>
        <v>3.45</v>
      </c>
      <c r="G12" s="3">
        <f t="shared" si="1"/>
        <v>4.7619999999999996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89">
        <f>SUM(F6:F12)</f>
        <v>100.00000000000001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14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14.286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19.047999999999998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493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3">
        <f>ROUND($E6/E$13*100,2)</f>
        <v>96.55</v>
      </c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COUNTIFS(Resp4[Vínculo],"tecnico",Resp4[4.02],B$11)</f>
        <v>1</v>
      </c>
      <c r="D11" s="4">
        <f>COUNTIFS(Resp4[Vínculo],"docente",Resp4[4.02],B11)</f>
        <v>0</v>
      </c>
      <c r="E11" s="4">
        <f>COUNTIF(Resp4[4.02],B11)</f>
        <v>1</v>
      </c>
      <c r="F11" s="3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COUNTIFS(Resp4[Vínculo],"tecnico",Resp4[4.02],B$12)</f>
        <v>0</v>
      </c>
      <c r="D12" s="4">
        <f>COUNTIFS(Resp4[Vínculo],"docente",Resp4[4.02],B12)</f>
        <v>0</v>
      </c>
      <c r="E12" s="4">
        <f>COUNTIF(Resp4[4.02],B12)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493</v>
      </c>
      <c r="B3" s="2" t="str">
        <f>VLOOKUP(A$2,Eixo4[],4,FALSE)</f>
        <v>Eixo 4: Questão 79</v>
      </c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t="s">
        <v>505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7</v>
      </c>
      <c r="D7" s="4">
        <f>COUNTIFS(Resp4[Vínculo],"docente",Resp4[4.79],C14)</f>
        <v>0</v>
      </c>
      <c r="E7" s="4">
        <f>COUNTIF(Resp4[4.79],C14)</f>
        <v>7</v>
      </c>
      <c r="F7" s="4">
        <f t="shared" ref="F7:F11" si="0">ROUND($E7/E$11*100,2)</f>
        <v>24.14</v>
      </c>
      <c r="G7" s="3">
        <f>ROUND($E7/SUM($E$7:$E$10)*100,3)</f>
        <v>24.138000000000002</v>
      </c>
    </row>
    <row r="8" spans="1:7" x14ac:dyDescent="0.25">
      <c r="B8" t="s">
        <v>508</v>
      </c>
      <c r="C8" s="4">
        <f>COUNTIFS(Resp4[Vínculo],"tecnico",Resp4[4.79],C15)</f>
        <v>1</v>
      </c>
      <c r="D8" s="4">
        <f>COUNTIFS(Resp4[Vínculo],"docente",Resp4[4.79],C15)</f>
        <v>0</v>
      </c>
      <c r="E8" s="4">
        <f>COUNTIF(Resp4[4.79],C15)</f>
        <v>1</v>
      </c>
      <c r="F8" s="4">
        <f t="shared" si="0"/>
        <v>3.45</v>
      </c>
      <c r="G8" s="3">
        <f>ROUND($E8/SUM($E$7:$E$10)*100,3)</f>
        <v>3.448</v>
      </c>
    </row>
    <row r="9" spans="1:7" x14ac:dyDescent="0.25">
      <c r="B9" t="s">
        <v>509</v>
      </c>
      <c r="C9" s="4">
        <f>COUNTIFS(Resp4[Vínculo],"tecnico",Resp4[4.79],C16)</f>
        <v>12</v>
      </c>
      <c r="D9" s="4">
        <f>COUNTIFS(Resp4[Vínculo],"docente",Resp4[4.79],C16)</f>
        <v>0</v>
      </c>
      <c r="E9" s="4">
        <f>COUNTIF(Resp4[4.79],C16)</f>
        <v>12</v>
      </c>
      <c r="F9" s="4">
        <f t="shared" si="0"/>
        <v>41.38</v>
      </c>
      <c r="G9" s="3">
        <f>ROUND($E9/SUM($E$7:$E$10)*100,3)</f>
        <v>41.378999999999998</v>
      </c>
    </row>
    <row r="10" spans="1:7" x14ac:dyDescent="0.25">
      <c r="B10" s="23" t="s">
        <v>202</v>
      </c>
      <c r="C10" s="22">
        <f>COUNTIFS(Resp4[Vínculo],"tecnico",Resp4[4.79],B10)</f>
        <v>9</v>
      </c>
      <c r="D10" s="22">
        <f>COUNTIFS(Resp4[Vínculo],"docente",Resp4[4.79],B10)</f>
        <v>0</v>
      </c>
      <c r="E10" s="22">
        <f>COUNTIF(Resp4[4.79],B10)</f>
        <v>9</v>
      </c>
      <c r="F10" s="22">
        <f t="shared" si="0"/>
        <v>31.03</v>
      </c>
      <c r="G10" s="24">
        <f>ROUND($E10/SUM($E$7:$E$10)*100,3)</f>
        <v>31.033999999999999</v>
      </c>
    </row>
    <row r="11" spans="1:7" x14ac:dyDescent="0.25">
      <c r="B11" t="s">
        <v>501</v>
      </c>
      <c r="C11">
        <f>SUM(C6:C10)</f>
        <v>29</v>
      </c>
      <c r="D11">
        <f>SUM(D6:D10)</f>
        <v>0</v>
      </c>
      <c r="E11">
        <f>SUM(C11:D11)</f>
        <v>29</v>
      </c>
      <c r="F11" s="15">
        <f t="shared" si="0"/>
        <v>100</v>
      </c>
      <c r="G11" s="25">
        <f>SUM(G7:G10)</f>
        <v>99.998999999999995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204</v>
      </c>
    </row>
    <row r="15" spans="1:7" x14ac:dyDescent="0.25">
      <c r="B15" t="s">
        <v>508</v>
      </c>
      <c r="C15" t="s">
        <v>205</v>
      </c>
    </row>
    <row r="16" spans="1:7" x14ac:dyDescent="0.25">
      <c r="B16" t="s">
        <v>509</v>
      </c>
      <c r="C16" t="s">
        <v>198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24</v>
      </c>
      <c r="D7" s="4">
        <f>COUNTIFS(Resp4[Vínculo],"docente",Resp4[4.81],B7)</f>
        <v>0</v>
      </c>
      <c r="E7" s="2">
        <f>COUNTIF(Resp4[4.81],B7)</f>
        <v>24</v>
      </c>
      <c r="F7" s="15">
        <f t="shared" ref="F7:F9" si="0">ROUND($E7/E$9*100,2)</f>
        <v>82.76</v>
      </c>
      <c r="G7" s="4">
        <f>ROUND($E7/SUM($E$7:$E$8)*100,2)</f>
        <v>82.76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5</v>
      </c>
      <c r="D8" s="4">
        <f>COUNTIFS(Resp4[Vínculo],"docente",Resp4[4.81],B8)</f>
        <v>0</v>
      </c>
      <c r="E8" s="2">
        <f>COUNTIF(Resp4[4.81],B8)</f>
        <v>5</v>
      </c>
      <c r="F8" s="19">
        <f t="shared" si="0"/>
        <v>17.239999999999998</v>
      </c>
      <c r="G8" s="4">
        <f>ROUND($E8/SUM($E$7:$E$8)*100,2)</f>
        <v>17.239999999999998</v>
      </c>
      <c r="H8" s="2"/>
    </row>
    <row r="9" spans="1:8" s="30" customFormat="1" ht="14.25" customHeight="1" x14ac:dyDescent="0.25">
      <c r="A9" s="29"/>
      <c r="B9" s="28" t="s">
        <v>501</v>
      </c>
      <c r="C9" s="28">
        <f>SUM(C6:C8)</f>
        <v>29</v>
      </c>
      <c r="D9" s="28">
        <f>SUM(D6:D8)</f>
        <v>0</v>
      </c>
      <c r="E9" s="28">
        <f>SUM(C9:D9)</f>
        <v>29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3</v>
      </c>
      <c r="D7" s="4">
        <f>COUNTIFS(Resp4[Vínculo],"docente",Resp4[4.85],B7)</f>
        <v>0</v>
      </c>
      <c r="E7" s="2">
        <f>COUNTIF(Resp4[4.85],B7)</f>
        <v>3</v>
      </c>
      <c r="F7" s="4">
        <f t="shared" ref="F7:F9" si="0">ROUND($E7/E$9*100,2)</f>
        <v>10.34</v>
      </c>
      <c r="G7" s="4">
        <f>ROUND($E7/SUM($E$7:$E$8)*100,2)</f>
        <v>10.34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26</v>
      </c>
      <c r="D8" s="4">
        <f>COUNTIFS(Resp4[Vínculo],"docente",Resp4[4.85],B8)</f>
        <v>0</v>
      </c>
      <c r="E8" s="2">
        <f>COUNTIF(Resp4[4.85],B8)</f>
        <v>26</v>
      </c>
      <c r="F8" s="22">
        <f t="shared" si="0"/>
        <v>89.66</v>
      </c>
      <c r="G8" s="4">
        <f>ROUND($E8/SUM($E$7:$E$8)*100,2)</f>
        <v>89.66</v>
      </c>
      <c r="H8" s="2"/>
    </row>
    <row r="9" spans="1:8" x14ac:dyDescent="0.25">
      <c r="A9" s="2"/>
      <c r="B9" s="8" t="s">
        <v>501</v>
      </c>
      <c r="C9" s="8">
        <f>SUM(C6:C8)</f>
        <v>29</v>
      </c>
      <c r="D9" s="8">
        <f>SUM(D6:D8)</f>
        <v>0</v>
      </c>
      <c r="E9" s="8">
        <f>SUM(C9:D9)</f>
        <v>29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493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COUNTIFS(Resp4[Vínculo],"tecnico",Resp4[4.86],B9)</f>
        <v>2</v>
      </c>
      <c r="D9" s="4">
        <f>COUNTIFS(Resp4[Vínculo],"docente",Resp4[4.86],B9)</f>
        <v>0</v>
      </c>
      <c r="E9" s="4">
        <f>COUNTIF(Resp4[4.86],B9)</f>
        <v>2</v>
      </c>
      <c r="F9" s="4">
        <f t="shared" si="0"/>
        <v>6.9</v>
      </c>
      <c r="G9" s="3">
        <f t="shared" si="1"/>
        <v>66.667000000000002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0</v>
      </c>
      <c r="E10" s="4">
        <f>COUNTIF(Resp4[4.86],B10)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COUNTIFS(Resp4[Vínculo],"tecnico",Resp4[4.86],B11)</f>
        <v>1</v>
      </c>
      <c r="D11" s="4">
        <f>COUNTIFS(Resp4[Vínculo],"docente",Resp4[4.86],B11)</f>
        <v>0</v>
      </c>
      <c r="E11" s="4">
        <f>COUNTIF(Resp4[4.86],B11)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COUNTIFS(Resp4[Vínculo],"tecnico",Resp4[4.86],B12)</f>
        <v>0</v>
      </c>
      <c r="D12" s="4">
        <f>COUNTIFS(Resp4[Vínculo],"docente",Resp4[4.86],B12)</f>
        <v>0</v>
      </c>
      <c r="E12" s="4">
        <f>COUNTIF(Resp4[4.86],B12)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493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207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206</v>
      </c>
      <c r="C9" s="4">
        <f>COUNTIFS(Resp4[Vínculo],"tecnico",Resp4[4.87],B9)</f>
        <v>1</v>
      </c>
      <c r="D9" s="4">
        <f>COUNTIFS(Resp4[Vínculo],"docente",Resp4[4.87],B9)</f>
        <v>0</v>
      </c>
      <c r="E9" s="4">
        <f>COUNTIF(Resp4[4.87],B9)</f>
        <v>1</v>
      </c>
      <c r="F9" s="4">
        <f>ROUND($E9/E$13*100,2)</f>
        <v>3.45</v>
      </c>
      <c r="G9" s="3">
        <f t="shared" si="0"/>
        <v>33.332999999999998</v>
      </c>
    </row>
    <row r="10" spans="1:7" x14ac:dyDescent="0.25">
      <c r="B10" s="2" t="s">
        <v>30</v>
      </c>
      <c r="C10" s="4">
        <f>COUNTIFS(Resp4[Vínculo],"tecnico",Resp4[4.87],B10)</f>
        <v>1</v>
      </c>
      <c r="D10" s="4">
        <f>COUNTIFS(Resp4[Vínculo],"docente",Resp4[4.87],B10)</f>
        <v>0</v>
      </c>
      <c r="E10" s="4">
        <f>COUNTIF(Resp4[4.87],B10)</f>
        <v>1</v>
      </c>
      <c r="F10" s="4">
        <f>ROUND($E10/E$13*100,2)</f>
        <v>3.45</v>
      </c>
      <c r="G10" s="3">
        <f t="shared" si="0"/>
        <v>33.332999999999998</v>
      </c>
    </row>
    <row r="11" spans="1:7" x14ac:dyDescent="0.25">
      <c r="B11" s="2" t="s">
        <v>200</v>
      </c>
      <c r="C11" s="4">
        <f>COUNTIFS(Resp4[Vínculo],"tecnico",Resp4[4.87],B11)</f>
        <v>1</v>
      </c>
      <c r="D11" s="4">
        <f>COUNTIFS(Resp4[Vínculo],"docente",Resp4[4.87],B11)</f>
        <v>0</v>
      </c>
      <c r="E11" s="4">
        <f>COUNTIF(Resp4[4.87],B11)</f>
        <v>1</v>
      </c>
      <c r="F11" s="4">
        <f>ROUND($E11/E$13*100,2)</f>
        <v>3.45</v>
      </c>
      <c r="G11" s="3">
        <f t="shared" si="0"/>
        <v>33.332999999999998</v>
      </c>
    </row>
    <row r="12" spans="1:7" x14ac:dyDescent="0.25">
      <c r="B12" s="7" t="s">
        <v>203</v>
      </c>
      <c r="C12" s="4">
        <f>COUNTIFS(Resp4[Vínculo],"tecnico",Resp4[4.87],B12)</f>
        <v>0</v>
      </c>
      <c r="D12" s="4">
        <f>COUNTIFS(Resp4[Vínculo],"docente",Resp4[4.87],B12)</f>
        <v>0</v>
      </c>
      <c r="E12" s="4">
        <f>COUNTIF(Resp4[4.87],B12)</f>
        <v>0</v>
      </c>
      <c r="F12" s="22">
        <f>ROUND($E12/E$13*100,2)</f>
        <v>0</v>
      </c>
      <c r="G12" s="3">
        <f t="shared" si="0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1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493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15">
        <f>ROUND($E6/E$13*100,2)</f>
        <v>89.66</v>
      </c>
    </row>
    <row r="7" spans="1:7" x14ac:dyDescent="0.25">
      <c r="B7" s="2" t="s">
        <v>201</v>
      </c>
      <c r="C7" s="4">
        <f>COUNTIFS(Resp4[Vínculo],"tecnico",Resp4[4.88],B7)</f>
        <v>0</v>
      </c>
      <c r="D7" s="4">
        <f>COUNTIFS(Resp4[Vínculo],"docente",Resp4[4.88],B7)</f>
        <v>0</v>
      </c>
      <c r="E7" s="4">
        <f>COUNTIF(Resp4[4.88],B7)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COUNTIFS(Resp4[Vínculo],"tecnico",Resp4[4.88],B9)</f>
        <v>2</v>
      </c>
      <c r="D9" s="4">
        <f>COUNTIFS(Resp4[Vínculo],"docente",Resp4[4.88],B9)</f>
        <v>0</v>
      </c>
      <c r="E9" s="4">
        <f>COUNTIF(Resp4[4.88],B9)</f>
        <v>2</v>
      </c>
      <c r="F9" s="15">
        <f t="shared" si="0"/>
        <v>6.9</v>
      </c>
      <c r="G9" s="3">
        <f t="shared" si="1"/>
        <v>66.667000000000002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COUNTIFS(Resp4[Vínculo],"tecnico",Resp4[4.88],B11)</f>
        <v>1</v>
      </c>
      <c r="D11" s="4">
        <f>COUNTIFS(Resp4[Vínculo],"docente",Resp4[4.88],B11)</f>
        <v>0</v>
      </c>
      <c r="E11" s="4">
        <f>COUNTIF(Resp4[4.88],B11)</f>
        <v>1</v>
      </c>
      <c r="F11" s="15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COUNTIFS(Resp4[Vínculo],"tecnico",Resp4[4.88],B12)</f>
        <v>0</v>
      </c>
      <c r="D12" s="4">
        <f>COUNTIFS(Resp4[Vínculo],"docente",Resp4[4.88],B12)</f>
        <v>0</v>
      </c>
      <c r="E12" s="4">
        <f>COUNTIF(Resp4[4.88],B12)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493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COUNTIFS(Resp4[Vínculo],"tecnico",Resp4[4.89],B7)</f>
        <v>1</v>
      </c>
      <c r="D7" s="4">
        <f>COUNTIFS(Resp4[Vínculo],"docente",Resp4[4.89],B7)</f>
        <v>0</v>
      </c>
      <c r="E7" s="4">
        <f>COUNTIF(Resp4[4.89],B7)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COUNTIFS(Resp4[Vínculo],"tecnico",Resp4[4.89],B9)</f>
        <v>1</v>
      </c>
      <c r="D9" s="4">
        <f>COUNTIFS(Resp4[Vínculo],"docente",Resp4[4.89],B9)</f>
        <v>0</v>
      </c>
      <c r="E9" s="4">
        <f>COUNTIF(Resp4[4.89],B9)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COUNTIFS(Resp4[Vínculo],"tecnico",Resp4[4.89],B10)</f>
        <v>1</v>
      </c>
      <c r="D10" s="4">
        <f>COUNTIFS(Resp4[Vínculo],"docente",Resp4[4.89],B10)</f>
        <v>0</v>
      </c>
      <c r="E10" s="4">
        <f>COUNTIF(Resp4[4.89],B10)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COUNTIFS(Resp4[Vínculo],"tecnico",Resp4[4.89],B11)</f>
        <v>0</v>
      </c>
      <c r="D11" s="4">
        <f>COUNTIFS(Resp4[Vínculo],"docente",Resp4[4.89],B11)</f>
        <v>0</v>
      </c>
      <c r="E11" s="4">
        <f>COUNTIF(Resp4[4.89],B11)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COUNTIFS(Resp4[Vínculo],"tecnico",Resp4[4.89],B12)</f>
        <v>0</v>
      </c>
      <c r="D12" s="4">
        <f>COUNTIFS(Resp4[Vínculo],"docente",Resp4[4.89],B12)</f>
        <v>0</v>
      </c>
      <c r="E12" s="4">
        <f>COUNTIF(Resp4[4.89],B12)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493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COUNTIFS(Resp4[Vínculo],"tecnico",Resp4[4.90],B7)</f>
        <v>0</v>
      </c>
      <c r="D7" s="4">
        <f>COUNTIFS(Resp4[Vínculo],"docente",Resp4[4.90],B7)</f>
        <v>0</v>
      </c>
      <c r="E7" s="4">
        <f>COUNTIF(Resp4[4.90],B7)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COUNTIFS(Resp4[Vínculo],"tecnico",Resp4[4.90],B9)</f>
        <v>1</v>
      </c>
      <c r="D9" s="4">
        <f>COUNTIFS(Resp4[Vínculo],"docente",Resp4[4.90],B9)</f>
        <v>0</v>
      </c>
      <c r="E9" s="4">
        <f>COUNTIF(Resp4[4.90],B9)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COUNTIFS(Resp4[Vínculo],"tecnico",Resp4[4.90],B10)</f>
        <v>1</v>
      </c>
      <c r="D10" s="4">
        <f>COUNTIFS(Resp4[Vínculo],"docente",Resp4[4.90],B10)</f>
        <v>0</v>
      </c>
      <c r="E10" s="4">
        <f>COUNTIF(Resp4[4.90],B10)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COUNTIFS(Resp4[Vínculo],"tecnico",Resp4[4.90],B11)</f>
        <v>1</v>
      </c>
      <c r="D11" s="4">
        <f>COUNTIFS(Resp4[Vínculo],"docente",Resp4[4.90],B11)</f>
        <v>0</v>
      </c>
      <c r="E11" s="4">
        <f>COUNTIF(Resp4[4.90],B11)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COUNTIFS(Resp4[Vínculo],"tecnico",Resp4[4.90],B12)</f>
        <v>0</v>
      </c>
      <c r="D12" s="4">
        <f>COUNTIFS(Resp4[Vínculo],"docente",Resp4[4.90],B12)</f>
        <v>0</v>
      </c>
      <c r="E12" s="4">
        <f>COUNTIF(Resp4[4.90],B12)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493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COUNTIFS(Resp4[Vínculo],"tecnico",Resp4[4.91],B7)</f>
        <v>0</v>
      </c>
      <c r="D7" s="4">
        <f>COUNTIFS(Resp4[Vínculo],"docente",Resp4[4.91],B7)</f>
        <v>0</v>
      </c>
      <c r="E7" s="4">
        <f>COUNTIF(Resp4[4.91],B7)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COUNTIFS(Resp4[Vínculo],"tecnico",Resp4[4.91],B9)</f>
        <v>1</v>
      </c>
      <c r="D9" s="4">
        <f>COUNTIFS(Resp4[Vínculo],"docente",Resp4[4.91],B9)</f>
        <v>0</v>
      </c>
      <c r="E9" s="4">
        <f>COUNTIF(Resp4[4.91],B9)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COUNTIFS(Resp4[Vínculo],"tecnico",Resp4[4.91],B10)</f>
        <v>1</v>
      </c>
      <c r="D10" s="4">
        <f>COUNTIFS(Resp4[Vínculo],"docente",Resp4[4.91],B10)</f>
        <v>0</v>
      </c>
      <c r="E10" s="4">
        <f>COUNTIF(Resp4[4.91],B10)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COUNTIFS(Resp4[Vínculo],"tecnico",Resp4[4.91],B11)</f>
        <v>1</v>
      </c>
      <c r="D11" s="4">
        <f>COUNTIFS(Resp4[Vínculo],"docente",Resp4[4.91],B11)</f>
        <v>0</v>
      </c>
      <c r="E11" s="4">
        <f>COUNTIF(Resp4[4.91],B11)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COUNTIFS(Resp4[Vínculo],"tecnico",Resp4[4.91],B12)</f>
        <v>0</v>
      </c>
      <c r="D12" s="4">
        <f>COUNTIFS(Resp4[Vínculo],"docente",Resp4[4.91],B12)</f>
        <v>0</v>
      </c>
      <c r="E12" s="4">
        <f>COUNTIF(Resp4[4.91],B12)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493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COUNTIFS(Resp4[Vínculo],"tecnico",Resp4[4.92],B9)</f>
        <v>1</v>
      </c>
      <c r="D9" s="4">
        <f>COUNTIFS(Resp4[Vínculo],"docente",Resp4[4.92],B9)</f>
        <v>0</v>
      </c>
      <c r="E9" s="4">
        <f>COUNTIF(Resp4[4.92],B9)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COUNTIFS(Resp4[Vínculo],"tecnico",Resp4[4.92],B10)</f>
        <v>1</v>
      </c>
      <c r="D10" s="4">
        <f>COUNTIFS(Resp4[Vínculo],"docente",Resp4[4.92],B10)</f>
        <v>0</v>
      </c>
      <c r="E10" s="4">
        <f>COUNTIF(Resp4[4.92],B10)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COUNTIFS(Resp4[Vínculo],"tecnico",Resp4[4.92],B11)</f>
        <v>1</v>
      </c>
      <c r="D11" s="4">
        <f>COUNTIFS(Resp4[Vínculo],"docente",Resp4[4.92],B11)</f>
        <v>0</v>
      </c>
      <c r="E11" s="4">
        <f>COUNTIF(Resp4[4.92],B11)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COUNTIFS(Resp4[Vínculo],"tecnico",Resp4[4.92],B12)</f>
        <v>0</v>
      </c>
      <c r="D12" s="4">
        <f>COUNTIFS(Resp4[Vínculo],"docente",Resp4[4.92],B12)</f>
        <v>0</v>
      </c>
      <c r="E12" s="4">
        <f>COUNTIF(Resp4[4.92],B12)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493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28</v>
      </c>
      <c r="D6" s="2">
        <f>COUNTIF(Resp4[Vínculo],"docente")-SUM(D$7:D$12)</f>
        <v>0</v>
      </c>
      <c r="E6" s="4">
        <f>E13-SUM(E7:E12)</f>
        <v>28</v>
      </c>
      <c r="F6" s="103">
        <f t="shared" ref="F6:F13" si="0">ROUND($E6/E$13*100,2)</f>
        <v>96.55</v>
      </c>
    </row>
    <row r="7" spans="1:7" x14ac:dyDescent="0.25">
      <c r="B7" s="2" t="s">
        <v>201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103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10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0</v>
      </c>
      <c r="E10" s="4">
        <f>COUNTIF(Resp4[4.03],B10)</f>
        <v>0</v>
      </c>
      <c r="F10" s="103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COUNTIFS(Resp4[Vínculo],"tecnico",Resp4[4.03],B11)</f>
        <v>1</v>
      </c>
      <c r="D11" s="4">
        <f>COUNTIFS(Resp4[Vínculo],"docente",Resp4[4.03],B11)</f>
        <v>0</v>
      </c>
      <c r="E11" s="4">
        <f>COUNTIF(Resp4[4.03],B11)</f>
        <v>1</v>
      </c>
      <c r="F11" s="103">
        <f t="shared" si="0"/>
        <v>3.45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COUNTIFS(Resp4[Vínculo],"tecnico",Resp4[4.03],B12)</f>
        <v>0</v>
      </c>
      <c r="D12" s="4">
        <f>COUNTIFS(Resp4[Vínculo],"docente",Resp4[4.03],B12)</f>
        <v>0</v>
      </c>
      <c r="E12" s="4">
        <f>COUNTIF(Resp4[4.03],B12)</f>
        <v>0</v>
      </c>
      <c r="F12" s="10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493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COUNTIFS(Resp4[Vínculo],"tecnico",Resp4[4.93],B7)</f>
        <v>1</v>
      </c>
      <c r="D7" s="4">
        <f>COUNTIFS(Resp4[Vínculo],"docente",Resp4[4.93],B7)</f>
        <v>0</v>
      </c>
      <c r="E7" s="4">
        <f>COUNTIF(Resp4[4.93],B7)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COUNTIFS(Resp4[Vínculo],"tecnico",Resp4[4.93],B8)</f>
        <v>1</v>
      </c>
      <c r="D8" s="4">
        <f>COUNTIFS(Resp4[Vínculo],"docente",Resp4[4.93],B8)</f>
        <v>0</v>
      </c>
      <c r="E8" s="4">
        <f>COUNTIF(Resp4[4.93],B8)</f>
        <v>1</v>
      </c>
      <c r="F8" s="4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1</v>
      </c>
      <c r="D10" s="4">
        <f>COUNTIFS(Resp4[Vínculo],"docente",Resp4[4.93],B10)</f>
        <v>0</v>
      </c>
      <c r="E10" s="4">
        <f>COUNTIF(Resp4[4.93],B10)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COUNTIFS(Resp4[Vínculo],"tecnico",Resp4[4.93],B11)</f>
        <v>0</v>
      </c>
      <c r="D11" s="4">
        <f>COUNTIFS(Resp4[Vínculo],"docente",Resp4[4.93],B11)</f>
        <v>0</v>
      </c>
      <c r="E11" s="4">
        <f>COUNTIF(Resp4[4.93],B11)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COUNTIFS(Resp4[Vínculo],"tecnico",Resp4[4.93],B12)</f>
        <v>0</v>
      </c>
      <c r="D12" s="4">
        <f>COUNTIFS(Resp4[Vínculo],"docente",Resp4[4.93],B12)</f>
        <v>0</v>
      </c>
      <c r="E12" s="4">
        <f>COUNTIF(Resp4[4.93],B12)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4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493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COUNTIFS(Resp4[Vínculo],"tecnico",Resp4[4.94],B7)</f>
        <v>1</v>
      </c>
      <c r="D7" s="4">
        <f>COUNTIFS(Resp4[Vínculo],"docente",Resp4[4.94],B7)</f>
        <v>0</v>
      </c>
      <c r="E7" s="4">
        <f>COUNTIF(Resp4[4.94],B7)</f>
        <v>1</v>
      </c>
      <c r="F7" s="4">
        <f t="shared" ref="F7:F13" si="0">ROUND($E7/E$13*100,2)</f>
        <v>3.45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COUNTIFS(Resp4[Vínculo],"tecnico",Resp4[4.94],B8)</f>
        <v>1</v>
      </c>
      <c r="D8" s="4">
        <f>COUNTIFS(Resp4[Vínculo],"docente",Resp4[4.94],B8)</f>
        <v>0</v>
      </c>
      <c r="E8" s="4">
        <f>COUNTIF(Resp4[4.94],B8)</f>
        <v>1</v>
      </c>
      <c r="F8" s="4">
        <f t="shared" si="0"/>
        <v>3.45</v>
      </c>
      <c r="G8" s="3">
        <f t="shared" si="1"/>
        <v>33.332999999999998</v>
      </c>
    </row>
    <row r="9" spans="1:7" x14ac:dyDescent="0.25">
      <c r="B9" s="2" t="s">
        <v>206</v>
      </c>
      <c r="C9" s="4">
        <f>COUNTIFS(Resp4[Vínculo],"tecnico",Resp4[4.94],B9)</f>
        <v>0</v>
      </c>
      <c r="D9" s="4">
        <f>COUNTIFS(Resp4[Vínculo],"docente",Resp4[4.94],B9)</f>
        <v>0</v>
      </c>
      <c r="E9" s="4">
        <f>COUNTIF(Resp4[4.94],B9)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COUNTIFS(Resp4[Vínculo],"tecnico",Resp4[4.94],B10)</f>
        <v>1</v>
      </c>
      <c r="D10" s="4">
        <f>COUNTIFS(Resp4[Vínculo],"docente",Resp4[4.94],B10)</f>
        <v>0</v>
      </c>
      <c r="E10" s="4">
        <f>COUNTIF(Resp4[4.94],B10)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COUNTIFS(Resp4[Vínculo],"tecnico",Resp4[4.94],B11)</f>
        <v>0</v>
      </c>
      <c r="D11" s="4">
        <f>COUNTIFS(Resp4[Vínculo],"docente",Resp4[4.94],B11)</f>
        <v>0</v>
      </c>
      <c r="E11" s="4">
        <f>COUNTIF(Resp4[4.94],B11)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493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0</v>
      </c>
      <c r="E10" s="4">
        <f>COUNTIF(Resp4[4.95],B10)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COUNTIFS(Resp4[Vínculo],"tecnico",Resp4[4.95],B11)</f>
        <v>2</v>
      </c>
      <c r="D11" s="4">
        <f>COUNTIFS(Resp4[Vínculo],"docente",Resp4[4.95],B11)</f>
        <v>0</v>
      </c>
      <c r="E11" s="4">
        <f>COUNTIF(Resp4[4.95],B11)</f>
        <v>2</v>
      </c>
      <c r="F11" s="4">
        <f t="shared" si="0"/>
        <v>6.9</v>
      </c>
      <c r="G11" s="3">
        <f t="shared" si="1"/>
        <v>66.667000000000002</v>
      </c>
    </row>
    <row r="12" spans="1:7" x14ac:dyDescent="0.25">
      <c r="B12" s="7" t="s">
        <v>203</v>
      </c>
      <c r="C12" s="4">
        <f>COUNTIFS(Resp4[Vínculo],"tecnico",Resp4[4.95],B12)</f>
        <v>0</v>
      </c>
      <c r="D12" s="4">
        <f>COUNTIFS(Resp4[Vínculo],"docente",Resp4[4.95],B12)</f>
        <v>0</v>
      </c>
      <c r="E12" s="4">
        <f>COUNTIF(Resp4[4.95],B12)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493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1</v>
      </c>
      <c r="D10" s="4">
        <f>COUNTIFS(Resp4[Vínculo],"docente",Resp4[4.96],B10)</f>
        <v>0</v>
      </c>
      <c r="E10" s="4">
        <f>COUNTIF(Resp4[4.96],B10)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COUNTIFS(Resp4[Vínculo],"tecnico",Resp4[4.96],B11)</f>
        <v>2</v>
      </c>
      <c r="D11" s="4">
        <f>COUNTIFS(Resp4[Vínculo],"docente",Resp4[4.96],B11)</f>
        <v>0</v>
      </c>
      <c r="E11" s="4">
        <f>COUNTIF(Resp4[4.96],B11)</f>
        <v>2</v>
      </c>
      <c r="F11" s="4">
        <f t="shared" si="0"/>
        <v>6.9</v>
      </c>
      <c r="G11" s="3">
        <f t="shared" si="1"/>
        <v>66.667000000000002</v>
      </c>
    </row>
    <row r="12" spans="1:7" x14ac:dyDescent="0.25">
      <c r="B12" s="7" t="s">
        <v>203</v>
      </c>
      <c r="C12" s="4">
        <f>COUNTIFS(Resp4[Vínculo],"tecnico",Resp4[4.96],B12)</f>
        <v>0</v>
      </c>
      <c r="D12" s="4">
        <f>COUNTIFS(Resp4[Vínculo],"docente",Resp4[4.96],B12)</f>
        <v>0</v>
      </c>
      <c r="E12" s="4">
        <f>COUNTIF(Resp4[4.96],B12)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493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COUNTIFS(Resp4[Vínculo],"tecnico",Resp4[4.97],B9)</f>
        <v>1</v>
      </c>
      <c r="D9" s="4">
        <f>COUNTIFS(Resp4[Vínculo],"docente",Resp4[4.97],B9)</f>
        <v>0</v>
      </c>
      <c r="E9" s="4">
        <f>COUNTIF(Resp4[4.97],B9)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COUNTIFS(Resp4[Vínculo],"tecnico",Resp4[4.97],B11)</f>
        <v>2</v>
      </c>
      <c r="D11" s="4">
        <f>COUNTIFS(Resp4[Vínculo],"docente",Resp4[4.97],B11)</f>
        <v>0</v>
      </c>
      <c r="E11" s="4">
        <f>COUNTIF(Resp4[4.97],B11)</f>
        <v>2</v>
      </c>
      <c r="F11" s="4">
        <f t="shared" si="0"/>
        <v>6.9</v>
      </c>
      <c r="G11" s="3">
        <f t="shared" si="1"/>
        <v>66.667000000000002</v>
      </c>
    </row>
    <row r="12" spans="1:7" x14ac:dyDescent="0.25">
      <c r="B12" s="7" t="s">
        <v>203</v>
      </c>
      <c r="C12" s="4">
        <f>COUNTIFS(Resp4[Vínculo],"tecnico",Resp4[4.97],B12)</f>
        <v>0</v>
      </c>
      <c r="D12" s="4">
        <f>COUNTIFS(Resp4[Vínculo],"docente",Resp4[4.97],B12)</f>
        <v>0</v>
      </c>
      <c r="E12" s="4">
        <f>COUNTIF(Resp4[4.97],B12)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493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COUNTIFS(Resp4[Vínculo],"tecnico",Resp4[4.98],B7)</f>
        <v>0</v>
      </c>
      <c r="D7" s="4">
        <f>COUNTIFS(Resp4[Vínculo],"docente",Resp4[4.98],B7)</f>
        <v>0</v>
      </c>
      <c r="E7" s="4">
        <f>COUNTIF(Resp4[4.98],B7)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COUNTIFS(Resp4[Vínculo],"tecnico",Resp4[4.98],B9)</f>
        <v>1</v>
      </c>
      <c r="D9" s="4">
        <f>COUNTIFS(Resp4[Vínculo],"docente",Resp4[4.98],B9)</f>
        <v>0</v>
      </c>
      <c r="E9" s="4">
        <f>COUNTIF(Resp4[4.98],B9)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0</v>
      </c>
      <c r="E10" s="4">
        <f>COUNTIF(Resp4[4.98],B10)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COUNTIFS(Resp4[Vínculo],"tecnico",Resp4[4.98],B11)</f>
        <v>2</v>
      </c>
      <c r="D11" s="4">
        <f>COUNTIFS(Resp4[Vínculo],"docente",Resp4[4.98],B11)</f>
        <v>0</v>
      </c>
      <c r="E11" s="4">
        <f>COUNTIF(Resp4[4.98],B11)</f>
        <v>2</v>
      </c>
      <c r="F11" s="4">
        <f t="shared" si="0"/>
        <v>6.9</v>
      </c>
      <c r="G11" s="3">
        <f t="shared" si="1"/>
        <v>66.667000000000002</v>
      </c>
    </row>
    <row r="12" spans="1:7" x14ac:dyDescent="0.25">
      <c r="B12" s="7" t="s">
        <v>203</v>
      </c>
      <c r="C12" s="4">
        <f>COUNTIFS(Resp4[Vínculo],"tecnico",Resp4[4.98],B12)</f>
        <v>0</v>
      </c>
      <c r="D12" s="4">
        <f>COUNTIFS(Resp4[Vínculo],"docente",Resp4[4.98],B12)</f>
        <v>0</v>
      </c>
      <c r="E12" s="4">
        <f>COUNTIF(Resp4[4.98],B12)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493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COUNTIFS(Resp4[Vínculo],"tecnico",Resp4[4.99],B11)</f>
        <v>3</v>
      </c>
      <c r="D11" s="4">
        <f>COUNTIFS(Resp4[Vínculo],"docente",Resp4[4.99],B11)</f>
        <v>0</v>
      </c>
      <c r="E11" s="4">
        <f>COUNTIF(Resp4[4.99],B11)</f>
        <v>3</v>
      </c>
      <c r="F11" s="4">
        <f t="shared" si="0"/>
        <v>10.34</v>
      </c>
      <c r="G11" s="3">
        <f t="shared" si="1"/>
        <v>100</v>
      </c>
    </row>
    <row r="12" spans="1:7" x14ac:dyDescent="0.25">
      <c r="B12" s="7" t="s">
        <v>203</v>
      </c>
      <c r="C12" s="4">
        <f>COUNTIFS(Resp4[Vínculo],"tecnico",Resp4[4.99],B12)</f>
        <v>0</v>
      </c>
      <c r="D12" s="4">
        <f>COUNTIFS(Resp4[Vínculo],"docente",Resp4[4.99],B12)</f>
        <v>0</v>
      </c>
      <c r="E12" s="4">
        <f>COUNTIF(Resp4[4.99],B12)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493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COUNTIFS(Resp4[Vínculo],"tecnico",Resp4[4.100],B7)</f>
        <v>0</v>
      </c>
      <c r="D7" s="4">
        <f>COUNTIFS(Resp4[Vínculo],"docente",Resp4[4.100],B7)</f>
        <v>0</v>
      </c>
      <c r="E7" s="4">
        <f>COUNTIF(Resp4[4.100],B7)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COUNTIFS(Resp4[Vínculo],"tecnico",Resp4[4.100],B9)</f>
        <v>2</v>
      </c>
      <c r="D9" s="4">
        <f>COUNTIFS(Resp4[Vínculo],"docente",Resp4[4.100],B9)</f>
        <v>0</v>
      </c>
      <c r="E9" s="4">
        <f>COUNTIF(Resp4[4.100],B9)</f>
        <v>2</v>
      </c>
      <c r="F9" s="4">
        <f t="shared" si="0"/>
        <v>6.9</v>
      </c>
      <c r="G9" s="3">
        <f t="shared" si="1"/>
        <v>66.667000000000002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0</v>
      </c>
      <c r="E10" s="4">
        <f>COUNTIF(Resp4[4.100],B10)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COUNTIFS(Resp4[Vínculo],"tecnico",Resp4[4.100],B11)</f>
        <v>1</v>
      </c>
      <c r="D11" s="4">
        <f>COUNTIFS(Resp4[Vínculo],"docente",Resp4[4.100],B11)</f>
        <v>0</v>
      </c>
      <c r="E11" s="4">
        <f>COUNTIF(Resp4[4.100],B11)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COUNTIFS(Resp4[Vínculo],"tecnico",Resp4[4.100],B12)</f>
        <v>0</v>
      </c>
      <c r="D12" s="4">
        <f>COUNTIFS(Resp4[Vínculo],"docente",Resp4[4.100],B12)</f>
        <v>0</v>
      </c>
      <c r="E12" s="4">
        <f>COUNTIF(Resp4[4.100],B12)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66.667000000000002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493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COUNTIFS(Resp4[Vínculo],"tecnico",Resp4[4.101],B9)</f>
        <v>1</v>
      </c>
      <c r="D9" s="4">
        <f>COUNTIFS(Resp4[Vínculo],"docente",Resp4[4.101],B9)</f>
        <v>0</v>
      </c>
      <c r="E9" s="4">
        <f>COUNTIF(Resp4[4.101],B9)</f>
        <v>1</v>
      </c>
      <c r="F9" s="4">
        <f t="shared" si="0"/>
        <v>3.45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COUNTIFS(Resp4[Vínculo],"tecnico",Resp4[4.101],B10)</f>
        <v>1</v>
      </c>
      <c r="D10" s="4">
        <f>COUNTIFS(Resp4[Vínculo],"docente",Resp4[4.101],B10)</f>
        <v>0</v>
      </c>
      <c r="E10" s="4">
        <f>COUNTIF(Resp4[4.101],B10)</f>
        <v>1</v>
      </c>
      <c r="F10" s="4">
        <f t="shared" si="0"/>
        <v>3.45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COUNTIFS(Resp4[Vínculo],"tecnico",Resp4[4.101],B11)</f>
        <v>1</v>
      </c>
      <c r="D11" s="4">
        <f>COUNTIFS(Resp4[Vínculo],"docente",Resp4[4.101],B11)</f>
        <v>0</v>
      </c>
      <c r="E11" s="4">
        <f>COUNTIF(Resp4[4.101],B11)</f>
        <v>1</v>
      </c>
      <c r="F11" s="4">
        <f t="shared" si="0"/>
        <v>3.45</v>
      </c>
      <c r="G11" s="3">
        <f t="shared" si="1"/>
        <v>33.332999999999998</v>
      </c>
    </row>
    <row r="12" spans="1:7" x14ac:dyDescent="0.25">
      <c r="B12" s="7" t="s">
        <v>203</v>
      </c>
      <c r="C12" s="4">
        <f>COUNTIFS(Resp4[Vínculo],"tecnico",Resp4[4.101],B12)</f>
        <v>0</v>
      </c>
      <c r="D12" s="4">
        <f>COUNTIFS(Resp4[Vínculo],"docente",Resp4[4.101],B12)</f>
        <v>0</v>
      </c>
      <c r="E12" s="4">
        <f>COUNTIF(Resp4[4.101],B12)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493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26</v>
      </c>
      <c r="D6" s="2">
        <f>COUNTIF(Resp4[Vínculo],"docente")-SUM(D$7:D$12)</f>
        <v>0</v>
      </c>
      <c r="E6" s="4">
        <f>E13-SUM(E7:E12)</f>
        <v>26</v>
      </c>
      <c r="F6" s="4">
        <f>ROUND($E6/E$13*100,2)</f>
        <v>89.66</v>
      </c>
    </row>
    <row r="7" spans="1:7" x14ac:dyDescent="0.25">
      <c r="B7" s="2" t="s">
        <v>201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206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2</v>
      </c>
      <c r="D10" s="4">
        <f>COUNTIFS(Resp4[Vínculo],"docente",Resp4[4.102],B10)</f>
        <v>0</v>
      </c>
      <c r="E10" s="4">
        <f>COUNTIF(Resp4[4.102],B10)</f>
        <v>2</v>
      </c>
      <c r="F10" s="4">
        <f t="shared" si="0"/>
        <v>6.9</v>
      </c>
      <c r="G10" s="3">
        <f t="shared" si="1"/>
        <v>66.667000000000002</v>
      </c>
    </row>
    <row r="11" spans="1:7" x14ac:dyDescent="0.25">
      <c r="B11" s="2" t="s">
        <v>200</v>
      </c>
      <c r="C11" s="4">
        <f>COUNTIFS(Resp4[Vínculo],"tecnico",Resp4[4.102],B11)</f>
        <v>0</v>
      </c>
      <c r="D11" s="4">
        <f>COUNTIFS(Resp4[Vínculo],"docente",Resp4[4.102],B11)</f>
        <v>0</v>
      </c>
      <c r="E11" s="4">
        <f>COUNTIF(Resp4[4.102],B11)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203</v>
      </c>
      <c r="C12" s="4">
        <f>COUNTIFS(Resp4[Vínculo],"tecnico",Resp4[4.102],B12)</f>
        <v>1</v>
      </c>
      <c r="D12" s="4">
        <f>COUNTIFS(Resp4[Vínculo],"docente",Resp4[4.102],B12)</f>
        <v>0</v>
      </c>
      <c r="E12" s="4">
        <f>COUNTIF(Resp4[4.102],B12)</f>
        <v>1</v>
      </c>
      <c r="F12" s="22">
        <f t="shared" si="0"/>
        <v>3.45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29</v>
      </c>
      <c r="D13" s="8">
        <f>SUM(D6:D12)</f>
        <v>0</v>
      </c>
      <c r="E13" s="8">
        <f>SUM(C13:D13)</f>
        <v>29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2022-02-04T17:08:46Z</dcterms:modified>
  <cp:category/>
  <cp:contentStatus/>
</cp:coreProperties>
</file>