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<sst xmlns="http://schemas.openxmlformats.org/spreadsheetml/2006/main" count="9687" uniqueCount="512">
  <si>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</si>
  <si>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</si>
  <si>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</si>
  <si>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</si>
  <si>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</si>
  <si>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</si>
  <si>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</si>
  <si>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</si>
  <si>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</si>
  <si>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</si>
  <si>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</si>
  <si>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</si>
  <si>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</si>
  <si>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</si>
  <si>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</si>
  <si>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</si>
  <si>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</si>
  <si>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</si>
  <si>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</si>
  <si>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</si>
  <si>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</si>
  <si>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</si>
  <si>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</si>
  <si>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</si>
  <si>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</si>
  <si>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</si>
  <si>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</si>
  <si>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</si>
  <si>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</si>
  <si>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</si>
  <si>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</si>
  <si>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</si>
  <si>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</si>
  <si>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</si>
  <si>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</si>
  <si>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</si>
  <si>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</si>
  <si>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</si>
  <si>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</si>
  <si>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</si>
  <si>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</si>
  <si>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</si>
  <si>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</si>
  <si>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</si>
  <si>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</si>
  <si>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</si>
  <si>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</si>
  <si>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</si>
  <si>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</si>
  <si>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</si>
  <si>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</si>
  <si>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</si>
  <si>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</si>
  <si>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</si>
  <si>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</si>
  <si>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</si>
  <si>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</si>
  <si>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</si>
  <si>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</si>
  <si>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</si>
  <si>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</si>
  <si>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</si>
  <si>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</si>
  <si>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</si>
  <si>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</si>
  <si>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</si>
  <si>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</si>
  <si>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</si>
  <si>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</si>
  <si>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</si>
  <si>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</si>
  <si>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</si>
  <si>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</si>
  <si>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</si>
  <si>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</si>
  <si>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</si>
  <si>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</si>
  <si>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</si>
  <si>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</si>
  <si>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</si>
  <si>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</si>
  <si>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</si>
  <si>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</si>
  <si>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</si>
  <si>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</si>
  <si>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</si>
  <si>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</si>
  <si>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</si>
  <si>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</si>
  <si>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</si>
  <si>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</si>
  <si>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</si>
  <si>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</si>
  <si>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</si>
  <si>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</si>
  <si>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</si>
  <si>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</si>
  <si>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</si>
  <si>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</si>
  <si>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</si>
  <si>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</si>
  <si>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</si>
  <si>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</si>
  <si>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</si>
  <si>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</si>
  <si>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</si>
  <si>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</si>
  <si>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</si>
  <si>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</si>
  <si>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</si>
  <si>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</si>
  <si>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</si>
  <si>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</si>
  <si>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</si>
  <si>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</si>
  <si>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</si>
  <si>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</si>
  <si>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</si>
  <si>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</si>
  <si>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</si>
  <si>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</si>
  <si>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</si>
  <si>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</si>
  <si>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</si>
  <si>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</si>
  <si>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</si>
  <si>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</si>
  <si>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</si>
  <si>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</si>
  <si>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</si>
  <si>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</si>
  <si>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</si>
  <si>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</si>
  <si>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</si>
  <si>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</si>
  <si>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</si>
  <si>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</si>
  <si>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</si>
  <si>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</si>
  <si>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</si>
  <si>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</si>
  <si>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</si>
  <si>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</si>
  <si>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</si>
  <si>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</si>
  <si>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</si>
  <si>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</si>
  <si>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</si>
  <si>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</si>
  <si>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</si>
  <si>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</si>
  <si>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</si>
  <si>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</si>
  <si>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</si>
  <si>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</si>
  <si>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</si>
  <si>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</si>
  <si>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</si>
  <si>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</si>
  <si>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</si>
  <si>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</si>
  <si>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</si>
  <si>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</si>
  <si>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</si>
  <si>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</si>
  <si>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</si>
  <si>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</si>
  <si>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</si>
  <si>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</si>
  <si>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</si>
  <si>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</si>
  <si>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</si>
  <si>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</si>
  <si>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</si>
  <si>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</si>
  <si>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</si>
  <si>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</si>
  <si>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</si>
  <si>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</si>
  <si>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</si>
  <si>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</si>
  <si>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</si>
  <si>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</si>
  <si>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</si>
  <si>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</si>
  <si>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</si>
  <si>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</si>
  <si>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</si>
  <si>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</si>
  <si>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</si>
  <si>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</si>
  <si>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</si>
  <si>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</si>
  <si>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PP</t>
  </si>
  <si>
    <t>Sim</t>
  </si>
  <si>
    <t>Bom</t>
  </si>
  <si>
    <t>Ruim</t>
  </si>
  <si>
    <t>Não sei responder</t>
  </si>
  <si>
    <t>Excelente</t>
  </si>
  <si>
    <t>Técnico</t>
  </si>
  <si>
    <t>Péssimo</t>
  </si>
  <si>
    <t>NULL</t>
  </si>
  <si>
    <t>Não</t>
  </si>
  <si>
    <t>Não se aplica</t>
  </si>
  <si>
    <t>Não tive conhecimento das ações</t>
  </si>
  <si>
    <t>Não tive condições em acessar as ações</t>
  </si>
  <si>
    <t>Outro</t>
  </si>
  <si>
    <t>Não são atividades do meu interesse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</si>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</sst>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63072"/>
        <c:axId val="84564608"/>
      </c:barChart>
      <c:catAx>
        <c:axId val="8456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4608"/>
        <c:crosses val="autoZero"/>
        <c:auto val="1"/>
        <c:lblAlgn val="ctr"/>
        <c:lblOffset val="100"/>
        <c:noMultiLvlLbl val="0"/>
      </c:catAx>
      <c:valAx>
        <c:axId val="845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952768"/>
        <c:axId val="127954304"/>
      </c:barChart>
      <c:catAx>
        <c:axId val="1279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54304"/>
        <c:crosses val="autoZero"/>
        <c:auto val="1"/>
        <c:lblAlgn val="ctr"/>
        <c:lblOffset val="100"/>
        <c:noMultiLvlLbl val="0"/>
      </c:catAx>
      <c:valAx>
        <c:axId val="12795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474112"/>
        <c:axId val="128492288"/>
      </c:barChart>
      <c:catAx>
        <c:axId val="1284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92288"/>
        <c:crosses val="autoZero"/>
        <c:auto val="1"/>
        <c:lblAlgn val="ctr"/>
        <c:lblOffset val="100"/>
        <c:noMultiLvlLbl val="0"/>
      </c:catAx>
      <c:valAx>
        <c:axId val="12849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7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81632"/>
        <c:axId val="128583168"/>
      </c:barChart>
      <c:catAx>
        <c:axId val="1285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83168"/>
        <c:crosses val="autoZero"/>
        <c:auto val="1"/>
        <c:lblAlgn val="ctr"/>
        <c:lblOffset val="100"/>
        <c:noMultiLvlLbl val="0"/>
      </c:catAx>
      <c:valAx>
        <c:axId val="12858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8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51104"/>
        <c:axId val="128752640"/>
      </c:barChart>
      <c:catAx>
        <c:axId val="1287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52640"/>
        <c:crosses val="autoZero"/>
        <c:auto val="1"/>
        <c:lblAlgn val="ctr"/>
        <c:lblOffset val="100"/>
        <c:noMultiLvlLbl val="0"/>
      </c:catAx>
      <c:valAx>
        <c:axId val="12875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5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63904"/>
        <c:axId val="85965440"/>
      </c:barChart>
      <c:catAx>
        <c:axId val="85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65440"/>
        <c:crosses val="autoZero"/>
        <c:auto val="1"/>
        <c:lblAlgn val="ctr"/>
        <c:lblOffset val="100"/>
        <c:noMultiLvlLbl val="0"/>
      </c:catAx>
      <c:valAx>
        <c:axId val="859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6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293312"/>
        <c:axId val="129307392"/>
      </c:barChart>
      <c:catAx>
        <c:axId val="1292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307392"/>
        <c:crosses val="autoZero"/>
        <c:auto val="1"/>
        <c:lblAlgn val="ctr"/>
        <c:lblOffset val="100"/>
        <c:noMultiLvlLbl val="0"/>
      </c:catAx>
      <c:valAx>
        <c:axId val="12930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29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479424"/>
        <c:axId val="129480960"/>
      </c:barChart>
      <c:catAx>
        <c:axId val="129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80960"/>
        <c:crosses val="autoZero"/>
        <c:auto val="1"/>
        <c:lblAlgn val="ctr"/>
        <c:lblOffset val="100"/>
        <c:noMultiLvlLbl val="0"/>
      </c:catAx>
      <c:valAx>
        <c:axId val="12948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7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315776"/>
        <c:axId val="130317312"/>
      </c:barChart>
      <c:catAx>
        <c:axId val="130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317312"/>
        <c:crosses val="autoZero"/>
        <c:auto val="1"/>
        <c:lblAlgn val="ctr"/>
        <c:lblOffset val="100"/>
        <c:noMultiLvlLbl val="0"/>
      </c:catAx>
      <c:valAx>
        <c:axId val="13031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31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58912"/>
        <c:axId val="86760448"/>
      </c:barChart>
      <c:catAx>
        <c:axId val="8675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60448"/>
        <c:crosses val="autoZero"/>
        <c:auto val="1"/>
        <c:lblAlgn val="ctr"/>
        <c:lblOffset val="100"/>
        <c:noMultiLvlLbl val="0"/>
      </c:catAx>
      <c:valAx>
        <c:axId val="8676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5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41632"/>
        <c:axId val="131543424"/>
      </c:barChart>
      <c:catAx>
        <c:axId val="1315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43424"/>
        <c:crosses val="autoZero"/>
        <c:auto val="1"/>
        <c:lblAlgn val="ctr"/>
        <c:lblOffset val="100"/>
        <c:noMultiLvlLbl val="0"/>
      </c:catAx>
      <c:valAx>
        <c:axId val="13154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268032"/>
        <c:axId val="132269568"/>
      </c:barChart>
      <c:catAx>
        <c:axId val="1322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69568"/>
        <c:crosses val="autoZero"/>
        <c:auto val="1"/>
        <c:lblAlgn val="ctr"/>
        <c:lblOffset val="100"/>
        <c:noMultiLvlLbl val="0"/>
      </c:catAx>
      <c:valAx>
        <c:axId val="13226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6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61088"/>
        <c:axId val="132762624"/>
      </c:barChart>
      <c:catAx>
        <c:axId val="1327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62624"/>
        <c:crosses val="autoZero"/>
        <c:auto val="1"/>
        <c:lblAlgn val="ctr"/>
        <c:lblOffset val="100"/>
        <c:noMultiLvlLbl val="0"/>
      </c:catAx>
      <c:valAx>
        <c:axId val="13276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6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340160"/>
        <c:axId val="133350144"/>
      </c:barChart>
      <c:catAx>
        <c:axId val="13334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50144"/>
        <c:crosses val="autoZero"/>
        <c:auto val="1"/>
        <c:lblAlgn val="ctr"/>
        <c:lblOffset val="100"/>
        <c:noMultiLvlLbl val="0"/>
      </c:catAx>
      <c:valAx>
        <c:axId val="13335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4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08224"/>
        <c:axId val="134309760"/>
      </c:barChart>
      <c:catAx>
        <c:axId val="1343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09760"/>
        <c:crosses val="autoZero"/>
        <c:auto val="1"/>
        <c:lblAlgn val="ctr"/>
        <c:lblOffset val="100"/>
        <c:noMultiLvlLbl val="0"/>
      </c:catAx>
      <c:valAx>
        <c:axId val="13430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0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132096"/>
        <c:axId val="136133632"/>
      </c:barChart>
      <c:catAx>
        <c:axId val="1361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33632"/>
        <c:crosses val="autoZero"/>
        <c:auto val="1"/>
        <c:lblAlgn val="ctr"/>
        <c:lblOffset val="100"/>
        <c:noMultiLvlLbl val="0"/>
      </c:catAx>
      <c:valAx>
        <c:axId val="13613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3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390528"/>
        <c:axId val="136392064"/>
      </c:barChart>
      <c:catAx>
        <c:axId val="1363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392064"/>
        <c:crosses val="autoZero"/>
        <c:auto val="1"/>
        <c:lblAlgn val="ctr"/>
        <c:lblOffset val="100"/>
        <c:noMultiLvlLbl val="0"/>
      </c:catAx>
      <c:valAx>
        <c:axId val="13639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39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23072"/>
        <c:axId val="136733056"/>
      </c:barChart>
      <c:catAx>
        <c:axId val="1367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33056"/>
        <c:crosses val="autoZero"/>
        <c:auto val="1"/>
        <c:lblAlgn val="ctr"/>
        <c:lblOffset val="100"/>
        <c:noMultiLvlLbl val="0"/>
      </c:catAx>
      <c:valAx>
        <c:axId val="13673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2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142656"/>
        <c:axId val="137144192"/>
      </c:barChart>
      <c:catAx>
        <c:axId val="1371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44192"/>
        <c:crosses val="autoZero"/>
        <c:auto val="1"/>
        <c:lblAlgn val="ctr"/>
        <c:lblOffset val="100"/>
        <c:noMultiLvlLbl val="0"/>
      </c:catAx>
      <c:valAx>
        <c:axId val="1371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4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930240"/>
        <c:axId val="137931776"/>
      </c:barChart>
      <c:catAx>
        <c:axId val="1379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31776"/>
        <c:crosses val="autoZero"/>
        <c:auto val="1"/>
        <c:lblAlgn val="ctr"/>
        <c:lblOffset val="100"/>
        <c:noMultiLvlLbl val="0"/>
      </c:catAx>
      <c:valAx>
        <c:axId val="13793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3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06912"/>
        <c:axId val="138433280"/>
      </c:barChart>
      <c:catAx>
        <c:axId val="1384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33280"/>
        <c:crosses val="autoZero"/>
        <c:auto val="1"/>
        <c:lblAlgn val="ctr"/>
        <c:lblOffset val="100"/>
        <c:noMultiLvlLbl val="0"/>
      </c:catAx>
      <c:valAx>
        <c:axId val="13843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0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087168"/>
        <c:axId val="88088960"/>
      </c:barChart>
      <c:catAx>
        <c:axId val="880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88960"/>
        <c:crosses val="autoZero"/>
        <c:auto val="1"/>
        <c:lblAlgn val="ctr"/>
        <c:lblOffset val="100"/>
        <c:noMultiLvlLbl val="0"/>
      </c:catAx>
      <c:valAx>
        <c:axId val="880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8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58272"/>
        <c:axId val="139159808"/>
      </c:barChart>
      <c:catAx>
        <c:axId val="1391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59808"/>
        <c:crosses val="autoZero"/>
        <c:auto val="1"/>
        <c:lblAlgn val="ctr"/>
        <c:lblOffset val="100"/>
        <c:noMultiLvlLbl val="0"/>
      </c:catAx>
      <c:valAx>
        <c:axId val="1391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5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11360"/>
        <c:axId val="139325440"/>
      </c:barChart>
      <c:catAx>
        <c:axId val="1393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25440"/>
        <c:crosses val="autoZero"/>
        <c:auto val="1"/>
        <c:lblAlgn val="ctr"/>
        <c:lblOffset val="100"/>
        <c:noMultiLvlLbl val="0"/>
      </c:catAx>
      <c:valAx>
        <c:axId val="1393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1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180864"/>
        <c:axId val="140772480"/>
      </c:barChart>
      <c:catAx>
        <c:axId val="1401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2480"/>
        <c:crosses val="autoZero"/>
        <c:auto val="1"/>
        <c:lblAlgn val="ctr"/>
        <c:lblOffset val="100"/>
        <c:noMultiLvlLbl val="0"/>
      </c:catAx>
      <c:valAx>
        <c:axId val="14077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8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16160"/>
        <c:axId val="141117696"/>
      </c:barChart>
      <c:catAx>
        <c:axId val="1411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17696"/>
        <c:crosses val="autoZero"/>
        <c:auto val="1"/>
        <c:lblAlgn val="ctr"/>
        <c:lblOffset val="100"/>
        <c:noMultiLvlLbl val="0"/>
      </c:catAx>
      <c:valAx>
        <c:axId val="14111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1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63456"/>
        <c:axId val="141369344"/>
      </c:barChart>
      <c:catAx>
        <c:axId val="1413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69344"/>
        <c:crosses val="autoZero"/>
        <c:auto val="1"/>
        <c:lblAlgn val="ctr"/>
        <c:lblOffset val="100"/>
        <c:noMultiLvlLbl val="0"/>
      </c:catAx>
      <c:valAx>
        <c:axId val="14136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6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54432"/>
        <c:axId val="141960320"/>
      </c:barChart>
      <c:catAx>
        <c:axId val="1419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60320"/>
        <c:crosses val="autoZero"/>
        <c:auto val="1"/>
        <c:lblAlgn val="ctr"/>
        <c:lblOffset val="100"/>
        <c:noMultiLvlLbl val="0"/>
      </c:catAx>
      <c:valAx>
        <c:axId val="14196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5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672064"/>
        <c:axId val="143673600"/>
      </c:barChart>
      <c:catAx>
        <c:axId val="1436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73600"/>
        <c:crosses val="autoZero"/>
        <c:auto val="1"/>
        <c:lblAlgn val="ctr"/>
        <c:lblOffset val="100"/>
        <c:noMultiLvlLbl val="0"/>
      </c:catAx>
      <c:valAx>
        <c:axId val="1436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7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56544"/>
        <c:axId val="144158080"/>
      </c:barChart>
      <c:catAx>
        <c:axId val="1441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58080"/>
        <c:crosses val="autoZero"/>
        <c:auto val="1"/>
        <c:lblAlgn val="ctr"/>
        <c:lblOffset val="100"/>
        <c:noMultiLvlLbl val="0"/>
      </c:catAx>
      <c:valAx>
        <c:axId val="14415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5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50336"/>
        <c:axId val="145761024"/>
      </c:barChart>
      <c:catAx>
        <c:axId val="145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61024"/>
        <c:crosses val="autoZero"/>
        <c:auto val="1"/>
        <c:lblAlgn val="ctr"/>
        <c:lblOffset val="100"/>
        <c:noMultiLvlLbl val="0"/>
      </c:catAx>
      <c:valAx>
        <c:axId val="1457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5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329984"/>
        <c:axId val="146331520"/>
      </c:barChart>
      <c:catAx>
        <c:axId val="1463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31520"/>
        <c:crosses val="autoZero"/>
        <c:auto val="1"/>
        <c:lblAlgn val="ctr"/>
        <c:lblOffset val="100"/>
        <c:noMultiLvlLbl val="0"/>
      </c:catAx>
      <c:valAx>
        <c:axId val="1463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2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08064"/>
        <c:axId val="88409600"/>
      </c:barChart>
      <c:catAx>
        <c:axId val="88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09600"/>
        <c:crosses val="autoZero"/>
        <c:auto val="1"/>
        <c:lblAlgn val="ctr"/>
        <c:lblOffset val="100"/>
        <c:noMultiLvlLbl val="0"/>
      </c:catAx>
      <c:valAx>
        <c:axId val="884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62048"/>
        <c:axId val="148163584"/>
      </c:barChart>
      <c:catAx>
        <c:axId val="1481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3584"/>
        <c:crosses val="autoZero"/>
        <c:auto val="1"/>
        <c:lblAlgn val="ctr"/>
        <c:lblOffset val="100"/>
        <c:noMultiLvlLbl val="0"/>
      </c:catAx>
      <c:valAx>
        <c:axId val="14816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732544"/>
        <c:axId val="148746624"/>
      </c:barChart>
      <c:catAx>
        <c:axId val="1487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746624"/>
        <c:crosses val="autoZero"/>
        <c:auto val="1"/>
        <c:lblAlgn val="ctr"/>
        <c:lblOffset val="100"/>
        <c:noMultiLvlLbl val="0"/>
      </c:catAx>
      <c:valAx>
        <c:axId val="14874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73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605248"/>
        <c:axId val="151606784"/>
      </c:barChart>
      <c:catAx>
        <c:axId val="1516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06784"/>
        <c:crosses val="autoZero"/>
        <c:auto val="1"/>
        <c:lblAlgn val="ctr"/>
        <c:lblOffset val="100"/>
        <c:noMultiLvlLbl val="0"/>
      </c:catAx>
      <c:valAx>
        <c:axId val="15160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0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315008"/>
        <c:axId val="152316544"/>
      </c:barChart>
      <c:catAx>
        <c:axId val="152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16544"/>
        <c:crosses val="autoZero"/>
        <c:auto val="1"/>
        <c:lblAlgn val="ctr"/>
        <c:lblOffset val="100"/>
        <c:noMultiLvlLbl val="0"/>
      </c:catAx>
      <c:valAx>
        <c:axId val="1523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1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1</c:v>
                </c:pt>
                <c:pt idx="1">
                  <c:v>13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59232"/>
        <c:axId val="152965120"/>
      </c:barChart>
      <c:catAx>
        <c:axId val="152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65120"/>
        <c:crosses val="autoZero"/>
        <c:auto val="1"/>
        <c:lblAlgn val="ctr"/>
        <c:lblOffset val="100"/>
        <c:noMultiLvlLbl val="0"/>
      </c:catAx>
      <c:valAx>
        <c:axId val="15296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5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1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407488"/>
        <c:axId val="153409024"/>
      </c:barChart>
      <c:catAx>
        <c:axId val="1534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409024"/>
        <c:crosses val="autoZero"/>
        <c:auto val="1"/>
        <c:lblAlgn val="ctr"/>
        <c:lblOffset val="100"/>
        <c:noMultiLvlLbl val="0"/>
      </c:catAx>
      <c:valAx>
        <c:axId val="15340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40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2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8794880"/>
        <c:axId val="158796416"/>
      </c:barChart>
      <c:catAx>
        <c:axId val="1587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796416"/>
        <c:crosses val="autoZero"/>
        <c:auto val="1"/>
        <c:lblAlgn val="ctr"/>
        <c:lblOffset val="100"/>
        <c:noMultiLvlLbl val="0"/>
      </c:catAx>
      <c:valAx>
        <c:axId val="15879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79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3</c:v>
                </c:pt>
                <c:pt idx="1">
                  <c:v>13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397568"/>
        <c:axId val="160407552"/>
      </c:barChart>
      <c:catAx>
        <c:axId val="1603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07552"/>
        <c:crosses val="autoZero"/>
        <c:auto val="1"/>
        <c:lblAlgn val="ctr"/>
        <c:lblOffset val="100"/>
        <c:noMultiLvlLbl val="0"/>
      </c:catAx>
      <c:valAx>
        <c:axId val="16040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9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4</c:v>
                </c:pt>
                <c:pt idx="1">
                  <c:v>13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99424"/>
        <c:axId val="160601216"/>
      </c:barChart>
      <c:catAx>
        <c:axId val="16059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01216"/>
        <c:crosses val="autoZero"/>
        <c:auto val="1"/>
        <c:lblAlgn val="ctr"/>
        <c:lblOffset val="100"/>
        <c:noMultiLvlLbl val="0"/>
      </c:catAx>
      <c:valAx>
        <c:axId val="16060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9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13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78368"/>
        <c:axId val="161179904"/>
      </c:barChart>
      <c:catAx>
        <c:axId val="1611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79904"/>
        <c:crosses val="autoZero"/>
        <c:auto val="1"/>
        <c:lblAlgn val="ctr"/>
        <c:lblOffset val="100"/>
        <c:noMultiLvlLbl val="0"/>
      </c:catAx>
      <c:valAx>
        <c:axId val="16117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7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12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0</c:v>
                </c:pt>
                <c:pt idx="3">
                  <c:v>8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46784"/>
        <c:axId val="88648320"/>
      </c:barChart>
      <c:catAx>
        <c:axId val="886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8320"/>
        <c:crosses val="autoZero"/>
        <c:auto val="1"/>
        <c:lblAlgn val="ctr"/>
        <c:lblOffset val="100"/>
        <c:noMultiLvlLbl val="0"/>
      </c:catAx>
      <c:valAx>
        <c:axId val="8864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4</c:v>
                </c:pt>
                <c:pt idx="1">
                  <c:v>12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08448"/>
        <c:axId val="163609984"/>
      </c:barChart>
      <c:catAx>
        <c:axId val="1636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09984"/>
        <c:crosses val="autoZero"/>
        <c:auto val="1"/>
        <c:lblAlgn val="ctr"/>
        <c:lblOffset val="100"/>
        <c:noMultiLvlLbl val="0"/>
      </c:catAx>
      <c:valAx>
        <c:axId val="16360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0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89536"/>
        <c:axId val="164373248"/>
      </c:barChart>
      <c:catAx>
        <c:axId val="1642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373248"/>
        <c:crosses val="autoZero"/>
        <c:auto val="1"/>
        <c:lblAlgn val="ctr"/>
        <c:lblOffset val="100"/>
        <c:noMultiLvlLbl val="0"/>
      </c:catAx>
      <c:valAx>
        <c:axId val="16437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8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70144"/>
        <c:axId val="164471936"/>
      </c:barChart>
      <c:catAx>
        <c:axId val="1644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71936"/>
        <c:crosses val="autoZero"/>
        <c:auto val="1"/>
        <c:lblAlgn val="ctr"/>
        <c:lblOffset val="100"/>
        <c:noMultiLvlLbl val="0"/>
      </c:catAx>
      <c:valAx>
        <c:axId val="16447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7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667392"/>
        <c:axId val="164668928"/>
      </c:barChart>
      <c:catAx>
        <c:axId val="164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68928"/>
        <c:crosses val="autoZero"/>
        <c:auto val="1"/>
        <c:lblAlgn val="ctr"/>
        <c:lblOffset val="100"/>
        <c:noMultiLvlLbl val="0"/>
      </c:catAx>
      <c:valAx>
        <c:axId val="1646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6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13920"/>
        <c:axId val="164915456"/>
      </c:barChart>
      <c:catAx>
        <c:axId val="16491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15456"/>
        <c:crosses val="autoZero"/>
        <c:auto val="1"/>
        <c:lblAlgn val="ctr"/>
        <c:lblOffset val="100"/>
        <c:noMultiLvlLbl val="0"/>
      </c:catAx>
      <c:valAx>
        <c:axId val="16491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1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156736"/>
        <c:axId val="165158272"/>
      </c:barChart>
      <c:catAx>
        <c:axId val="1651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58272"/>
        <c:crosses val="autoZero"/>
        <c:auto val="1"/>
        <c:lblAlgn val="ctr"/>
        <c:lblOffset val="100"/>
        <c:noMultiLvlLbl val="0"/>
      </c:catAx>
      <c:valAx>
        <c:axId val="16515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5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11264"/>
        <c:axId val="166421248"/>
      </c:barChart>
      <c:catAx>
        <c:axId val="16641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21248"/>
        <c:crosses val="autoZero"/>
        <c:auto val="1"/>
        <c:lblAlgn val="ctr"/>
        <c:lblOffset val="100"/>
        <c:noMultiLvlLbl val="0"/>
      </c:catAx>
      <c:valAx>
        <c:axId val="16642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31296"/>
        <c:axId val="168232832"/>
      </c:barChart>
      <c:catAx>
        <c:axId val="1682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32832"/>
        <c:crosses val="autoZero"/>
        <c:auto val="1"/>
        <c:lblAlgn val="ctr"/>
        <c:lblOffset val="100"/>
        <c:noMultiLvlLbl val="0"/>
      </c:catAx>
      <c:valAx>
        <c:axId val="16823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3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72128"/>
        <c:axId val="169073664"/>
      </c:barChart>
      <c:catAx>
        <c:axId val="1690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3664"/>
        <c:crosses val="autoZero"/>
        <c:auto val="1"/>
        <c:lblAlgn val="ctr"/>
        <c:lblOffset val="100"/>
        <c:noMultiLvlLbl val="0"/>
      </c:catAx>
      <c:valAx>
        <c:axId val="1690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507456"/>
        <c:axId val="169513344"/>
      </c:barChart>
      <c:catAx>
        <c:axId val="1695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13344"/>
        <c:crosses val="autoZero"/>
        <c:auto val="1"/>
        <c:lblAlgn val="ctr"/>
        <c:lblOffset val="100"/>
        <c:noMultiLvlLbl val="0"/>
      </c:catAx>
      <c:valAx>
        <c:axId val="16951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0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08288"/>
        <c:axId val="170509824"/>
      </c:barChart>
      <c:catAx>
        <c:axId val="1705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09824"/>
        <c:crosses val="autoZero"/>
        <c:auto val="1"/>
        <c:lblAlgn val="ctr"/>
        <c:lblOffset val="100"/>
        <c:noMultiLvlLbl val="0"/>
      </c:catAx>
      <c:valAx>
        <c:axId val="17050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29344"/>
        <c:axId val="171530880"/>
      </c:barChart>
      <c:catAx>
        <c:axId val="1715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880"/>
        <c:crosses val="autoZero"/>
        <c:auto val="1"/>
        <c:lblAlgn val="ctr"/>
        <c:lblOffset val="100"/>
        <c:noMultiLvlLbl val="0"/>
      </c:catAx>
      <c:valAx>
        <c:axId val="1715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2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93696"/>
        <c:axId val="88895488"/>
      </c:barChart>
      <c:catAx>
        <c:axId val="888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5488"/>
        <c:crosses val="autoZero"/>
        <c:auto val="1"/>
        <c:lblAlgn val="ctr"/>
        <c:lblOffset val="100"/>
        <c:noMultiLvlLbl val="0"/>
      </c:catAx>
      <c:valAx>
        <c:axId val="8889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689664"/>
        <c:axId val="172716032"/>
      </c:barChart>
      <c:catAx>
        <c:axId val="172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16032"/>
        <c:crosses val="autoZero"/>
        <c:auto val="1"/>
        <c:lblAlgn val="ctr"/>
        <c:lblOffset val="100"/>
        <c:noMultiLvlLbl val="0"/>
      </c:catAx>
      <c:valAx>
        <c:axId val="17271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68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84384"/>
        <c:axId val="173585920"/>
      </c:barChart>
      <c:catAx>
        <c:axId val="1735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85920"/>
        <c:crosses val="autoZero"/>
        <c:auto val="1"/>
        <c:lblAlgn val="ctr"/>
        <c:lblOffset val="100"/>
        <c:noMultiLvlLbl val="0"/>
      </c:catAx>
      <c:valAx>
        <c:axId val="17358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21408"/>
        <c:axId val="173922944"/>
      </c:barChart>
      <c:catAx>
        <c:axId val="1739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22944"/>
        <c:crosses val="autoZero"/>
        <c:auto val="1"/>
        <c:lblAlgn val="ctr"/>
        <c:lblOffset val="100"/>
        <c:noMultiLvlLbl val="0"/>
      </c:catAx>
      <c:valAx>
        <c:axId val="1739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2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496000"/>
        <c:axId val="174501888"/>
      </c:barChart>
      <c:catAx>
        <c:axId val="17449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501888"/>
        <c:crosses val="autoZero"/>
        <c:auto val="1"/>
        <c:lblAlgn val="ctr"/>
        <c:lblOffset val="100"/>
        <c:noMultiLvlLbl val="0"/>
      </c:catAx>
      <c:valAx>
        <c:axId val="17450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49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76224"/>
        <c:axId val="176686208"/>
      </c:barChart>
      <c:catAx>
        <c:axId val="1766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86208"/>
        <c:crosses val="autoZero"/>
        <c:auto val="1"/>
        <c:lblAlgn val="ctr"/>
        <c:lblOffset val="100"/>
        <c:noMultiLvlLbl val="0"/>
      </c:catAx>
      <c:valAx>
        <c:axId val="1766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7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54464"/>
        <c:axId val="177056000"/>
      </c:barChart>
      <c:catAx>
        <c:axId val="1770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56000"/>
        <c:crosses val="autoZero"/>
        <c:auto val="1"/>
        <c:lblAlgn val="ctr"/>
        <c:lblOffset val="100"/>
        <c:noMultiLvlLbl val="0"/>
      </c:catAx>
      <c:valAx>
        <c:axId val="1770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5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35552"/>
        <c:axId val="177737088"/>
      </c:barChart>
      <c:catAx>
        <c:axId val="17773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37088"/>
        <c:crosses val="autoZero"/>
        <c:auto val="1"/>
        <c:lblAlgn val="ctr"/>
        <c:lblOffset val="100"/>
        <c:noMultiLvlLbl val="0"/>
      </c:catAx>
      <c:valAx>
        <c:axId val="17773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3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11136"/>
        <c:axId val="178021120"/>
      </c:barChart>
      <c:catAx>
        <c:axId val="1780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21120"/>
        <c:crosses val="autoZero"/>
        <c:auto val="1"/>
        <c:lblAlgn val="ctr"/>
        <c:lblOffset val="100"/>
        <c:noMultiLvlLbl val="0"/>
      </c:catAx>
      <c:valAx>
        <c:axId val="17802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1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70592"/>
        <c:axId val="178272128"/>
      </c:barChart>
      <c:catAx>
        <c:axId val="1782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72128"/>
        <c:crosses val="autoZero"/>
        <c:auto val="1"/>
        <c:lblAlgn val="ctr"/>
        <c:lblOffset val="100"/>
        <c:noMultiLvlLbl val="0"/>
      </c:catAx>
      <c:valAx>
        <c:axId val="17827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7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63648"/>
        <c:axId val="178765184"/>
      </c:barChart>
      <c:catAx>
        <c:axId val="1787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65184"/>
        <c:crosses val="autoZero"/>
        <c:auto val="1"/>
        <c:lblAlgn val="ctr"/>
        <c:lblOffset val="100"/>
        <c:noMultiLvlLbl val="0"/>
      </c:catAx>
      <c:valAx>
        <c:axId val="17876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6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52000"/>
        <c:axId val="108987520"/>
      </c:barChart>
      <c:catAx>
        <c:axId val="1063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87520"/>
        <c:crosses val="autoZero"/>
        <c:auto val="1"/>
        <c:lblAlgn val="ctr"/>
        <c:lblOffset val="100"/>
        <c:noMultiLvlLbl val="0"/>
      </c:catAx>
      <c:valAx>
        <c:axId val="1089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70272"/>
        <c:axId val="182072064"/>
      </c:barChart>
      <c:catAx>
        <c:axId val="18207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72064"/>
        <c:crosses val="autoZero"/>
        <c:auto val="1"/>
        <c:lblAlgn val="ctr"/>
        <c:lblOffset val="100"/>
        <c:noMultiLvlLbl val="0"/>
      </c:catAx>
      <c:valAx>
        <c:axId val="18207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7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374784"/>
        <c:axId val="182376320"/>
      </c:barChart>
      <c:catAx>
        <c:axId val="1823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76320"/>
        <c:crosses val="autoZero"/>
        <c:auto val="1"/>
        <c:lblAlgn val="ctr"/>
        <c:lblOffset val="100"/>
        <c:noMultiLvlLbl val="0"/>
      </c:catAx>
      <c:valAx>
        <c:axId val="18237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44256"/>
        <c:axId val="186145792"/>
      </c:barChart>
      <c:catAx>
        <c:axId val="1861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45792"/>
        <c:crosses val="autoZero"/>
        <c:auto val="1"/>
        <c:lblAlgn val="ctr"/>
        <c:lblOffset val="100"/>
        <c:noMultiLvlLbl val="0"/>
      </c:catAx>
      <c:valAx>
        <c:axId val="18614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4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698368"/>
        <c:axId val="186704256"/>
      </c:barChart>
      <c:catAx>
        <c:axId val="186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704256"/>
        <c:crosses val="autoZero"/>
        <c:auto val="1"/>
        <c:lblAlgn val="ctr"/>
        <c:lblOffset val="100"/>
        <c:noMultiLvlLbl val="0"/>
      </c:catAx>
      <c:valAx>
        <c:axId val="18670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69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08800"/>
        <c:axId val="188110336"/>
      </c:barChart>
      <c:catAx>
        <c:axId val="1881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10336"/>
        <c:crosses val="autoZero"/>
        <c:auto val="1"/>
        <c:lblAlgn val="ctr"/>
        <c:lblOffset val="100"/>
        <c:noMultiLvlLbl val="0"/>
      </c:catAx>
      <c:valAx>
        <c:axId val="1881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0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327040"/>
        <c:axId val="188328576"/>
      </c:barChart>
      <c:catAx>
        <c:axId val="1883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28576"/>
        <c:crosses val="autoZero"/>
        <c:auto val="1"/>
        <c:lblAlgn val="ctr"/>
        <c:lblOffset val="100"/>
        <c:noMultiLvlLbl val="0"/>
      </c:catAx>
      <c:valAx>
        <c:axId val="1883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754176"/>
        <c:axId val="188780544"/>
      </c:barChart>
      <c:catAx>
        <c:axId val="1887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780544"/>
        <c:crosses val="autoZero"/>
        <c:auto val="1"/>
        <c:lblAlgn val="ctr"/>
        <c:lblOffset val="100"/>
        <c:noMultiLvlLbl val="0"/>
      </c:catAx>
      <c:valAx>
        <c:axId val="18878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75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123968"/>
        <c:axId val="189133952"/>
      </c:barChart>
      <c:catAx>
        <c:axId val="1891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33952"/>
        <c:crosses val="autoZero"/>
        <c:auto val="1"/>
        <c:lblAlgn val="ctr"/>
        <c:lblOffset val="100"/>
        <c:noMultiLvlLbl val="0"/>
      </c:catAx>
      <c:valAx>
        <c:axId val="18913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01184"/>
        <c:axId val="192702720"/>
      </c:barChart>
      <c:catAx>
        <c:axId val="1927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02720"/>
        <c:crosses val="autoZero"/>
        <c:auto val="1"/>
        <c:lblAlgn val="ctr"/>
        <c:lblOffset val="100"/>
        <c:noMultiLvlLbl val="0"/>
      </c:catAx>
      <c:valAx>
        <c:axId val="1927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0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80832"/>
        <c:axId val="195882368"/>
      </c:barChart>
      <c:catAx>
        <c:axId val="1958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82368"/>
        <c:crosses val="autoZero"/>
        <c:auto val="1"/>
        <c:lblAlgn val="ctr"/>
        <c:lblOffset val="100"/>
        <c:noMultiLvlLbl val="0"/>
      </c:catAx>
      <c:valAx>
        <c:axId val="19588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8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372736"/>
        <c:axId val="196395008"/>
      </c:barChart>
      <c:catAx>
        <c:axId val="1963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95008"/>
        <c:crosses val="autoZero"/>
        <c:auto val="1"/>
        <c:lblAlgn val="ctr"/>
        <c:lblOffset val="100"/>
        <c:noMultiLvlLbl val="0"/>
      </c:catAx>
      <c:valAx>
        <c:axId val="19639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7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314816"/>
        <c:axId val="109316352"/>
      </c:barChart>
      <c:catAx>
        <c:axId val="1093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16352"/>
        <c:crosses val="autoZero"/>
        <c:auto val="1"/>
        <c:lblAlgn val="ctr"/>
        <c:lblOffset val="100"/>
        <c:noMultiLvlLbl val="0"/>
      </c:catAx>
      <c:valAx>
        <c:axId val="1093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1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47168"/>
        <c:axId val="198661248"/>
      </c:barChart>
      <c:catAx>
        <c:axId val="198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61248"/>
        <c:crosses val="autoZero"/>
        <c:auto val="1"/>
        <c:lblAlgn val="ctr"/>
        <c:lblOffset val="100"/>
        <c:noMultiLvlLbl val="0"/>
      </c:catAx>
      <c:valAx>
        <c:axId val="19866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4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05344"/>
        <c:axId val="199706880"/>
      </c:barChart>
      <c:catAx>
        <c:axId val="1997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06880"/>
        <c:crosses val="autoZero"/>
        <c:auto val="1"/>
        <c:lblAlgn val="ctr"/>
        <c:lblOffset val="100"/>
        <c:noMultiLvlLbl val="0"/>
      </c:catAx>
      <c:valAx>
        <c:axId val="1997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0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72128"/>
        <c:axId val="200351744"/>
      </c:barChart>
      <c:catAx>
        <c:axId val="2002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51744"/>
        <c:crosses val="autoZero"/>
        <c:auto val="1"/>
        <c:lblAlgn val="ctr"/>
        <c:lblOffset val="100"/>
        <c:noMultiLvlLbl val="0"/>
      </c:catAx>
      <c:valAx>
        <c:axId val="20035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7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60416"/>
        <c:axId val="206247040"/>
      </c:barChart>
      <c:catAx>
        <c:axId val="201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47040"/>
        <c:crosses val="autoZero"/>
        <c:auto val="1"/>
        <c:lblAlgn val="ctr"/>
        <c:lblOffset val="100"/>
        <c:noMultiLvlLbl val="0"/>
      </c:catAx>
      <c:valAx>
        <c:axId val="2062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6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59648"/>
        <c:axId val="206461184"/>
      </c:barChart>
      <c:catAx>
        <c:axId val="2064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61184"/>
        <c:crosses val="autoZero"/>
        <c:auto val="1"/>
        <c:lblAlgn val="ctr"/>
        <c:lblOffset val="100"/>
        <c:noMultiLvlLbl val="0"/>
      </c:catAx>
      <c:valAx>
        <c:axId val="20646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5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11072"/>
        <c:axId val="207412608"/>
      </c:barChart>
      <c:catAx>
        <c:axId val="2074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2608"/>
        <c:crosses val="autoZero"/>
        <c:auto val="1"/>
        <c:lblAlgn val="ctr"/>
        <c:lblOffset val="100"/>
        <c:noMultiLvlLbl val="0"/>
      </c:catAx>
      <c:valAx>
        <c:axId val="2074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153600"/>
        <c:axId val="208163584"/>
      </c:barChart>
      <c:catAx>
        <c:axId val="2081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63584"/>
        <c:crosses val="autoZero"/>
        <c:auto val="1"/>
        <c:lblAlgn val="ctr"/>
        <c:lblOffset val="100"/>
        <c:noMultiLvlLbl val="0"/>
      </c:catAx>
      <c:valAx>
        <c:axId val="20816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5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62624"/>
        <c:axId val="209164160"/>
      </c:barChart>
      <c:catAx>
        <c:axId val="2091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64160"/>
        <c:crosses val="autoZero"/>
        <c:auto val="1"/>
        <c:lblAlgn val="ctr"/>
        <c:lblOffset val="100"/>
        <c:noMultiLvlLbl val="0"/>
      </c:catAx>
      <c:valAx>
        <c:axId val="20916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6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21920"/>
        <c:axId val="209923456"/>
      </c:barChart>
      <c:catAx>
        <c:axId val="2099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3456"/>
        <c:crosses val="autoZero"/>
        <c:auto val="1"/>
        <c:lblAlgn val="ctr"/>
        <c:lblOffset val="100"/>
        <c:noMultiLvlLbl val="0"/>
      </c:catAx>
      <c:valAx>
        <c:axId val="2099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504704"/>
        <c:axId val="210526976"/>
      </c:barChart>
      <c:catAx>
        <c:axId val="2105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26976"/>
        <c:crosses val="autoZero"/>
        <c:auto val="1"/>
        <c:lblAlgn val="ctr"/>
        <c:lblOffset val="100"/>
        <c:noMultiLvlLbl val="0"/>
      </c:catAx>
      <c:valAx>
        <c:axId val="21052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0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78496"/>
        <c:axId val="109584384"/>
      </c:barChart>
      <c:catAx>
        <c:axId val="1095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84384"/>
        <c:crosses val="autoZero"/>
        <c:auto val="1"/>
        <c:lblAlgn val="ctr"/>
        <c:lblOffset val="100"/>
        <c:noMultiLvlLbl val="0"/>
      </c:catAx>
      <c:valAx>
        <c:axId val="1095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52576"/>
        <c:axId val="210954112"/>
      </c:barChart>
      <c:catAx>
        <c:axId val="2109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54112"/>
        <c:crosses val="autoZero"/>
        <c:auto val="1"/>
        <c:lblAlgn val="ctr"/>
        <c:lblOffset val="100"/>
        <c:noMultiLvlLbl val="0"/>
      </c:catAx>
      <c:valAx>
        <c:axId val="2109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5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248640"/>
        <c:axId val="211250176"/>
      </c:barChart>
      <c:catAx>
        <c:axId val="21124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50176"/>
        <c:crosses val="autoZero"/>
        <c:auto val="1"/>
        <c:lblAlgn val="ctr"/>
        <c:lblOffset val="100"/>
        <c:noMultiLvlLbl val="0"/>
      </c:catAx>
      <c:valAx>
        <c:axId val="21125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4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602048"/>
        <c:axId val="211607936"/>
      </c:barChart>
      <c:catAx>
        <c:axId val="2116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607936"/>
        <c:crosses val="autoZero"/>
        <c:auto val="1"/>
        <c:lblAlgn val="ctr"/>
        <c:lblOffset val="100"/>
        <c:noMultiLvlLbl val="0"/>
      </c:catAx>
      <c:valAx>
        <c:axId val="2116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60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774912"/>
        <c:axId val="212776448"/>
      </c:barChart>
      <c:catAx>
        <c:axId val="2127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776448"/>
        <c:crosses val="autoZero"/>
        <c:auto val="1"/>
        <c:lblAlgn val="ctr"/>
        <c:lblOffset val="100"/>
        <c:noMultiLvlLbl val="0"/>
      </c:catAx>
      <c:valAx>
        <c:axId val="21277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77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12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840256"/>
        <c:axId val="213841792"/>
      </c:barChart>
      <c:catAx>
        <c:axId val="2138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41792"/>
        <c:crosses val="autoZero"/>
        <c:auto val="1"/>
        <c:lblAlgn val="ctr"/>
        <c:lblOffset val="100"/>
        <c:noMultiLvlLbl val="0"/>
      </c:catAx>
      <c:valAx>
        <c:axId val="21384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300160"/>
        <c:axId val="214301696"/>
      </c:barChart>
      <c:catAx>
        <c:axId val="2143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01696"/>
        <c:crosses val="autoZero"/>
        <c:auto val="1"/>
        <c:lblAlgn val="ctr"/>
        <c:lblOffset val="100"/>
        <c:noMultiLvlLbl val="0"/>
      </c:catAx>
      <c:valAx>
        <c:axId val="21430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0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12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915712"/>
        <c:axId val="214925696"/>
      </c:barChart>
      <c:catAx>
        <c:axId val="2149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925696"/>
        <c:crosses val="autoZero"/>
        <c:auto val="1"/>
        <c:lblAlgn val="ctr"/>
        <c:lblOffset val="100"/>
        <c:noMultiLvlLbl val="0"/>
      </c:catAx>
      <c:valAx>
        <c:axId val="21492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91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017856"/>
        <c:axId val="225019392"/>
      </c:barChart>
      <c:catAx>
        <c:axId val="2250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19392"/>
        <c:crosses val="autoZero"/>
        <c:auto val="1"/>
        <c:lblAlgn val="ctr"/>
        <c:lblOffset val="100"/>
        <c:noMultiLvlLbl val="0"/>
      </c:catAx>
      <c:valAx>
        <c:axId val="22501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1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293440"/>
        <c:axId val="225294976"/>
      </c:barChart>
      <c:catAx>
        <c:axId val="2252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294976"/>
        <c:crosses val="autoZero"/>
        <c:auto val="1"/>
        <c:lblAlgn val="ctr"/>
        <c:lblOffset val="100"/>
        <c:noMultiLvlLbl val="0"/>
      </c:catAx>
      <c:valAx>
        <c:axId val="22529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29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032256"/>
        <c:axId val="226042240"/>
      </c:barChart>
      <c:catAx>
        <c:axId val="2260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42240"/>
        <c:crosses val="autoZero"/>
        <c:auto val="1"/>
        <c:lblAlgn val="ctr"/>
        <c:lblOffset val="100"/>
        <c:noMultiLvlLbl val="0"/>
      </c:catAx>
      <c:valAx>
        <c:axId val="2260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3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80352"/>
        <c:axId val="109782144"/>
      </c:barChart>
      <c:catAx>
        <c:axId val="10978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82144"/>
        <c:crosses val="autoZero"/>
        <c:auto val="1"/>
        <c:lblAlgn val="ctr"/>
        <c:lblOffset val="100"/>
        <c:noMultiLvlLbl val="0"/>
      </c:catAx>
      <c:valAx>
        <c:axId val="10978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8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93120"/>
        <c:axId val="109894656"/>
      </c:barChart>
      <c:catAx>
        <c:axId val="1098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4656"/>
        <c:crosses val="autoZero"/>
        <c:auto val="1"/>
        <c:lblAlgn val="ctr"/>
        <c:lblOffset val="100"/>
        <c:noMultiLvlLbl val="0"/>
      </c:catAx>
      <c:valAx>
        <c:axId val="1098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78912"/>
        <c:axId val="84680704"/>
      </c:barChart>
      <c:catAx>
        <c:axId val="846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0704"/>
        <c:crosses val="autoZero"/>
        <c:auto val="1"/>
        <c:lblAlgn val="ctr"/>
        <c:lblOffset val="100"/>
        <c:noMultiLvlLbl val="0"/>
      </c:catAx>
      <c:valAx>
        <c:axId val="8468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398080"/>
        <c:axId val="110399872"/>
      </c:barChart>
      <c:catAx>
        <c:axId val="110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99872"/>
        <c:crosses val="autoZero"/>
        <c:auto val="1"/>
        <c:lblAlgn val="ctr"/>
        <c:lblOffset val="100"/>
        <c:noMultiLvlLbl val="0"/>
      </c:catAx>
      <c:valAx>
        <c:axId val="1103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81600"/>
        <c:axId val="118683136"/>
      </c:barChart>
      <c:catAx>
        <c:axId val="1186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83136"/>
        <c:crosses val="autoZero"/>
        <c:auto val="1"/>
        <c:lblAlgn val="ctr"/>
        <c:lblOffset val="100"/>
        <c:noMultiLvlLbl val="0"/>
      </c:catAx>
      <c:valAx>
        <c:axId val="1186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8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579776"/>
        <c:axId val="119581312"/>
      </c:barChart>
      <c:catAx>
        <c:axId val="1195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81312"/>
        <c:crosses val="autoZero"/>
        <c:auto val="1"/>
        <c:lblAlgn val="ctr"/>
        <c:lblOffset val="100"/>
        <c:noMultiLvlLbl val="0"/>
      </c:catAx>
      <c:valAx>
        <c:axId val="11958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1</c:v>
                </c:pt>
                <c:pt idx="1">
                  <c:v>13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03872"/>
        <c:axId val="84713856"/>
      </c:barChart>
      <c:catAx>
        <c:axId val="8470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13856"/>
        <c:crosses val="autoZero"/>
        <c:auto val="1"/>
        <c:lblAlgn val="ctr"/>
        <c:lblOffset val="100"/>
        <c:noMultiLvlLbl val="0"/>
      </c:catAx>
      <c:valAx>
        <c:axId val="8471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74144"/>
        <c:axId val="119988224"/>
      </c:barChart>
      <c:catAx>
        <c:axId val="1199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88224"/>
        <c:crosses val="autoZero"/>
        <c:auto val="1"/>
        <c:lblAlgn val="ctr"/>
        <c:lblOffset val="100"/>
        <c:noMultiLvlLbl val="0"/>
      </c:catAx>
      <c:valAx>
        <c:axId val="11998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7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58944"/>
        <c:axId val="120664832"/>
      </c:barChart>
      <c:catAx>
        <c:axId val="1206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64832"/>
        <c:crosses val="autoZero"/>
        <c:auto val="1"/>
        <c:lblAlgn val="ctr"/>
        <c:lblOffset val="100"/>
        <c:noMultiLvlLbl val="0"/>
      </c:catAx>
      <c:valAx>
        <c:axId val="12066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5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877440"/>
        <c:axId val="120878976"/>
      </c:barChart>
      <c:catAx>
        <c:axId val="1208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78976"/>
        <c:crosses val="autoZero"/>
        <c:auto val="1"/>
        <c:lblAlgn val="ctr"/>
        <c:lblOffset val="100"/>
        <c:noMultiLvlLbl val="0"/>
      </c:catAx>
      <c:valAx>
        <c:axId val="12087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7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91904"/>
        <c:axId val="121293440"/>
      </c:barChart>
      <c:catAx>
        <c:axId val="1212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3440"/>
        <c:crosses val="autoZero"/>
        <c:auto val="1"/>
        <c:lblAlgn val="ctr"/>
        <c:lblOffset val="100"/>
        <c:noMultiLvlLbl val="0"/>
      </c:catAx>
      <c:valAx>
        <c:axId val="12129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48416"/>
        <c:axId val="121962496"/>
      </c:barChart>
      <c:catAx>
        <c:axId val="1219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62496"/>
        <c:crosses val="autoZero"/>
        <c:auto val="1"/>
        <c:lblAlgn val="ctr"/>
        <c:lblOffset val="100"/>
        <c:noMultiLvlLbl val="0"/>
      </c:catAx>
      <c:valAx>
        <c:axId val="12196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4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14752"/>
        <c:axId val="122316288"/>
      </c:barChart>
      <c:catAx>
        <c:axId val="1223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16288"/>
        <c:crosses val="autoZero"/>
        <c:auto val="1"/>
        <c:lblAlgn val="ctr"/>
        <c:lblOffset val="100"/>
        <c:noMultiLvlLbl val="0"/>
      </c:catAx>
      <c:valAx>
        <c:axId val="12231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1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65184"/>
        <c:axId val="123566720"/>
      </c:barChart>
      <c:catAx>
        <c:axId val="123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66720"/>
        <c:crosses val="autoZero"/>
        <c:auto val="1"/>
        <c:lblAlgn val="ctr"/>
        <c:lblOffset val="100"/>
        <c:noMultiLvlLbl val="0"/>
      </c:catAx>
      <c:valAx>
        <c:axId val="12356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6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717888"/>
        <c:axId val="123863040"/>
      </c:barChart>
      <c:catAx>
        <c:axId val="12371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863040"/>
        <c:crosses val="autoZero"/>
        <c:auto val="1"/>
        <c:lblAlgn val="ctr"/>
        <c:lblOffset val="100"/>
        <c:noMultiLvlLbl val="0"/>
      </c:catAx>
      <c:valAx>
        <c:axId val="12386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1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923072"/>
        <c:axId val="124068224"/>
      </c:barChart>
      <c:catAx>
        <c:axId val="1239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68224"/>
        <c:crosses val="autoZero"/>
        <c:auto val="1"/>
        <c:lblAlgn val="ctr"/>
        <c:lblOffset val="100"/>
        <c:noMultiLvlLbl val="0"/>
      </c:catAx>
      <c:valAx>
        <c:axId val="12406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92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93504"/>
        <c:axId val="124295040"/>
      </c:barChart>
      <c:catAx>
        <c:axId val="1242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95040"/>
        <c:crosses val="autoZero"/>
        <c:auto val="1"/>
        <c:lblAlgn val="ctr"/>
        <c:lblOffset val="100"/>
        <c:noMultiLvlLbl val="0"/>
      </c:catAx>
      <c:valAx>
        <c:axId val="12429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9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573568"/>
        <c:axId val="124575104"/>
      </c:barChart>
      <c:catAx>
        <c:axId val="1245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75104"/>
        <c:crosses val="autoZero"/>
        <c:auto val="1"/>
        <c:lblAlgn val="ctr"/>
        <c:lblOffset val="100"/>
        <c:noMultiLvlLbl val="0"/>
      </c:catAx>
      <c:valAx>
        <c:axId val="1245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7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520384"/>
        <c:axId val="85521920"/>
      </c:barChart>
      <c:catAx>
        <c:axId val="855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21920"/>
        <c:crosses val="autoZero"/>
        <c:auto val="1"/>
        <c:lblAlgn val="ctr"/>
        <c:lblOffset val="100"/>
        <c:noMultiLvlLbl val="0"/>
      </c:catAx>
      <c:valAx>
        <c:axId val="855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001088"/>
        <c:axId val="125015168"/>
      </c:barChart>
      <c:catAx>
        <c:axId val="1250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15168"/>
        <c:crosses val="autoZero"/>
        <c:auto val="1"/>
        <c:lblAlgn val="ctr"/>
        <c:lblOffset val="100"/>
        <c:noMultiLvlLbl val="0"/>
      </c:catAx>
      <c:valAx>
        <c:axId val="1250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0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412096"/>
        <c:axId val="125413632"/>
      </c:barChart>
      <c:catAx>
        <c:axId val="125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3632"/>
        <c:crosses val="autoZero"/>
        <c:auto val="1"/>
        <c:lblAlgn val="ctr"/>
        <c:lblOffset val="100"/>
        <c:noMultiLvlLbl val="0"/>
      </c:catAx>
      <c:valAx>
        <c:axId val="1254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310656"/>
        <c:axId val="126316544"/>
      </c:barChart>
      <c:catAx>
        <c:axId val="1263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16544"/>
        <c:crosses val="autoZero"/>
        <c:auto val="1"/>
        <c:lblAlgn val="ctr"/>
        <c:lblOffset val="100"/>
        <c:noMultiLvlLbl val="0"/>
      </c:catAx>
      <c:valAx>
        <c:axId val="1263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1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24448"/>
        <c:axId val="126825984"/>
      </c:barChart>
      <c:catAx>
        <c:axId val="1268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25984"/>
        <c:crosses val="autoZero"/>
        <c:auto val="1"/>
        <c:lblAlgn val="ctr"/>
        <c:lblOffset val="100"/>
        <c:noMultiLvlLbl val="0"/>
      </c:catAx>
      <c:valAx>
        <c:axId val="12682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2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67648"/>
        <c:axId val="127069184"/>
      </c:barChart>
      <c:catAx>
        <c:axId val="1270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69184"/>
        <c:crosses val="autoZero"/>
        <c:auto val="1"/>
        <c:lblAlgn val="ctr"/>
        <c:lblOffset val="100"/>
        <c:noMultiLvlLbl val="0"/>
      </c:catAx>
      <c:valAx>
        <c:axId val="12706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6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00576"/>
        <c:axId val="127472000"/>
      </c:barChart>
      <c:catAx>
        <c:axId val="1274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2000"/>
        <c:crosses val="autoZero"/>
        <c:auto val="1"/>
        <c:lblAlgn val="ctr"/>
        <c:lblOffset val="100"/>
        <c:noMultiLvlLbl val="0"/>
      </c:catAx>
      <c:valAx>
        <c:axId val="12747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0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630720"/>
        <c:axId val="127632512"/>
      </c:barChart>
      <c:catAx>
        <c:axId val="1276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32512"/>
        <c:crosses val="autoZero"/>
        <c:auto val="1"/>
        <c:lblAlgn val="ctr"/>
        <c:lblOffset val="100"/>
        <c:noMultiLvlLbl val="0"/>
      </c:catAx>
      <c:valAx>
        <c:axId val="12763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3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67296"/>
        <c:axId val="127768832"/>
      </c:barChart>
      <c:catAx>
        <c:axId val="1277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68832"/>
        <c:crosses val="autoZero"/>
        <c:auto val="1"/>
        <c:lblAlgn val="ctr"/>
        <c:lblOffset val="100"/>
        <c:noMultiLvlLbl val="0"/>
      </c:catAx>
      <c:valAx>
        <c:axId val="1277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6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E7" sqref="E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13</v>
      </c>
      <c r="C15" s="57">
        <v>35</v>
      </c>
      <c r="D15" s="58">
        <f>ROUND(B15/C15*100,3)</f>
        <v>37.143000000000001</v>
      </c>
    </row>
    <row r="16" spans="1:13" x14ac:dyDescent="0.2">
      <c r="A16" s="59" t="s">
        <v>17</v>
      </c>
      <c r="B16" s="57">
        <f>COUNTIF(Resp4[Vínculo],A16)</f>
        <v>20</v>
      </c>
      <c r="C16" s="57">
        <v>60</v>
      </c>
      <c r="D16" s="58">
        <f t="shared" ref="D16:D17" si="0">ROUND(B16/C16*100,3)</f>
        <v>33.332999999999998</v>
      </c>
    </row>
    <row r="17" spans="1:10" x14ac:dyDescent="0.2">
      <c r="A17" s="60" t="s">
        <v>18</v>
      </c>
      <c r="B17" s="57">
        <f>SUM(B15:B16)</f>
        <v>33</v>
      </c>
      <c r="C17" s="57">
        <f>SUM(C15:C16)</f>
        <v>95</v>
      </c>
      <c r="D17" s="58">
        <f t="shared" si="0"/>
        <v>34.737000000000002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COUNTIFS(Resp4[Vínculo],"tecnico",Resp4[4.04],B8)</f>
        <v>0</v>
      </c>
      <c r="D8" s="4">
        <f>COUNTIFS(Resp4[Vínculo],"docente",Resp4[4.04],B8)</f>
        <v>1</v>
      </c>
      <c r="E8" s="4">
        <f>COUNTIF(Resp4[4.04],B8)</f>
        <v>1</v>
      </c>
      <c r="F8" s="4">
        <f t="shared" si="0"/>
        <v>3.03</v>
      </c>
      <c r="G8" s="3">
        <f t="shared" si="1"/>
        <v>5.2629999999999999</v>
      </c>
    </row>
    <row r="9" spans="1:7" x14ac:dyDescent="0.25">
      <c r="B9" s="2" t="s">
        <v>196</v>
      </c>
      <c r="C9" s="4">
        <f>COUNTIFS(Resp4[Vínculo],"tecnico",Resp4[4.04],B9)</f>
        <v>0</v>
      </c>
      <c r="D9" s="4">
        <f>COUNTIFS(Resp4[Vínculo],"docente",Resp4[4.04],B9)</f>
        <v>3</v>
      </c>
      <c r="E9" s="4">
        <f>COUNTIF(Resp4[4.04],B9)</f>
        <v>3</v>
      </c>
      <c r="F9" s="4">
        <f t="shared" si="0"/>
        <v>9.09</v>
      </c>
      <c r="G9" s="3">
        <f t="shared" si="1"/>
        <v>15.789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5</v>
      </c>
      <c r="E10" s="4">
        <f>COUNTIF(Resp4[4.04],B10)</f>
        <v>5</v>
      </c>
      <c r="F10" s="4">
        <f t="shared" si="0"/>
        <v>15.15</v>
      </c>
      <c r="G10" s="3">
        <f t="shared" si="1"/>
        <v>26.315999999999999</v>
      </c>
    </row>
    <row r="11" spans="1:7" x14ac:dyDescent="0.25">
      <c r="B11" s="2" t="s">
        <v>195</v>
      </c>
      <c r="C11" s="4">
        <f>COUNTIFS(Resp4[Vínculo],"tecnico",Resp4[4.04],B11)</f>
        <v>0</v>
      </c>
      <c r="D11" s="4">
        <f>COUNTIFS(Resp4[Vínculo],"docente",Resp4[4.04],B11)</f>
        <v>6</v>
      </c>
      <c r="E11" s="4">
        <f>COUNTIF(Resp4[4.04],B11)</f>
        <v>6</v>
      </c>
      <c r="F11" s="4">
        <f t="shared" si="0"/>
        <v>18.18</v>
      </c>
      <c r="G11" s="3">
        <f t="shared" si="1"/>
        <v>31.579000000000001</v>
      </c>
    </row>
    <row r="12" spans="1:7" x14ac:dyDescent="0.25">
      <c r="B12" s="7" t="s">
        <v>198</v>
      </c>
      <c r="C12" s="4">
        <f>COUNTIFS(Resp4[Vínculo],"tecnico",Resp4[4.04],B12)</f>
        <v>3</v>
      </c>
      <c r="D12" s="4">
        <f>COUNTIFS(Resp4[Vínculo],"docente",Resp4[4.04],B12)</f>
        <v>1</v>
      </c>
      <c r="E12" s="4">
        <f>COUNTIF(Resp4[4.04],B12)</f>
        <v>4</v>
      </c>
      <c r="F12" s="22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25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31.25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1</v>
      </c>
      <c r="E10" s="4">
        <f>COUNTIF(Resp4[4.103],B10)</f>
        <v>1</v>
      </c>
      <c r="F10" s="4">
        <f t="shared" si="0"/>
        <v>3.03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COUNTIFS(Resp4[Vínculo],"tecnico",Resp4[4.103],B11)</f>
        <v>1</v>
      </c>
      <c r="D11" s="4">
        <f>COUNTIFS(Resp4[Vínculo],"docente",Resp4[4.103],B11)</f>
        <v>7</v>
      </c>
      <c r="E11" s="4">
        <f>COUNTIF(Resp4[4.103],B11)</f>
        <v>8</v>
      </c>
      <c r="F11" s="4">
        <f t="shared" si="0"/>
        <v>24.24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COUNTIFS(Resp4[Vínculo],"tecnico",Resp4[4.103],B12)</f>
        <v>1</v>
      </c>
      <c r="D12" s="4">
        <f>COUNTIFS(Resp4[Vínculo],"docente",Resp4[4.103],B12)</f>
        <v>2</v>
      </c>
      <c r="E12" s="4">
        <f>COUNTIF(Resp4[4.103],B12)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90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COUNTIFS(Resp4[Vínculo],"tecnico",Resp4[4.104],B7)</f>
        <v>0</v>
      </c>
      <c r="D7" s="4">
        <f>COUNTIFS(Resp4[Vínculo],"docente",Resp4[4.104],B7)</f>
        <v>1</v>
      </c>
      <c r="E7" s="4">
        <f>COUNTIF(Resp4[4.104],B7)</f>
        <v>1</v>
      </c>
      <c r="F7" s="15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3</v>
      </c>
      <c r="E10" s="4">
        <f>COUNTIF(Resp4[4.104],B10)</f>
        <v>3</v>
      </c>
      <c r="F10" s="15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COUNTIFS(Resp4[Vínculo],"tecnico",Resp4[4.104],B11)</f>
        <v>0</v>
      </c>
      <c r="D11" s="4">
        <f>COUNTIFS(Resp4[Vínculo],"docente",Resp4[4.104],B11)</f>
        <v>6</v>
      </c>
      <c r="E11" s="4">
        <f>COUNTIF(Resp4[4.104],B11)</f>
        <v>6</v>
      </c>
      <c r="F11" s="15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COUNTIFS(Resp4[Vínculo],"tecnico",Resp4[4.104],B12)</f>
        <v>2</v>
      </c>
      <c r="D12" s="4">
        <f>COUNTIFS(Resp4[Vínculo],"docente",Resp4[4.104],B12)</f>
        <v>0</v>
      </c>
      <c r="E12" s="4">
        <f>COUNTIF(Resp4[4.104],B12)</f>
        <v>2</v>
      </c>
      <c r="F12" s="19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COUNTIFS(Resp4[Vínculo],"tecnico",Resp4[4.105],B7)</f>
        <v>0</v>
      </c>
      <c r="D7" s="4">
        <f>COUNTIFS(Resp4[Vínculo],"docente",Resp4[4.105],B7)</f>
        <v>1</v>
      </c>
      <c r="E7" s="4">
        <f>COUNTIF(Resp4[4.105],B7)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5</v>
      </c>
      <c r="E10" s="4">
        <f>COUNTIF(Resp4[4.105],B10)</f>
        <v>5</v>
      </c>
      <c r="F10" s="4">
        <f t="shared" si="0"/>
        <v>15.15</v>
      </c>
      <c r="G10" s="3">
        <f t="shared" si="1"/>
        <v>41.667000000000002</v>
      </c>
    </row>
    <row r="11" spans="1:7" x14ac:dyDescent="0.25">
      <c r="B11" s="2" t="s">
        <v>195</v>
      </c>
      <c r="C11" s="4">
        <f>COUNTIFS(Resp4[Vínculo],"tecnico",Resp4[4.105],B11)</f>
        <v>0</v>
      </c>
      <c r="D11" s="4">
        <f>COUNTIFS(Resp4[Vínculo],"docente",Resp4[4.105],B11)</f>
        <v>4</v>
      </c>
      <c r="E11" s="4">
        <f>COUNTIF(Resp4[4.105],B11)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COUNTIFS(Resp4[Vínculo],"tecnico",Resp4[4.105],B12)</f>
        <v>2</v>
      </c>
      <c r="D12" s="4">
        <f>COUNTIFS(Resp4[Vínculo],"docente",Resp4[4.105],B12)</f>
        <v>0</v>
      </c>
      <c r="E12" s="4">
        <f>COUNTIF(Resp4[4.105],B12)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COUNTIFS(Resp4[Vínculo],"tecnico",Resp4[4.106],B7)</f>
        <v>0</v>
      </c>
      <c r="D7" s="4">
        <f>COUNTIFS(Resp4[Vínculo],"docente",Resp4[4.106],B7)</f>
        <v>1</v>
      </c>
      <c r="E7" s="4">
        <f>COUNTIF(Resp4[4.106],B7)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COUNTIFS(Resp4[Vínculo],"tecnico",Resp4[4.106],B9)</f>
        <v>0</v>
      </c>
      <c r="D9" s="4">
        <f>COUNTIFS(Resp4[Vínculo],"docente",Resp4[4.106],B9)</f>
        <v>1</v>
      </c>
      <c r="E9" s="4">
        <f>COUNTIF(Resp4[4.106],B9)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4</v>
      </c>
      <c r="E10" s="4">
        <f>COUNTIF(Resp4[4.106],B10)</f>
        <v>4</v>
      </c>
      <c r="F10" s="4">
        <f t="shared" si="0"/>
        <v>12.12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COUNTIFS(Resp4[Vínculo],"tecnico",Resp4[4.106],B11)</f>
        <v>0</v>
      </c>
      <c r="D11" s="4">
        <f>COUNTIFS(Resp4[Vínculo],"docente",Resp4[4.106],B11)</f>
        <v>4</v>
      </c>
      <c r="E11" s="4">
        <f>COUNTIF(Resp4[4.106],B11)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COUNTIFS(Resp4[Vínculo],"tecnico",Resp4[4.106],B12)</f>
        <v>2</v>
      </c>
      <c r="D12" s="4">
        <f>COUNTIFS(Resp4[Vínculo],"docente",Resp4[4.106],B12)</f>
        <v>0</v>
      </c>
      <c r="E12" s="4">
        <f>COUNTIF(Resp4[4.106],B12)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COUNTIFS(Resp4[Vínculo],"tecnico",Resp4[4.107],B7)</f>
        <v>0</v>
      </c>
      <c r="D7" s="4">
        <f>COUNTIFS(Resp4[Vínculo],"docente",Resp4[4.107],B7)</f>
        <v>1</v>
      </c>
      <c r="E7" s="4">
        <f>COUNTIF(Resp4[4.107],B7)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COUNTIFS(Resp4[Vínculo],"tecnico",Resp4[4.107],B9)</f>
        <v>0</v>
      </c>
      <c r="D9" s="4">
        <f>COUNTIFS(Resp4[Vínculo],"docente",Resp4[4.107],B9)</f>
        <v>2</v>
      </c>
      <c r="E9" s="4">
        <f>COUNTIF(Resp4[4.107],B9)</f>
        <v>2</v>
      </c>
      <c r="F9" s="4">
        <f t="shared" si="0"/>
        <v>6.06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3</v>
      </c>
      <c r="E10" s="4">
        <f>COUNTIF(Resp4[4.107],B10)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COUNTIFS(Resp4[Vínculo],"tecnico",Resp4[4.107],B11)</f>
        <v>0</v>
      </c>
      <c r="D11" s="4">
        <f>COUNTIFS(Resp4[Vínculo],"docente",Resp4[4.107],B11)</f>
        <v>3</v>
      </c>
      <c r="E11" s="4">
        <f>COUNTIF(Resp4[4.107],B11)</f>
        <v>3</v>
      </c>
      <c r="F11" s="4">
        <f t="shared" si="0"/>
        <v>9.09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COUNTIFS(Resp4[Vínculo],"tecnico",Resp4[4.107],B12)</f>
        <v>2</v>
      </c>
      <c r="D12" s="4">
        <f>COUNTIFS(Resp4[Vínculo],"docente",Resp4[4.107],B12)</f>
        <v>1</v>
      </c>
      <c r="E12" s="4">
        <f>COUNTIF(Resp4[4.107],B12)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COUNTIFS(Resp4[Vínculo],"tecnico",Resp4[4.108],B7)</f>
        <v>0</v>
      </c>
      <c r="D7" s="4">
        <f>COUNTIFS(Resp4[Vínculo],"docente",Resp4[4.108],B7)</f>
        <v>1</v>
      </c>
      <c r="E7" s="4">
        <f>COUNTIF(Resp4[4.108],B7)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COUNTIFS(Resp4[Vínculo],"tecnico",Resp4[4.108],B9)</f>
        <v>0</v>
      </c>
      <c r="D9" s="4">
        <f>COUNTIFS(Resp4[Vínculo],"docente",Resp4[4.108],B9)</f>
        <v>1</v>
      </c>
      <c r="E9" s="4">
        <f>COUNTIF(Resp4[4.108],B9)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4</v>
      </c>
      <c r="E10" s="4">
        <f>COUNTIF(Resp4[4.108],B10)</f>
        <v>4</v>
      </c>
      <c r="F10" s="4">
        <f t="shared" si="0"/>
        <v>12.12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COUNTIFS(Resp4[Vínculo],"tecnico",Resp4[4.108],B11)</f>
        <v>0</v>
      </c>
      <c r="D11" s="4">
        <f>COUNTIFS(Resp4[Vínculo],"docente",Resp4[4.108],B11)</f>
        <v>3</v>
      </c>
      <c r="E11" s="4">
        <f>COUNTIF(Resp4[4.108],B11)</f>
        <v>3</v>
      </c>
      <c r="F11" s="4">
        <f t="shared" si="0"/>
        <v>9.09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COUNTIFS(Resp4[Vínculo],"tecnico",Resp4[4.108],B12)</f>
        <v>2</v>
      </c>
      <c r="D12" s="4">
        <f>COUNTIFS(Resp4[Vínculo],"docente",Resp4[4.108],B12)</f>
        <v>1</v>
      </c>
      <c r="E12" s="4">
        <f>COUNTIF(Resp4[4.108],B12)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COUNTIFS(Resp4[Vínculo],"tecnico",Resp4[4.109],B7)</f>
        <v>1</v>
      </c>
      <c r="D7" s="4">
        <f>COUNTIFS(Resp4[Vínculo],"docente",Resp4[4.109],B7)</f>
        <v>1</v>
      </c>
      <c r="E7" s="4">
        <f>COUNTIF(Resp4[4.109],B7)</f>
        <v>2</v>
      </c>
      <c r="F7" s="4">
        <f t="shared" ref="F7:F13" si="0">ROUND($E7/E$13*100,2)</f>
        <v>6.06</v>
      </c>
      <c r="G7" s="3">
        <f t="shared" ref="G7:G12" si="1">ROUND($E7/SUM($E$7:$E$12)*100,3)</f>
        <v>16.667000000000002</v>
      </c>
    </row>
    <row r="8" spans="1:7" x14ac:dyDescent="0.25">
      <c r="B8" s="2" t="s">
        <v>200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3</v>
      </c>
      <c r="E10" s="4">
        <f>COUNTIF(Resp4[4.109],B10)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COUNTIFS(Resp4[Vínculo],"tecnico",Resp4[4.109],B11)</f>
        <v>0</v>
      </c>
      <c r="D11" s="4">
        <f>COUNTIFS(Resp4[Vínculo],"docente",Resp4[4.109],B11)</f>
        <v>5</v>
      </c>
      <c r="E11" s="4">
        <f>COUNTIF(Resp4[4.109],B11)</f>
        <v>5</v>
      </c>
      <c r="F11" s="4">
        <f t="shared" si="0"/>
        <v>15.15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COUNTIFS(Resp4[Vínculo],"tecnico",Resp4[4.109],B12)</f>
        <v>1</v>
      </c>
      <c r="D12" s="4">
        <f>COUNTIFS(Resp4[Vínculo],"docente",Resp4[4.109],B12)</f>
        <v>1</v>
      </c>
      <c r="E12" s="4">
        <f>COUNTIF(Resp4[4.109],B12)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COUNTIFS(Resp4[Vínculo],"tecnico",Resp4[4.110],B7)</f>
        <v>0</v>
      </c>
      <c r="D7" s="4">
        <f>COUNTIFS(Resp4[Vínculo],"docente",Resp4[4.110],B7)</f>
        <v>1</v>
      </c>
      <c r="E7" s="4">
        <f>COUNTIF(Resp4[4.110],B7)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5</v>
      </c>
      <c r="E10" s="4">
        <f>COUNTIF(Resp4[4.110],B10)</f>
        <v>5</v>
      </c>
      <c r="F10" s="4">
        <f t="shared" si="0"/>
        <v>15.15</v>
      </c>
      <c r="G10" s="3">
        <f t="shared" si="1"/>
        <v>41.667000000000002</v>
      </c>
    </row>
    <row r="11" spans="1:7" x14ac:dyDescent="0.25">
      <c r="B11" s="2" t="s">
        <v>195</v>
      </c>
      <c r="C11" s="4">
        <f>COUNTIFS(Resp4[Vínculo],"tecnico",Resp4[4.110],B11)</f>
        <v>1</v>
      </c>
      <c r="D11" s="4">
        <f>COUNTIFS(Resp4[Vínculo],"docente",Resp4[4.110],B11)</f>
        <v>4</v>
      </c>
      <c r="E11" s="4">
        <f>COUNTIF(Resp4[4.110],B11)</f>
        <v>5</v>
      </c>
      <c r="F11" s="4">
        <f t="shared" si="0"/>
        <v>15.15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COUNTIFS(Resp4[Vínculo],"tecnico",Resp4[4.110],B12)</f>
        <v>1</v>
      </c>
      <c r="D12" s="4">
        <f>COUNTIFS(Resp4[Vínculo],"docente",Resp4[4.110],B12)</f>
        <v>0</v>
      </c>
      <c r="E12" s="4">
        <f>COUNTIF(Resp4[4.110],B12)</f>
        <v>1</v>
      </c>
      <c r="F12" s="22">
        <f t="shared" si="0"/>
        <v>3.03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COUNTIFS(Resp4[Vínculo],"tecnico",Resp4[4.111],B7)</f>
        <v>0</v>
      </c>
      <c r="D7" s="4">
        <f>COUNTIFS(Resp4[Vínculo],"docente",Resp4[4.111],B7)</f>
        <v>1</v>
      </c>
      <c r="E7" s="4">
        <f>COUNTIF(Resp4[4.111],B7)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3</v>
      </c>
      <c r="E10" s="4">
        <f>COUNTIF(Resp4[4.111],B10)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COUNTIFS(Resp4[Vínculo],"tecnico",Resp4[4.111],B11)</f>
        <v>1</v>
      </c>
      <c r="D11" s="4">
        <f>COUNTIFS(Resp4[Vínculo],"docente",Resp4[4.111],B11)</f>
        <v>6</v>
      </c>
      <c r="E11" s="4">
        <f>COUNTIF(Resp4[4.111],B11)</f>
        <v>7</v>
      </c>
      <c r="F11" s="4">
        <f t="shared" si="0"/>
        <v>21.21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COUNTIFS(Resp4[Vínculo],"tecnico",Resp4[4.111],B12)</f>
        <v>1</v>
      </c>
      <c r="D12" s="4">
        <f>COUNTIFS(Resp4[Vínculo],"docente",Resp4[4.111],B12)</f>
        <v>0</v>
      </c>
      <c r="E12" s="4">
        <f>COUNTIF(Resp4[4.111],B12)</f>
        <v>1</v>
      </c>
      <c r="F12" s="22">
        <f t="shared" si="0"/>
        <v>3.03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3">
        <f>ROUND($E6/E$13*100,2)</f>
        <v>63.64</v>
      </c>
    </row>
    <row r="7" spans="1:7" x14ac:dyDescent="0.25">
      <c r="B7" s="2" t="s">
        <v>197</v>
      </c>
      <c r="C7" s="4">
        <f>COUNTIFS(Resp4[Vínculo],"tecnico",Resp4[4.112],B7)</f>
        <v>0</v>
      </c>
      <c r="D7" s="4">
        <f>COUNTIFS(Resp4[Vínculo],"docente",Resp4[4.112],B7)</f>
        <v>2</v>
      </c>
      <c r="E7" s="4">
        <f>COUNTIF(Resp4[4.112],B7)</f>
        <v>2</v>
      </c>
      <c r="F7" s="3">
        <f t="shared" ref="F7:F13" si="0">ROUND($E7/E$13*100,2)</f>
        <v>6.06</v>
      </c>
      <c r="G7" s="3">
        <f t="shared" ref="G7:G12" si="1">ROUND($E7/SUM($E$7:$E$12)*100,3)</f>
        <v>16.667000000000002</v>
      </c>
    </row>
    <row r="8" spans="1:7" x14ac:dyDescent="0.25">
      <c r="B8" s="2" t="s">
        <v>200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COUNTIFS(Resp4[Vínculo],"tecnico",Resp4[4.112],B9)</f>
        <v>0</v>
      </c>
      <c r="D9" s="4">
        <f>COUNTIFS(Resp4[Vínculo],"docente",Resp4[4.112],B9)</f>
        <v>1</v>
      </c>
      <c r="E9" s="4">
        <f>COUNTIF(Resp4[4.112],B9)</f>
        <v>1</v>
      </c>
      <c r="F9" s="3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3</v>
      </c>
      <c r="E10" s="4">
        <f>COUNTIF(Resp4[4.112],B10)</f>
        <v>3</v>
      </c>
      <c r="F10" s="3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COUNTIFS(Resp4[Vínculo],"tecnico",Resp4[4.112],B11)</f>
        <v>0</v>
      </c>
      <c r="D11" s="4">
        <f>COUNTIFS(Resp4[Vínculo],"docente",Resp4[4.112],B11)</f>
        <v>4</v>
      </c>
      <c r="E11" s="4">
        <f>COUNTIF(Resp4[4.112],B11)</f>
        <v>4</v>
      </c>
      <c r="F11" s="3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COUNTIFS(Resp4[Vínculo],"tecnico",Resp4[4.112],B12)</f>
        <v>2</v>
      </c>
      <c r="D12" s="4">
        <f>COUNTIFS(Resp4[Vínculo],"docente",Resp4[4.112],B12)</f>
        <v>0</v>
      </c>
      <c r="E12" s="4">
        <f>COUNTIF(Resp4[4.112],B12)</f>
        <v>2</v>
      </c>
      <c r="F12" s="24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COUNTIFS(Resp4[Vínculo],"tecnico",Resp4[4.05],B7)</f>
        <v>1</v>
      </c>
      <c r="D7" s="4">
        <f>COUNTIFS(Resp4[Vínculo],"docente",Resp4[4.05],B7)</f>
        <v>2</v>
      </c>
      <c r="E7" s="4">
        <f>COUNTIF(Resp4[4.05],B7)</f>
        <v>3</v>
      </c>
      <c r="F7" s="4">
        <f t="shared" ref="F7:F13" si="0">ROUND($E7/E$13*100,2)</f>
        <v>9.09</v>
      </c>
      <c r="G7" s="3">
        <f t="shared" ref="G7:G12" si="1">ROUND($E7/SUM($E$7:$E$12)*100,3)</f>
        <v>15.789</v>
      </c>
    </row>
    <row r="8" spans="1:7" x14ac:dyDescent="0.25">
      <c r="B8" s="2" t="s">
        <v>200</v>
      </c>
      <c r="C8" s="4">
        <f>COUNTIFS(Resp4[Vínculo],"tecnico",Resp4[4.02],B$8)</f>
        <v>0</v>
      </c>
      <c r="D8" s="4">
        <f>COUNTIFS(Resp4[Vínculo],"docente",Resp4[4.05],B8)</f>
        <v>2</v>
      </c>
      <c r="E8" s="4">
        <f>COUNTIF(Resp4[4.05],B8)</f>
        <v>2</v>
      </c>
      <c r="F8" s="4">
        <f t="shared" si="0"/>
        <v>6.06</v>
      </c>
      <c r="G8" s="3">
        <f t="shared" si="1"/>
        <v>10.526</v>
      </c>
    </row>
    <row r="9" spans="1:7" x14ac:dyDescent="0.25">
      <c r="B9" s="2" t="s">
        <v>196</v>
      </c>
      <c r="C9" s="4">
        <f>COUNTIFS(Resp4[Vínculo],"tecnico",Resp4[4.02],B$9)</f>
        <v>0</v>
      </c>
      <c r="D9" s="4">
        <f>COUNTIFS(Resp4[Vínculo],"docente",Resp4[4.05],B9)</f>
        <v>4</v>
      </c>
      <c r="E9" s="4">
        <f>COUNTIF(Resp4[4.05],B9)</f>
        <v>4</v>
      </c>
      <c r="F9" s="4">
        <f t="shared" si="0"/>
        <v>12.12</v>
      </c>
      <c r="G9" s="3">
        <f t="shared" si="1"/>
        <v>21.053000000000001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1</v>
      </c>
      <c r="E10" s="4">
        <f>COUNTIF(Resp4[4.05],B10)</f>
        <v>1</v>
      </c>
      <c r="F10" s="4">
        <f t="shared" si="0"/>
        <v>3.03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COUNTIFS(Resp4[Vínculo],"docente",Resp4[4.05],B11)</f>
        <v>6</v>
      </c>
      <c r="E11" s="4">
        <f>COUNTIF(Resp4[4.05],B11)</f>
        <v>6</v>
      </c>
      <c r="F11" s="4">
        <f t="shared" si="0"/>
        <v>18.18</v>
      </c>
      <c r="G11" s="3">
        <f t="shared" si="1"/>
        <v>31.579000000000001</v>
      </c>
    </row>
    <row r="12" spans="1:7" x14ac:dyDescent="0.25">
      <c r="B12" s="7" t="s">
        <v>198</v>
      </c>
      <c r="C12" s="4">
        <f>COUNTIFS(Resp4[Vínculo],"tecnico",Resp4[4.02],B$12)</f>
        <v>3</v>
      </c>
      <c r="D12" s="4">
        <f>COUNTIFS(Resp4[Vínculo],"docente",Resp4[4.05],B12)</f>
        <v>1</v>
      </c>
      <c r="E12" s="4">
        <f>COUNTIF(Resp4[4.05],B12)</f>
        <v>3</v>
      </c>
      <c r="F12" s="22">
        <f t="shared" si="0"/>
        <v>9.09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37.5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2</v>
      </c>
      <c r="D7" s="4">
        <f>COUNTIFS(Resp4[Vínculo],"docente",Resp4[4.114],B7)</f>
        <v>3</v>
      </c>
      <c r="E7" s="2">
        <f>COUNTIF(Resp4[4.114],B7)</f>
        <v>5</v>
      </c>
      <c r="F7" s="15">
        <f t="shared" ref="F7:F9" si="0">ROUND($E7/E$9*100,2)</f>
        <v>15.15</v>
      </c>
      <c r="G7" s="4">
        <f>ROUND($E7/SUM($E$7:$E$8)*100,2)</f>
        <v>15.15</v>
      </c>
      <c r="H7" s="2"/>
    </row>
    <row r="8" spans="1:8" x14ac:dyDescent="0.25">
      <c r="A8" s="2"/>
      <c r="B8" s="2" t="s">
        <v>202</v>
      </c>
      <c r="C8" s="4">
        <f>COUNTIFS(Resp4[Vínculo],"tecnico",Resp4[4.114],B8)</f>
        <v>11</v>
      </c>
      <c r="D8" s="4">
        <f>COUNTIFS(Resp4[Vínculo],"docente",Resp4[4.114],B8)</f>
        <v>17</v>
      </c>
      <c r="E8" s="2">
        <f>COUNTIF(Resp4[4.114],B8)</f>
        <v>28</v>
      </c>
      <c r="F8" s="19">
        <f t="shared" si="0"/>
        <v>84.85</v>
      </c>
      <c r="G8" s="4">
        <f>ROUND($E8/SUM($E$7:$E$8)*100,2)</f>
        <v>84.85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COUNTIFS(Resp4[Vínculo],"tecnico",Resp4[4.115],B9)</f>
        <v>0</v>
      </c>
      <c r="D9" s="4">
        <f>COUNTIFS(Resp4[Vínculo],"docente",Resp4[4.115],B9)</f>
        <v>1</v>
      </c>
      <c r="E9" s="4">
        <f>COUNTIF(Resp4[4.115],B9)</f>
        <v>1</v>
      </c>
      <c r="F9" s="3">
        <f t="shared" si="0"/>
        <v>3.03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1</v>
      </c>
      <c r="E10" s="4">
        <f>COUNTIF(Resp4[4.115],B10)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COUNTIFS(Resp4[Vínculo],"tecnico",Resp4[4.115],B11)</f>
        <v>1</v>
      </c>
      <c r="D11" s="4">
        <f>COUNTIFS(Resp4[Vínculo],"docente",Resp4[4.115],B11)</f>
        <v>1</v>
      </c>
      <c r="E11" s="4">
        <f>COUNTIF(Resp4[4.115],B11)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COUNTIFS(Resp4[Vínculo],"tecnico",Resp4[4.115],B12)</f>
        <v>1</v>
      </c>
      <c r="D12" s="4">
        <f>COUNTIFS(Resp4[Vínculo],"docente",Resp4[4.115],B12)</f>
        <v>0</v>
      </c>
      <c r="E12" s="4">
        <f>COUNTIF(Resp4[4.115],B12)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33.332999999999998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COUNTIFS(Resp4[Vínculo],"tecnico",Resp4[4.116],B7)</f>
        <v>0</v>
      </c>
      <c r="D7" s="4">
        <f>COUNTIFS(Resp4[Vínculo],"docente",Resp4[4.116],B7)</f>
        <v>1</v>
      </c>
      <c r="E7" s="4">
        <f>COUNTIF(Resp4[4.116],B7)</f>
        <v>1</v>
      </c>
      <c r="F7" s="3">
        <f t="shared" ref="F7:F13" si="0">ROUND($E7/E$13*100,2)</f>
        <v>3.03</v>
      </c>
      <c r="G7" s="3">
        <f t="shared" ref="G7:G12" si="1">ROUND($E7/SUM($E$7:$E$12)*100,3)</f>
        <v>20</v>
      </c>
    </row>
    <row r="8" spans="1:7" x14ac:dyDescent="0.25">
      <c r="B8" s="2" t="s">
        <v>200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1</v>
      </c>
      <c r="E10" s="4">
        <f>COUNTIF(Resp4[4.116],B10)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COUNTIFS(Resp4[Vínculo],"tecnico",Resp4[4.116],B11)</f>
        <v>1</v>
      </c>
      <c r="D11" s="4">
        <f>COUNTIFS(Resp4[Vínculo],"docente",Resp4[4.116],B11)</f>
        <v>1</v>
      </c>
      <c r="E11" s="4">
        <f>COUNTIF(Resp4[4.116],B11)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COUNTIFS(Resp4[Vínculo],"tecnico",Resp4[4.116],B12)</f>
        <v>1</v>
      </c>
      <c r="D12" s="4">
        <f>COUNTIFS(Resp4[Vínculo],"docente",Resp4[4.116],B12)</f>
        <v>0</v>
      </c>
      <c r="E12" s="4">
        <f>COUNTIF(Resp4[4.116],B12)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COUNTIFS(Resp4[Vínculo],"tecnico",Resp4[4.117],B8)</f>
        <v>1</v>
      </c>
      <c r="D8" s="4">
        <f>COUNTIFS(Resp4[Vínculo],"docente",Resp4[4.117],B8)</f>
        <v>0</v>
      </c>
      <c r="E8" s="4">
        <f>COUNTIF(Resp4[4.117],B8)</f>
        <v>1</v>
      </c>
      <c r="F8" s="3">
        <f t="shared" si="0"/>
        <v>3.03</v>
      </c>
      <c r="G8" s="3">
        <f t="shared" si="1"/>
        <v>20</v>
      </c>
    </row>
    <row r="9" spans="1:7" x14ac:dyDescent="0.25">
      <c r="B9" s="2" t="s">
        <v>196</v>
      </c>
      <c r="C9" s="4">
        <f>COUNTIFS(Resp4[Vínculo],"tecnico",Resp4[4.117],B9)</f>
        <v>0</v>
      </c>
      <c r="D9" s="4">
        <f>COUNTIFS(Resp4[Vínculo],"docente",Resp4[4.117],B9)</f>
        <v>1</v>
      </c>
      <c r="E9" s="4">
        <f>COUNTIF(Resp4[4.117],B9)</f>
        <v>1</v>
      </c>
      <c r="F9" s="3">
        <f t="shared" si="0"/>
        <v>3.03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1</v>
      </c>
      <c r="E10" s="4">
        <f>COUNTIF(Resp4[4.117],B10)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COUNTIFS(Resp4[Vínculo],"tecnico",Resp4[4.117],B11)</f>
        <v>0</v>
      </c>
      <c r="D11" s="4">
        <f>COUNTIFS(Resp4[Vínculo],"docente",Resp4[4.117],B11)</f>
        <v>1</v>
      </c>
      <c r="E11" s="4">
        <f>COUNTIF(Resp4[4.117],B11)</f>
        <v>1</v>
      </c>
      <c r="F11" s="3">
        <f t="shared" si="0"/>
        <v>3.03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COUNTIFS(Resp4[Vínculo],"tecnico",Resp4[4.117],B12)</f>
        <v>1</v>
      </c>
      <c r="D12" s="4">
        <f>COUNTIFS(Resp4[Vínculo],"docente",Resp4[4.117],B12)</f>
        <v>0</v>
      </c>
      <c r="E12" s="4">
        <f>COUNTIF(Resp4[4.117],B12)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33.332999999999998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COUNTIFS(Resp4[Vínculo],"tecnico",Resp4[4.118],B7)</f>
        <v>0</v>
      </c>
      <c r="D7" s="4">
        <f>COUNTIFS(Resp4[Vínculo],"docente",Resp4[4.118],B7)</f>
        <v>1</v>
      </c>
      <c r="E7" s="4">
        <f>COUNTIF(Resp4[4.118],B7)</f>
        <v>1</v>
      </c>
      <c r="F7" s="3">
        <f t="shared" ref="F7:F13" si="0">ROUND($E7/E$13*100,2)</f>
        <v>3.03</v>
      </c>
      <c r="G7" s="3">
        <f t="shared" ref="G7:G12" si="1">ROUND($E7/SUM($E$7:$E$12)*100,3)</f>
        <v>20</v>
      </c>
    </row>
    <row r="8" spans="1:7" x14ac:dyDescent="0.25">
      <c r="B8" s="2" t="s">
        <v>200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1</v>
      </c>
      <c r="D10" s="4">
        <f>COUNTIFS(Resp4[Vínculo],"docente",Resp4[4.118],B10)</f>
        <v>1</v>
      </c>
      <c r="E10" s="4">
        <f>COUNTIF(Resp4[4.118],B10)</f>
        <v>2</v>
      </c>
      <c r="F10" s="3">
        <f t="shared" si="0"/>
        <v>6.06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COUNTIFS(Resp4[Vínculo],"tecnico",Resp4[4.118],B11)</f>
        <v>0</v>
      </c>
      <c r="D11" s="4">
        <f>COUNTIFS(Resp4[Vínculo],"docente",Resp4[4.118],B11)</f>
        <v>1</v>
      </c>
      <c r="E11" s="4">
        <f>COUNTIF(Resp4[4.118],B11)</f>
        <v>1</v>
      </c>
      <c r="F11" s="3">
        <f t="shared" si="0"/>
        <v>3.03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COUNTIFS(Resp4[Vínculo],"tecnico",Resp4[4.118],B12)</f>
        <v>1</v>
      </c>
      <c r="D12" s="4">
        <f>COUNTIFS(Resp4[Vínculo],"docente",Resp4[4.118],B12)</f>
        <v>0</v>
      </c>
      <c r="E12" s="4">
        <f>COUNTIF(Resp4[4.118],B12)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COUNTIFS(Resp4[Vínculo],"tecnico",Resp4[4.119],B7)</f>
        <v>0</v>
      </c>
      <c r="D7" s="4">
        <f>COUNTIFS(Resp4[Vínculo],"docente",Resp4[4.119],B7)</f>
        <v>1</v>
      </c>
      <c r="E7" s="4">
        <f>COUNTIF(Resp4[4.119],B7)</f>
        <v>1</v>
      </c>
      <c r="F7" s="3">
        <f t="shared" ref="F7:F13" si="0">ROUND($E7/E$13*100,2)</f>
        <v>3.03</v>
      </c>
      <c r="G7" s="3">
        <f t="shared" ref="G7:G12" si="1">ROUND($E7/SUM($E$7:$E$12)*100,3)</f>
        <v>20</v>
      </c>
    </row>
    <row r="8" spans="1:7" x14ac:dyDescent="0.25">
      <c r="B8" s="2" t="s">
        <v>200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1</v>
      </c>
      <c r="D10" s="4">
        <f>COUNTIFS(Resp4[Vínculo],"docente",Resp4[4.119],B10)</f>
        <v>0</v>
      </c>
      <c r="E10" s="4">
        <f>COUNTIF(Resp4[4.119],B10)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COUNTIFS(Resp4[Vínculo],"tecnico",Resp4[4.119],B11)</f>
        <v>0</v>
      </c>
      <c r="D11" s="4">
        <f>COUNTIFS(Resp4[Vínculo],"docente",Resp4[4.119],B11)</f>
        <v>2</v>
      </c>
      <c r="E11" s="4">
        <f>COUNTIF(Resp4[4.119],B11)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COUNTIFS(Resp4[Vínculo],"tecnico",Resp4[4.119],B12)</f>
        <v>1</v>
      </c>
      <c r="D12" s="4">
        <f>COUNTIFS(Resp4[Vínculo],"docente",Resp4[4.119],B12)</f>
        <v>0</v>
      </c>
      <c r="E12" s="4">
        <f>COUNTIF(Resp4[4.119],B12)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COUNTIFS(Resp4[Vínculo],"tecnico",Resp4[4.120],B7)</f>
        <v>0</v>
      </c>
      <c r="D7" s="4">
        <f>COUNTIFS(Resp4[Vínculo],"docente",Resp4[4.120],B7)</f>
        <v>1</v>
      </c>
      <c r="E7" s="4">
        <f>COUNTIF(Resp4[4.120],B7)</f>
        <v>1</v>
      </c>
      <c r="F7" s="3">
        <f t="shared" ref="F7:F13" si="0">ROUND($E7/E$13*100,2)</f>
        <v>3.03</v>
      </c>
      <c r="G7" s="3">
        <f t="shared" ref="G7:G12" si="1">ROUND($E7/SUM($E$7:$E$12)*100,3)</f>
        <v>20</v>
      </c>
    </row>
    <row r="8" spans="1:7" x14ac:dyDescent="0.25">
      <c r="B8" s="2" t="s">
        <v>200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1</v>
      </c>
      <c r="D10" s="4">
        <f>COUNTIFS(Resp4[Vínculo],"docente",Resp4[4.120],B10)</f>
        <v>0</v>
      </c>
      <c r="E10" s="4">
        <f>COUNTIF(Resp4[4.120],B10)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COUNTIFS(Resp4[Vínculo],"tecnico",Resp4[4.120],B11)</f>
        <v>0</v>
      </c>
      <c r="D11" s="4">
        <f>COUNTIFS(Resp4[Vínculo],"docente",Resp4[4.120],B11)</f>
        <v>2</v>
      </c>
      <c r="E11" s="4">
        <f>COUNTIF(Resp4[4.120],B11)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COUNTIFS(Resp4[Vínculo],"tecnico",Resp4[4.120],B12)</f>
        <v>1</v>
      </c>
      <c r="D12" s="4">
        <f>COUNTIFS(Resp4[Vínculo],"docente",Resp4[4.120],B12)</f>
        <v>0</v>
      </c>
      <c r="E12" s="4">
        <f>COUNTIF(Resp4[4.120],B12)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COUNTIFS(Resp4[Vínculo],"tecnico",Resp4[4.121],B8)</f>
        <v>0</v>
      </c>
      <c r="D8" s="4">
        <f>COUNTIFS(Resp4[Vínculo],"docente",Resp4[4.121],B8)</f>
        <v>1</v>
      </c>
      <c r="E8" s="4">
        <f>COUNTIF(Resp4[4.121],B8)</f>
        <v>1</v>
      </c>
      <c r="F8" s="3">
        <f t="shared" si="0"/>
        <v>3.03</v>
      </c>
      <c r="G8" s="3">
        <f t="shared" si="1"/>
        <v>20</v>
      </c>
    </row>
    <row r="9" spans="1:7" x14ac:dyDescent="0.25">
      <c r="B9" s="2" t="s">
        <v>196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1</v>
      </c>
      <c r="D10" s="4">
        <f>COUNTIFS(Resp4[Vínculo],"docente",Resp4[4.121],B10)</f>
        <v>1</v>
      </c>
      <c r="E10" s="4">
        <f>COUNTIF(Resp4[4.121],B10)</f>
        <v>2</v>
      </c>
      <c r="F10" s="3">
        <f t="shared" si="0"/>
        <v>6.06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COUNTIFS(Resp4[Vínculo],"tecnico",Resp4[4.121],B11)</f>
        <v>0</v>
      </c>
      <c r="D11" s="4">
        <f>COUNTIFS(Resp4[Vínculo],"docente",Resp4[4.121],B11)</f>
        <v>1</v>
      </c>
      <c r="E11" s="4">
        <f>COUNTIF(Resp4[4.121],B11)</f>
        <v>1</v>
      </c>
      <c r="F11" s="3">
        <f t="shared" si="0"/>
        <v>3.03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COUNTIFS(Resp4[Vínculo],"tecnico",Resp4[4.121],B12)</f>
        <v>1</v>
      </c>
      <c r="D12" s="4">
        <f>COUNTIFS(Resp4[Vínculo],"docente",Resp4[4.121],B12)</f>
        <v>0</v>
      </c>
      <c r="E12" s="4">
        <f>COUNTIF(Resp4[4.121],B12)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33.332999999999998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1</v>
      </c>
      <c r="D10" s="4">
        <f>COUNTIFS(Resp4[Vínculo],"docente",Resp4[4.122],B10)</f>
        <v>1</v>
      </c>
      <c r="E10" s="4">
        <f>COUNTIF(Resp4[4.122],B10)</f>
        <v>2</v>
      </c>
      <c r="F10" s="3">
        <f t="shared" si="0"/>
        <v>6.06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COUNTIFS(Resp4[Vínculo],"tecnico",Resp4[4.122],B11)</f>
        <v>0</v>
      </c>
      <c r="D11" s="4">
        <f>COUNTIFS(Resp4[Vínculo],"docente",Resp4[4.122],B11)</f>
        <v>2</v>
      </c>
      <c r="E11" s="4">
        <f>COUNTIF(Resp4[4.122],B11)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COUNTIFS(Resp4[Vínculo],"tecnico",Resp4[4.122],B12)</f>
        <v>1</v>
      </c>
      <c r="D12" s="4">
        <f>COUNTIFS(Resp4[Vínculo],"docente",Resp4[4.122],B12)</f>
        <v>0</v>
      </c>
      <c r="E12" s="4">
        <f>COUNTIF(Resp4[4.122],B12)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1</v>
      </c>
      <c r="D10" s="4">
        <f>COUNTIFS(Resp4[Vínculo],"docente",Resp4[4.123],B10)</f>
        <v>1</v>
      </c>
      <c r="E10" s="4">
        <f>COUNTIF(Resp4[4.123],B10)</f>
        <v>2</v>
      </c>
      <c r="F10" s="3">
        <f t="shared" si="0"/>
        <v>6.06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COUNTIFS(Resp4[Vínculo],"tecnico",Resp4[4.123],B11)</f>
        <v>0</v>
      </c>
      <c r="D11" s="4">
        <f>COUNTIFS(Resp4[Vínculo],"docente",Resp4[4.123],B11)</f>
        <v>2</v>
      </c>
      <c r="E11" s="4">
        <f>COUNTIF(Resp4[4.123],B11)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COUNTIFS(Resp4[Vínculo],"tecnico",Resp4[4.123],B12)</f>
        <v>1</v>
      </c>
      <c r="D12" s="4">
        <f>COUNTIFS(Resp4[Vínculo],"docente",Resp4[4.123],B12)</f>
        <v>0</v>
      </c>
      <c r="E12" s="4">
        <f>COUNTIF(Resp4[4.123],B12)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COUNTIFS(Resp4[Vínculo],"tecnico",Resp4[4.06],B7)</f>
        <v>1</v>
      </c>
      <c r="D7" s="4">
        <f>COUNTIFS(Resp4[Vínculo],"docente",Resp4[4.06],B7)</f>
        <v>5</v>
      </c>
      <c r="E7" s="4">
        <f>COUNTIF(Resp4[4.06],B7)</f>
        <v>6</v>
      </c>
      <c r="F7" s="4">
        <f t="shared" ref="F7:F13" si="0">ROUND($E7/E$13*100,2)</f>
        <v>18.18</v>
      </c>
      <c r="G7" s="3">
        <f t="shared" ref="G7:G12" si="1">ROUND($E7/SUM($E$7:$E$12)*100,3)</f>
        <v>31.579000000000001</v>
      </c>
    </row>
    <row r="8" spans="1:7" x14ac:dyDescent="0.25">
      <c r="B8" s="2" t="s">
        <v>200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COUNTIFS(Resp4[Vínculo],"tecnico",Resp4[4.06],B9)</f>
        <v>0</v>
      </c>
      <c r="D9" s="4">
        <f>COUNTIFS(Resp4[Vínculo],"docente",Resp4[4.06],B9)</f>
        <v>8</v>
      </c>
      <c r="E9" s="4">
        <f>COUNTIF(Resp4[4.06],B9)</f>
        <v>8</v>
      </c>
      <c r="F9" s="4">
        <f t="shared" si="0"/>
        <v>24.24</v>
      </c>
      <c r="G9" s="3">
        <f t="shared" si="1"/>
        <v>42.104999999999997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1</v>
      </c>
      <c r="E10" s="4">
        <f>COUNTIF(Resp4[4.06],B10)</f>
        <v>1</v>
      </c>
      <c r="F10" s="4">
        <f t="shared" si="0"/>
        <v>3.03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COUNTIFS(Resp4[Vínculo],"tecnico",Resp4[4.06],B11)</f>
        <v>0</v>
      </c>
      <c r="D11" s="4">
        <f>COUNTIFS(Resp4[Vínculo],"docente",Resp4[4.06],B11)</f>
        <v>1</v>
      </c>
      <c r="E11" s="4">
        <f>COUNTIF(Resp4[4.06],B11)</f>
        <v>1</v>
      </c>
      <c r="F11" s="4">
        <f t="shared" si="0"/>
        <v>3.03</v>
      </c>
      <c r="G11" s="3">
        <f t="shared" si="1"/>
        <v>5.2629999999999999</v>
      </c>
    </row>
    <row r="12" spans="1:7" x14ac:dyDescent="0.25">
      <c r="B12" s="7" t="s">
        <v>198</v>
      </c>
      <c r="C12" s="4">
        <f>COUNTIFS(Resp4[Vínculo],"tecnico",Resp4[4.06],B12)</f>
        <v>2</v>
      </c>
      <c r="D12" s="4">
        <f>COUNTIFS(Resp4[Vínculo],"docente",Resp4[4.06],B12)</f>
        <v>1</v>
      </c>
      <c r="E12" s="4">
        <f>COUNTIF(Resp4[4.06],B12)</f>
        <v>3</v>
      </c>
      <c r="F12" s="22">
        <f t="shared" si="0"/>
        <v>9.09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31.25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12.5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1</v>
      </c>
      <c r="D10" s="4">
        <f>COUNTIFS(Resp4[Vínculo],"docente",Resp4[4.124],B10)</f>
        <v>2</v>
      </c>
      <c r="E10" s="4">
        <f>COUNTIF(Resp4[4.124],B10)</f>
        <v>3</v>
      </c>
      <c r="F10" s="3">
        <f t="shared" si="0"/>
        <v>9.09</v>
      </c>
      <c r="G10" s="3">
        <f t="shared" si="1"/>
        <v>60</v>
      </c>
    </row>
    <row r="11" spans="1:7" x14ac:dyDescent="0.25">
      <c r="B11" s="2" t="s">
        <v>195</v>
      </c>
      <c r="C11" s="4">
        <f>COUNTIFS(Resp4[Vínculo],"tecnico",Resp4[4.124],B11)</f>
        <v>0</v>
      </c>
      <c r="D11" s="4">
        <f>COUNTIFS(Resp4[Vínculo],"docente",Resp4[4.124],B11)</f>
        <v>1</v>
      </c>
      <c r="E11" s="4">
        <f>COUNTIF(Resp4[4.124],B11)</f>
        <v>1</v>
      </c>
      <c r="F11" s="3">
        <f t="shared" si="0"/>
        <v>3.03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COUNTIFS(Resp4[Vínculo],"tecnico",Resp4[4.124],B12)</f>
        <v>1</v>
      </c>
      <c r="D12" s="4">
        <f>COUNTIFS(Resp4[Vínculo],"docente",Resp4[4.124],B12)</f>
        <v>0</v>
      </c>
      <c r="E12" s="4">
        <f>COUNTIF(Resp4[4.124],B12)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COUNTIFS(Resp4[Vínculo],"tecnico",Resp4[4.125],B11)</f>
        <v>0</v>
      </c>
      <c r="D11" s="4">
        <f>COUNTIFS(Resp4[Vínculo],"docente",Resp4[4.125],B11)</f>
        <v>2</v>
      </c>
      <c r="E11" s="4">
        <f>COUNTIF(Resp4[4.125],B11)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COUNTIFS(Resp4[Vínculo],"tecnico",Resp4[4.125],B12)</f>
        <v>2</v>
      </c>
      <c r="D12" s="4">
        <f>COUNTIFS(Resp4[Vínculo],"docente",Resp4[4.125],B12)</f>
        <v>1</v>
      </c>
      <c r="E12" s="4">
        <f>COUNTIF(Resp4[4.125],B12)</f>
        <v>3</v>
      </c>
      <c r="F12" s="24">
        <f t="shared" si="0"/>
        <v>9.09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1</v>
      </c>
      <c r="D10" s="4">
        <f>COUNTIFS(Resp4[Vínculo],"docente",Resp4[4.126],B10)</f>
        <v>2</v>
      </c>
      <c r="E10" s="4">
        <f>COUNTIF(Resp4[4.126],B10)</f>
        <v>3</v>
      </c>
      <c r="F10" s="3">
        <f t="shared" si="0"/>
        <v>9.09</v>
      </c>
      <c r="G10" s="3">
        <f t="shared" si="1"/>
        <v>60</v>
      </c>
    </row>
    <row r="11" spans="1:7" x14ac:dyDescent="0.25">
      <c r="B11" s="2" t="s">
        <v>195</v>
      </c>
      <c r="C11" s="4">
        <f>COUNTIFS(Resp4[Vínculo],"tecnico",Resp4[4.126],B11)</f>
        <v>0</v>
      </c>
      <c r="D11" s="4">
        <f>COUNTIFS(Resp4[Vínculo],"docente",Resp4[4.126],B11)</f>
        <v>1</v>
      </c>
      <c r="E11" s="4">
        <f>COUNTIF(Resp4[4.126],B11)</f>
        <v>1</v>
      </c>
      <c r="F11" s="3">
        <f t="shared" si="0"/>
        <v>3.03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COUNTIFS(Resp4[Vínculo],"tecnico",Resp4[4.126],B12)</f>
        <v>1</v>
      </c>
      <c r="D12" s="4">
        <f>COUNTIFS(Resp4[Vínculo],"docente",Resp4[4.126],B12)</f>
        <v>0</v>
      </c>
      <c r="E12" s="4">
        <f>COUNTIF(Resp4[4.126],B12)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2</v>
      </c>
      <c r="E10" s="4">
        <f>COUNTIF(Resp4[4.127],B10)</f>
        <v>2</v>
      </c>
      <c r="F10" s="3">
        <f t="shared" si="0"/>
        <v>6.06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COUNTIFS(Resp4[Vínculo],"tecnico",Resp4[4.127],B11)</f>
        <v>1</v>
      </c>
      <c r="D11" s="4">
        <f>COUNTIFS(Resp4[Vínculo],"docente",Resp4[4.127],B11)</f>
        <v>1</v>
      </c>
      <c r="E11" s="4">
        <f>COUNTIF(Resp4[4.127],B11)</f>
        <v>2</v>
      </c>
      <c r="F11" s="3">
        <f t="shared" si="0"/>
        <v>6.06</v>
      </c>
      <c r="G11" s="3">
        <f t="shared" si="1"/>
        <v>40</v>
      </c>
    </row>
    <row r="12" spans="1:7" x14ac:dyDescent="0.25">
      <c r="B12" s="7" t="s">
        <v>198</v>
      </c>
      <c r="C12" s="4">
        <f>COUNTIFS(Resp4[Vínculo],"tecnico",Resp4[4.127],B12)</f>
        <v>1</v>
      </c>
      <c r="D12" s="4">
        <f>COUNTIFS(Resp4[Vínculo],"docente",Resp4[4.127],B12)</f>
        <v>0</v>
      </c>
      <c r="E12" s="4">
        <f>COUNTIF(Resp4[4.127],B12)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17</v>
      </c>
      <c r="E6" s="4">
        <f>E13-SUM(E7:E12)</f>
        <v>28</v>
      </c>
      <c r="F6" s="3">
        <f>ROUND($E6/E$13*100,2)</f>
        <v>84.85</v>
      </c>
    </row>
    <row r="7" spans="1:7" x14ac:dyDescent="0.25">
      <c r="B7" s="2" t="s">
        <v>197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1</v>
      </c>
      <c r="E10" s="4">
        <f>COUNTIF(Resp4[4.128],B10)</f>
        <v>1</v>
      </c>
      <c r="F10" s="3">
        <f t="shared" si="0"/>
        <v>3.03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COUNTIFS(Resp4[Vínculo],"tecnico",Resp4[4.128],B11)</f>
        <v>1</v>
      </c>
      <c r="D11" s="4">
        <f>COUNTIFS(Resp4[Vínculo],"docente",Resp4[4.128],B11)</f>
        <v>2</v>
      </c>
      <c r="E11" s="4">
        <f>COUNTIF(Resp4[4.128],B11)</f>
        <v>3</v>
      </c>
      <c r="F11" s="3">
        <f t="shared" si="0"/>
        <v>9.09</v>
      </c>
      <c r="G11" s="3">
        <f t="shared" si="1"/>
        <v>60</v>
      </c>
    </row>
    <row r="12" spans="1:7" x14ac:dyDescent="0.25">
      <c r="B12" s="7" t="s">
        <v>198</v>
      </c>
      <c r="C12" s="4">
        <f>COUNTIFS(Resp4[Vínculo],"tecnico",Resp4[4.128],B12)</f>
        <v>1</v>
      </c>
      <c r="D12" s="4">
        <f>COUNTIFS(Resp4[Vínculo],"docente",Resp4[4.128],B12)</f>
        <v>0</v>
      </c>
      <c r="E12" s="4">
        <f>COUNTIF(Resp4[4.128],B12)</f>
        <v>1</v>
      </c>
      <c r="F12" s="24">
        <f t="shared" si="0"/>
        <v>3.03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1</v>
      </c>
      <c r="D7" s="4">
        <f>COUNTIFS(Resp4[Vínculo],"docente",Resp4[4.130],B7)</f>
        <v>8</v>
      </c>
      <c r="E7" s="2">
        <f>COUNTIF(Resp4[4.130],B7)</f>
        <v>9</v>
      </c>
      <c r="F7" s="4">
        <f t="shared" ref="F7:F9" si="0">ROUND($E7/E$9*100,2)</f>
        <v>27.27</v>
      </c>
      <c r="G7" s="4">
        <f>ROUND($E7/SUM($E$7:$E$8)*100,2)</f>
        <v>27.27</v>
      </c>
      <c r="H7" s="2"/>
    </row>
    <row r="8" spans="1:8" x14ac:dyDescent="0.25">
      <c r="A8" s="2"/>
      <c r="B8" s="2" t="s">
        <v>202</v>
      </c>
      <c r="C8" s="4">
        <f>COUNTIFS(Resp4[Vínculo],"tecnico",Resp4[4.130],B8)</f>
        <v>12</v>
      </c>
      <c r="D8" s="4">
        <f>COUNTIFS(Resp4[Vínculo],"docente",Resp4[4.130],B8)</f>
        <v>12</v>
      </c>
      <c r="E8" s="2">
        <f>COUNTIF(Resp4[4.130],B8)</f>
        <v>24</v>
      </c>
      <c r="F8" s="22">
        <f t="shared" si="0"/>
        <v>72.73</v>
      </c>
      <c r="G8" s="4">
        <f>ROUND($E8/SUM($E$7:$E$8)*100,2)</f>
        <v>72.73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COUNTIFS(Resp4[Vínculo],"tecnico",Resp4[4.131],B7)</f>
        <v>0</v>
      </c>
      <c r="D7" s="4">
        <f>COUNTIFS(Resp4[Vínculo],"docente",Resp4[4.131],B7)</f>
        <v>2</v>
      </c>
      <c r="E7" s="4">
        <f>COUNTIF(Resp4[4.131],B7)</f>
        <v>2</v>
      </c>
      <c r="F7" s="3">
        <f t="shared" ref="F7:F13" si="0">ROUND($E7/E$13*100,2)</f>
        <v>6.06</v>
      </c>
      <c r="G7" s="3">
        <f t="shared" ref="G7:G12" si="1">ROUND($E7/SUM($E$7:$E$12)*100,3)</f>
        <v>22.222000000000001</v>
      </c>
    </row>
    <row r="8" spans="1:7" x14ac:dyDescent="0.25">
      <c r="B8" s="2" t="s">
        <v>200</v>
      </c>
      <c r="C8" s="4">
        <f>COUNTIFS(Resp4[Vínculo],"tecnico",Resp4[4.131],B8)</f>
        <v>0</v>
      </c>
      <c r="D8" s="4">
        <f>COUNTIFS(Resp4[Vínculo],"docente",Resp4[4.131],B8)</f>
        <v>2</v>
      </c>
      <c r="E8" s="4">
        <f>COUNTIF(Resp4[4.131],B8)</f>
        <v>2</v>
      </c>
      <c r="F8" s="3">
        <f t="shared" si="0"/>
        <v>6.06</v>
      </c>
      <c r="G8" s="3">
        <f t="shared" si="1"/>
        <v>22.222000000000001</v>
      </c>
    </row>
    <row r="9" spans="1:7" x14ac:dyDescent="0.25">
      <c r="B9" s="2" t="s">
        <v>196</v>
      </c>
      <c r="C9" s="4">
        <f>COUNTIFS(Resp4[Vínculo],"tecnico",Resp4[4.131],B9)</f>
        <v>0</v>
      </c>
      <c r="D9" s="4">
        <f>COUNTIFS(Resp4[Vínculo],"docente",Resp4[4.131],B9)</f>
        <v>1</v>
      </c>
      <c r="E9" s="4">
        <f>COUNTIF(Resp4[4.131],B9)</f>
        <v>1</v>
      </c>
      <c r="F9" s="3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COUNTIFS(Resp4[Vínculo],"tecnico",Resp4[4.131],B10)</f>
        <v>1</v>
      </c>
      <c r="D10" s="4">
        <f>COUNTIFS(Resp4[Vínculo],"docente",Resp4[4.131],B10)</f>
        <v>3</v>
      </c>
      <c r="E10" s="4">
        <f>COUNTIF(Resp4[4.131],B10)</f>
        <v>4</v>
      </c>
      <c r="F10" s="3">
        <f t="shared" si="0"/>
        <v>12.12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COUNTIFS(Resp4[Vínculo],"tecnico",Resp4[4.131],B11)</f>
        <v>0</v>
      </c>
      <c r="D11" s="4">
        <f>COUNTIFS(Resp4[Vínculo],"docente",Resp4[4.131],B11)</f>
        <v>0</v>
      </c>
      <c r="E11" s="4">
        <f>COUNTIF(Resp4[4.131],B11)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37.5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37.5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COUNTIFS(Resp4[Vínculo],"tecnico",Resp4[4.132],B7)</f>
        <v>0</v>
      </c>
      <c r="D7" s="4">
        <f>COUNTIFS(Resp4[Vínculo],"docente",Resp4[4.132],B7)</f>
        <v>0</v>
      </c>
      <c r="E7" s="4">
        <f>COUNTIF(Resp4[4.132],B7)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COUNTIFS(Resp4[Vínculo],"tecnico",Resp4[4.132],B8)</f>
        <v>0</v>
      </c>
      <c r="D8" s="4">
        <f>COUNTIFS(Resp4[Vínculo],"docente",Resp4[4.132],B8)</f>
        <v>3</v>
      </c>
      <c r="E8" s="4">
        <f>COUNTIF(Resp4[4.132],B8)</f>
        <v>3</v>
      </c>
      <c r="F8" s="3">
        <f t="shared" si="0"/>
        <v>9.09</v>
      </c>
      <c r="G8" s="3">
        <f t="shared" si="1"/>
        <v>33.332999999999998</v>
      </c>
    </row>
    <row r="9" spans="1:7" x14ac:dyDescent="0.25">
      <c r="B9" s="2" t="s">
        <v>196</v>
      </c>
      <c r="C9" s="4">
        <f>COUNTIFS(Resp4[Vínculo],"tecnico",Resp4[4.132],B9)</f>
        <v>0</v>
      </c>
      <c r="D9" s="4">
        <f>COUNTIFS(Resp4[Vínculo],"docente",Resp4[4.132],B9)</f>
        <v>3</v>
      </c>
      <c r="E9" s="4">
        <f>COUNTIF(Resp4[4.132],B9)</f>
        <v>3</v>
      </c>
      <c r="F9" s="3">
        <f t="shared" si="0"/>
        <v>9.09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COUNTIFS(Resp4[Vínculo],"tecnico",Resp4[4.132],B10)</f>
        <v>1</v>
      </c>
      <c r="D10" s="4">
        <f>COUNTIFS(Resp4[Vínculo],"docente",Resp4[4.132],B10)</f>
        <v>2</v>
      </c>
      <c r="E10" s="4">
        <f>COUNTIF(Resp4[4.132],B10)</f>
        <v>3</v>
      </c>
      <c r="F10" s="3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COUNTIFS(Resp4[Vínculo],"tecnico",Resp4[4.132],B12)</f>
        <v>0</v>
      </c>
      <c r="D12" s="4">
        <f>COUNTIFS(Resp4[Vínculo],"docente",Resp4[4.132],B12)</f>
        <v>0</v>
      </c>
      <c r="E12" s="4">
        <f>COUNTIF(Resp4[4.132],B12)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75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COUNTIFS(Resp4[Vínculo],"tecnico",Resp4[4.133],B7)</f>
        <v>0</v>
      </c>
      <c r="D7" s="4">
        <f>COUNTIFS(Resp4[Vínculo],"docente",Resp4[4.133],B7)</f>
        <v>6</v>
      </c>
      <c r="E7" s="4">
        <f>COUNTIF(Resp4[4.133],B7)</f>
        <v>6</v>
      </c>
      <c r="F7" s="3">
        <f t="shared" ref="F7:F13" si="0">ROUND($E7/E$13*100,2)</f>
        <v>18.18</v>
      </c>
      <c r="G7" s="3">
        <f t="shared" ref="G7:G12" si="1">ROUND($E7/SUM($E$7:$E$12)*100,3)</f>
        <v>66.667000000000002</v>
      </c>
    </row>
    <row r="8" spans="1:7" x14ac:dyDescent="0.25">
      <c r="B8" s="2" t="s">
        <v>200</v>
      </c>
      <c r="C8" s="4">
        <f>COUNTIFS(Resp4[Vínculo],"tecnico",Resp4[4.133],B8)</f>
        <v>0</v>
      </c>
      <c r="D8" s="4">
        <f>COUNTIFS(Resp4[Vínculo],"docente",Resp4[4.133],B8)</f>
        <v>1</v>
      </c>
      <c r="E8" s="4">
        <f>COUNTIF(Resp4[4.133],B8)</f>
        <v>1</v>
      </c>
      <c r="F8" s="3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COUNTIFS(Resp4[Vínculo],"tecnico",Resp4[4.133],B9)</f>
        <v>0</v>
      </c>
      <c r="D9" s="4">
        <f>COUNTIFS(Resp4[Vínculo],"docente",Resp4[4.133],B9)</f>
        <v>1</v>
      </c>
      <c r="E9" s="4">
        <f>COUNTIF(Resp4[4.133],B9)</f>
        <v>1</v>
      </c>
      <c r="F9" s="3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COUNTIFS(Resp4[Vínculo],"tecnico",Resp4[4.133],B10)</f>
        <v>1</v>
      </c>
      <c r="D10" s="4">
        <f>COUNTIFS(Resp4[Vínculo],"docente",Resp4[4.133],B10)</f>
        <v>0</v>
      </c>
      <c r="E10" s="4">
        <f>COUNTIF(Resp4[4.133],B10)</f>
        <v>1</v>
      </c>
      <c r="F10" s="3">
        <f t="shared" si="0"/>
        <v>3.03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COUNTIFS(Resp4[Vínculo],"tecnico",Resp4[4.133],B12)</f>
        <v>0</v>
      </c>
      <c r="D12" s="4">
        <f>COUNTIFS(Resp4[Vínculo],"docente",Resp4[4.133],B12)</f>
        <v>0</v>
      </c>
      <c r="E12" s="4">
        <f>COUNTIF(Resp4[4.133],B12)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25</v>
      </c>
    </row>
    <row r="26" spans="2:7" x14ac:dyDescent="0.25">
      <c r="B26" s="16" t="s">
        <v>197</v>
      </c>
      <c r="C26" s="16" t="s">
        <v>23</v>
      </c>
      <c r="D26" s="14">
        <f>D7</f>
        <v>6</v>
      </c>
      <c r="E26" s="15">
        <f>ROUND(D26/SUM(D$25:D$28)*100,3)</f>
        <v>75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COUNTIFS(Resp4[Vínculo],"tecnico",Resp4[4.134],B7)</f>
        <v>0</v>
      </c>
      <c r="D7" s="4">
        <f>COUNTIFS(Resp4[Vínculo],"docente",Resp4[4.134],B7)</f>
        <v>1</v>
      </c>
      <c r="E7" s="4">
        <f>COUNTIF(Resp4[4.134],B7)</f>
        <v>1</v>
      </c>
      <c r="F7" s="3">
        <f t="shared" ref="F7:F12" si="0">ROUND($E7/E$13*100,2)</f>
        <v>3.03</v>
      </c>
      <c r="G7" s="3">
        <f t="shared" ref="G7:G12" si="1">ROUND($E7/SUM($E$7:$E$12)*100,3)</f>
        <v>11.111000000000001</v>
      </c>
    </row>
    <row r="8" spans="1:7" x14ac:dyDescent="0.25">
      <c r="B8" s="2" t="s">
        <v>200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COUNTIFS(Resp4[Vínculo],"tecnico",Resp4[4.134],B9)</f>
        <v>0</v>
      </c>
      <c r="D9" s="4">
        <f>COUNTIFS(Resp4[Vínculo],"docente",Resp4[4.134],B9)</f>
        <v>3</v>
      </c>
      <c r="E9" s="4">
        <f>COUNTIF(Resp4[4.134],B9)</f>
        <v>3</v>
      </c>
      <c r="F9" s="3">
        <f t="shared" si="0"/>
        <v>9.09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COUNTIFS(Resp4[Vínculo],"tecnico",Resp4[4.134],B10)</f>
        <v>1</v>
      </c>
      <c r="D10" s="4">
        <f>COUNTIFS(Resp4[Vínculo],"docente",Resp4[4.134],B10)</f>
        <v>3</v>
      </c>
      <c r="E10" s="4">
        <f>COUNTIF(Resp4[4.134],B10)</f>
        <v>4</v>
      </c>
      <c r="F10" s="3">
        <f t="shared" si="0"/>
        <v>12.12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COUNTIFS(Resp4[Vínculo],"tecnico",Resp4[4.134],B11)</f>
        <v>0</v>
      </c>
      <c r="D11" s="4">
        <f>COUNTIFS(Resp4[Vínculo],"docente",Resp4[4.134],B11)</f>
        <v>1</v>
      </c>
      <c r="E11" s="4">
        <f>COUNTIF(Resp4[4.134],B11)</f>
        <v>1</v>
      </c>
      <c r="F11" s="3">
        <f t="shared" si="0"/>
        <v>3.03</v>
      </c>
      <c r="G11" s="3">
        <f t="shared" si="1"/>
        <v>11.111000000000001</v>
      </c>
    </row>
    <row r="12" spans="1:7" x14ac:dyDescent="0.25">
      <c r="B12" s="7" t="s">
        <v>198</v>
      </c>
      <c r="C12" s="4">
        <f>COUNTIFS(Resp4[Vínculo],"tecnico",Resp4[4.134],B12)</f>
        <v>0</v>
      </c>
      <c r="D12" s="4">
        <f>COUNTIFS(Resp4[Vínculo],"docente",Resp4[4.134],B12)</f>
        <v>0</v>
      </c>
      <c r="E12" s="4">
        <f>COUNTIF(Resp4[4.134],B12)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>ROUND($E13/E$13*100,2)</f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37.5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37.5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12.5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COUNTIFS(Resp4[Vínculo],"tecnico",Resp4[4.07],B7)</f>
        <v>0</v>
      </c>
      <c r="D7" s="4">
        <f>COUNTIFS(Resp4[Vínculo],"docente",Resp4[4.07],B7)</f>
        <v>2</v>
      </c>
      <c r="E7" s="4">
        <f>COUNTIF(Resp4[4.07],B7)</f>
        <v>2</v>
      </c>
      <c r="F7" s="4">
        <f t="shared" ref="F7:F13" si="0">ROUND($E7/E$13*100,2)</f>
        <v>6.06</v>
      </c>
      <c r="G7" s="3">
        <f t="shared" ref="G7:G12" si="1">ROUND($E7/SUM($E$7:$E$12)*100,3)</f>
        <v>10.526</v>
      </c>
    </row>
    <row r="8" spans="1:7" x14ac:dyDescent="0.25">
      <c r="B8" s="2" t="s">
        <v>200</v>
      </c>
      <c r="C8" s="4">
        <f>COUNTIFS(Resp4[Vínculo],"tecnico",Resp4[4.07],B8)</f>
        <v>0</v>
      </c>
      <c r="D8" s="4">
        <f>COUNTIFS(Resp4[Vínculo],"docente",Resp4[4.07],B8)</f>
        <v>1</v>
      </c>
      <c r="E8" s="4">
        <f>COUNTIF(Resp4[4.07],B8)</f>
        <v>1</v>
      </c>
      <c r="F8" s="4">
        <f t="shared" si="0"/>
        <v>3.03</v>
      </c>
      <c r="G8" s="3">
        <f t="shared" si="1"/>
        <v>5.2629999999999999</v>
      </c>
    </row>
    <row r="9" spans="1:7" x14ac:dyDescent="0.25">
      <c r="B9" s="2" t="s">
        <v>196</v>
      </c>
      <c r="C9" s="4">
        <f>COUNTIFS(Resp4[Vínculo],"tecnico",Resp4[4.07],B9)</f>
        <v>0</v>
      </c>
      <c r="D9" s="4">
        <f>COUNTIFS(Resp4[Vínculo],"docente",Resp4[4.07],B9)</f>
        <v>5</v>
      </c>
      <c r="E9" s="4">
        <f>COUNTIF(Resp4[4.07],B9)</f>
        <v>5</v>
      </c>
      <c r="F9" s="4">
        <f t="shared" si="0"/>
        <v>15.15</v>
      </c>
      <c r="G9" s="3">
        <f t="shared" si="1"/>
        <v>26.315999999999999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3</v>
      </c>
      <c r="E10" s="4">
        <f>COUNTIF(Resp4[4.07],B10)</f>
        <v>3</v>
      </c>
      <c r="F10" s="4">
        <f t="shared" si="0"/>
        <v>9.09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COUNTIFS(Resp4[Vínculo],"tecnico",Resp4[4.07],B11)</f>
        <v>1</v>
      </c>
      <c r="D11" s="4">
        <f>COUNTIFS(Resp4[Vínculo],"docente",Resp4[4.07],B11)</f>
        <v>3</v>
      </c>
      <c r="E11" s="4">
        <f>COUNTIF(Resp4[4.07],B11)</f>
        <v>4</v>
      </c>
      <c r="F11" s="4">
        <f t="shared" si="0"/>
        <v>12.12</v>
      </c>
      <c r="G11" s="3">
        <f t="shared" si="1"/>
        <v>21.053000000000001</v>
      </c>
    </row>
    <row r="12" spans="1:7" x14ac:dyDescent="0.25">
      <c r="B12" s="7" t="s">
        <v>198</v>
      </c>
      <c r="C12" s="4">
        <f>COUNTIFS(Resp4[Vínculo],"tecnico",Resp4[4.07],B12)</f>
        <v>2</v>
      </c>
      <c r="D12" s="4">
        <f>COUNTIFS(Resp4[Vínculo],"docente",Resp4[4.07],B12)</f>
        <v>2</v>
      </c>
      <c r="E12" s="4">
        <f>COUNTIF(Resp4[4.07],B12)</f>
        <v>4</v>
      </c>
      <c r="F12" s="22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37.5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31.25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COUNTIFS(Resp4[Vínculo],"tecnico",Resp4[4.135],B8)</f>
        <v>0</v>
      </c>
      <c r="D8" s="4">
        <f>COUNTIFS(Resp4[Vínculo],"docente",Resp4[4.135],B8)</f>
        <v>3</v>
      </c>
      <c r="E8" s="4">
        <f>COUNTIF(Resp4[4.135],B8)</f>
        <v>3</v>
      </c>
      <c r="F8" s="3">
        <f t="shared" si="0"/>
        <v>9.09</v>
      </c>
      <c r="G8" s="3">
        <f t="shared" si="1"/>
        <v>33.332999999999998</v>
      </c>
    </row>
    <row r="9" spans="1:7" x14ac:dyDescent="0.25">
      <c r="B9" s="2" t="s">
        <v>196</v>
      </c>
      <c r="C9" s="4">
        <f>COUNTIFS(Resp4[Vínculo],"tecnico",Resp4[4.135],B9)</f>
        <v>0</v>
      </c>
      <c r="D9" s="4">
        <f>COUNTIFS(Resp4[Vínculo],"docente",Resp4[4.135],B9)</f>
        <v>2</v>
      </c>
      <c r="E9" s="4">
        <f>COUNTIF(Resp4[4.135],B9)</f>
        <v>2</v>
      </c>
      <c r="F9" s="3">
        <f t="shared" si="0"/>
        <v>6.06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COUNTIFS(Resp4[Vínculo],"tecnico",Resp4[4.135],B10)</f>
        <v>1</v>
      </c>
      <c r="D10" s="4">
        <f>COUNTIFS(Resp4[Vínculo],"docente",Resp4[4.135],B10)</f>
        <v>2</v>
      </c>
      <c r="E10" s="4">
        <f>COUNTIF(Resp4[4.135],B10)</f>
        <v>3</v>
      </c>
      <c r="F10" s="3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COUNTIFS(Resp4[Vínculo],"tecnico",Resp4[4.135],B11)</f>
        <v>0</v>
      </c>
      <c r="D11" s="4">
        <f>COUNTIFS(Resp4[Vínculo],"docente",Resp4[4.135],B11)</f>
        <v>1</v>
      </c>
      <c r="E11" s="4">
        <f>COUNTIF(Resp4[4.135],B11)</f>
        <v>1</v>
      </c>
      <c r="F11" s="3">
        <f t="shared" si="0"/>
        <v>3.03</v>
      </c>
      <c r="G11" s="3">
        <f t="shared" si="1"/>
        <v>11.111000000000001</v>
      </c>
    </row>
    <row r="12" spans="1:7" x14ac:dyDescent="0.25">
      <c r="B12" s="7" t="s">
        <v>198</v>
      </c>
      <c r="C12" s="4">
        <f>COUNTIFS(Resp4[Vínculo],"tecnico",Resp4[4.135],B12)</f>
        <v>0</v>
      </c>
      <c r="D12" s="4">
        <f>COUNTIFS(Resp4[Vínculo],"docente",Resp4[4.135],B12)</f>
        <v>0</v>
      </c>
      <c r="E12" s="4">
        <f>COUNTIF(Resp4[4.135],B12)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62.5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12.5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12</v>
      </c>
      <c r="E6" s="4">
        <f>E13-SUM(E7:E12)</f>
        <v>24</v>
      </c>
      <c r="F6" s="3">
        <f>ROUND($E6/E$13*100,2)</f>
        <v>72.73</v>
      </c>
    </row>
    <row r="7" spans="1:7" x14ac:dyDescent="0.25">
      <c r="B7" s="2" t="s">
        <v>197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COUNTIFS(Resp4[Vínculo],"tecnico",Resp4[4.136],B8)</f>
        <v>0</v>
      </c>
      <c r="D8" s="4">
        <f>COUNTIFS(Resp4[Vínculo],"docente",Resp4[4.136],B8)</f>
        <v>1</v>
      </c>
      <c r="E8" s="4">
        <f>COUNTIF(Resp4[4.136],B8)</f>
        <v>1</v>
      </c>
      <c r="F8" s="3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COUNTIFS(Resp4[Vínculo],"tecnico",Resp4[4.136],B9)</f>
        <v>0</v>
      </c>
      <c r="D9" s="4">
        <f>COUNTIFS(Resp4[Vínculo],"docente",Resp4[4.136],B9)</f>
        <v>3</v>
      </c>
      <c r="E9" s="4">
        <f>COUNTIF(Resp4[4.136],B9)</f>
        <v>3</v>
      </c>
      <c r="F9" s="3">
        <f t="shared" si="0"/>
        <v>9.09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COUNTIFS(Resp4[Vínculo],"tecnico",Resp4[4.136],B10)</f>
        <v>1</v>
      </c>
      <c r="D10" s="4">
        <f>COUNTIFS(Resp4[Vínculo],"docente",Resp4[4.136],B10)</f>
        <v>4</v>
      </c>
      <c r="E10" s="4">
        <f>COUNTIF(Resp4[4.136],B10)</f>
        <v>5</v>
      </c>
      <c r="F10" s="3">
        <f t="shared" si="0"/>
        <v>15.15</v>
      </c>
      <c r="G10" s="3">
        <f t="shared" si="1"/>
        <v>55.555999999999997</v>
      </c>
    </row>
    <row r="11" spans="1:7" x14ac:dyDescent="0.25">
      <c r="B11" s="2" t="s">
        <v>195</v>
      </c>
      <c r="C11" s="4">
        <f>COUNTIFS(Resp4[Vínculo],"tecnico",Resp4[4.136],B11)</f>
        <v>0</v>
      </c>
      <c r="D11" s="4">
        <f>COUNTIFS(Resp4[Vínculo],"docente",Resp4[4.136],B11)</f>
        <v>0</v>
      </c>
      <c r="E11" s="4">
        <f>COUNTIF(Resp4[4.136],B11)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COUNTIFS(Resp4[Vínculo],"tecnico",Resp4[4.136],B12)</f>
        <v>0</v>
      </c>
      <c r="D12" s="4">
        <f>COUNTIFS(Resp4[Vínculo],"docente",Resp4[4.136],B12)</f>
        <v>0</v>
      </c>
      <c r="E12" s="4">
        <f>COUNTIF(Resp4[4.136],B12)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50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COUNTIFS(Resp4[Vínculo],"tecnico",Resp4[4.08],B7)</f>
        <v>0</v>
      </c>
      <c r="D7" s="4">
        <f>COUNTIFS(Resp4[Vínculo],"docente",Resp4[4.08],B7)</f>
        <v>3</v>
      </c>
      <c r="E7" s="4">
        <f>COUNTIF(Resp4[4.08],B7)</f>
        <v>3</v>
      </c>
      <c r="F7" s="4">
        <f t="shared" ref="F7:F13" si="0">ROUND($E7/E$13*100,2)</f>
        <v>9.09</v>
      </c>
      <c r="G7" s="3">
        <f t="shared" ref="G7:G12" si="1">ROUND($E7/SUM($E$7:$E$12)*100,3)</f>
        <v>15.789</v>
      </c>
    </row>
    <row r="8" spans="1:7" x14ac:dyDescent="0.25">
      <c r="B8" s="2" t="s">
        <v>200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COUNTIFS(Resp4[Vínculo],"tecnico",Resp4[4.08],B9)</f>
        <v>0</v>
      </c>
      <c r="D9" s="4">
        <f>COUNTIFS(Resp4[Vínculo],"docente",Resp4[4.08],B9)</f>
        <v>1</v>
      </c>
      <c r="E9" s="4">
        <f>COUNTIF(Resp4[4.08],B9)</f>
        <v>1</v>
      </c>
      <c r="F9" s="4">
        <f t="shared" si="0"/>
        <v>3.03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5</v>
      </c>
      <c r="E10" s="4">
        <f>COUNTIF(Resp4[4.08],B10)</f>
        <v>5</v>
      </c>
      <c r="F10" s="4">
        <f t="shared" si="0"/>
        <v>15.15</v>
      </c>
      <c r="G10" s="3">
        <f t="shared" si="1"/>
        <v>26.315999999999999</v>
      </c>
    </row>
    <row r="11" spans="1:7" x14ac:dyDescent="0.25">
      <c r="B11" s="2" t="s">
        <v>195</v>
      </c>
      <c r="C11" s="4">
        <f>COUNTIFS(Resp4[Vínculo],"tecnico",Resp4[4.08],B11)</f>
        <v>0</v>
      </c>
      <c r="D11" s="4">
        <f>COUNTIFS(Resp4[Vínculo],"docente",Resp4[4.08],B11)</f>
        <v>7</v>
      </c>
      <c r="E11" s="4">
        <f>COUNTIF(Resp4[4.08],B11)</f>
        <v>7</v>
      </c>
      <c r="F11" s="4">
        <f t="shared" si="0"/>
        <v>21.21</v>
      </c>
      <c r="G11" s="3">
        <f t="shared" si="1"/>
        <v>36.841999999999999</v>
      </c>
    </row>
    <row r="12" spans="1:7" x14ac:dyDescent="0.25">
      <c r="B12" s="7" t="s">
        <v>198</v>
      </c>
      <c r="C12" s="4">
        <f>COUNTIFS(Resp4[Vínculo],"tecnico",Resp4[4.08],B12)</f>
        <v>3</v>
      </c>
      <c r="D12" s="4">
        <f>COUNTIFS(Resp4[Vínculo],"docente",Resp4[4.08],B12)</f>
        <v>0</v>
      </c>
      <c r="E12" s="4">
        <f>COUNTIF(Resp4[4.08],B12)</f>
        <v>3</v>
      </c>
      <c r="F12" s="22">
        <f t="shared" si="0"/>
        <v>9.09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18.75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31.25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COUNTIFS(Resp4[Vínculo],"tecnico",Resp4[4.09],B7)</f>
        <v>0</v>
      </c>
      <c r="D7" s="4">
        <f>COUNTIFS(Resp4[Vínculo],"docente",Resp4[4.09],B7)</f>
        <v>3</v>
      </c>
      <c r="E7" s="4">
        <f>COUNTIF(Resp4[4.09],B7)</f>
        <v>3</v>
      </c>
      <c r="F7" s="4">
        <f t="shared" ref="F7:F13" si="0">ROUND($E7/E$13*100,2)</f>
        <v>9.09</v>
      </c>
      <c r="G7" s="3">
        <f t="shared" ref="G7:G12" si="1">ROUND($E7/SUM($E$7:$E$12)*100,3)</f>
        <v>15.789</v>
      </c>
    </row>
    <row r="8" spans="1:7" x14ac:dyDescent="0.25">
      <c r="B8" s="2" t="s">
        <v>200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COUNTIFS(Resp4[Vínculo],"tecnico",Resp4[4.09],B9)</f>
        <v>0</v>
      </c>
      <c r="D9" s="4">
        <f>COUNTIFS(Resp4[Vínculo],"docente",Resp4[4.09],B9)</f>
        <v>4</v>
      </c>
      <c r="E9" s="4">
        <f>COUNTIF(Resp4[4.09],B9)</f>
        <v>4</v>
      </c>
      <c r="F9" s="4">
        <f t="shared" si="0"/>
        <v>12.12</v>
      </c>
      <c r="G9" s="3">
        <f t="shared" si="1"/>
        <v>21.053000000000001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4</v>
      </c>
      <c r="E10" s="4">
        <f>COUNTIF(Resp4[4.09],B10)</f>
        <v>4</v>
      </c>
      <c r="F10" s="4">
        <f t="shared" si="0"/>
        <v>12.12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COUNTIFS(Resp4[Vínculo],"tecnico",Resp4[4.09],B11)</f>
        <v>0</v>
      </c>
      <c r="D11" s="4">
        <f>COUNTIFS(Resp4[Vínculo],"docente",Resp4[4.09],B11)</f>
        <v>3</v>
      </c>
      <c r="E11" s="4">
        <f>COUNTIF(Resp4[4.09],B11)</f>
        <v>3</v>
      </c>
      <c r="F11" s="4">
        <f t="shared" si="0"/>
        <v>9.09</v>
      </c>
      <c r="G11" s="3">
        <f t="shared" si="1"/>
        <v>15.789</v>
      </c>
    </row>
    <row r="12" spans="1:7" x14ac:dyDescent="0.25">
      <c r="B12" s="7" t="s">
        <v>198</v>
      </c>
      <c r="C12" s="4">
        <f>COUNTIFS(Resp4[Vínculo],"tecnico",Resp4[4.09],B12)</f>
        <v>3</v>
      </c>
      <c r="D12" s="4">
        <f>COUNTIFS(Resp4[Vínculo],"docente",Resp4[4.09],B12)</f>
        <v>2</v>
      </c>
      <c r="E12" s="22">
        <f>COUNTIF(Resp4[4.09],B12)</f>
        <v>5</v>
      </c>
      <c r="F12" s="22">
        <f t="shared" si="0"/>
        <v>15.15</v>
      </c>
      <c r="G12" s="3">
        <f t="shared" si="1"/>
        <v>26.315999999999999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2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18.75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31.25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COUNTIFS(Resp4[Vínculo],"tecnico",Resp4[4.10],B7)</f>
        <v>0</v>
      </c>
      <c r="D7" s="4">
        <f>COUNTIFS(Resp4[Vínculo],"docente",Resp4[4.10],B7)</f>
        <v>1</v>
      </c>
      <c r="E7" s="4">
        <f>COUNTIF(Resp4[4.10],B7)</f>
        <v>1</v>
      </c>
      <c r="F7" s="4">
        <f t="shared" ref="F7:F13" si="0">ROUND($E7/E$13*100,2)</f>
        <v>3.03</v>
      </c>
      <c r="G7" s="3">
        <f t="shared" ref="G7:G12" si="1">ROUND($E7/SUM($E$7:$E$12)*100,3)</f>
        <v>5.2629999999999999</v>
      </c>
    </row>
    <row r="8" spans="1:7" x14ac:dyDescent="0.25">
      <c r="B8" s="2" t="s">
        <v>200</v>
      </c>
      <c r="C8" s="4">
        <f>COUNTIFS(Resp4[Vínculo],"tecnico",Resp4[4.10],B8)</f>
        <v>0</v>
      </c>
      <c r="D8" s="4">
        <f>COUNTIFS(Resp4[Vínculo],"docente",Resp4[4.10],B8)</f>
        <v>1</v>
      </c>
      <c r="E8" s="4">
        <f>COUNTIF(Resp4[4.10],B8)</f>
        <v>1</v>
      </c>
      <c r="F8" s="4">
        <f t="shared" si="0"/>
        <v>3.03</v>
      </c>
      <c r="G8" s="3">
        <f t="shared" si="1"/>
        <v>5.2629999999999999</v>
      </c>
    </row>
    <row r="9" spans="1:7" x14ac:dyDescent="0.25">
      <c r="B9" s="2" t="s">
        <v>196</v>
      </c>
      <c r="C9" s="4">
        <f>COUNTIFS(Resp4[Vínculo],"tecnico",Resp4[4.10],B9)</f>
        <v>0</v>
      </c>
      <c r="D9" s="4">
        <f>COUNTIFS(Resp4[Vínculo],"docente",Resp4[4.10],B9)</f>
        <v>3</v>
      </c>
      <c r="E9" s="4">
        <f>COUNTIF(Resp4[4.10],B9)</f>
        <v>3</v>
      </c>
      <c r="F9" s="4">
        <f t="shared" si="0"/>
        <v>9.09</v>
      </c>
      <c r="G9" s="3">
        <f t="shared" si="1"/>
        <v>15.789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4</v>
      </c>
      <c r="E10" s="4">
        <f>COUNTIF(Resp4[4.10],B10)</f>
        <v>4</v>
      </c>
      <c r="F10" s="4">
        <f t="shared" si="0"/>
        <v>12.12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COUNTIFS(Resp4[Vínculo],"tecnico",Resp4[4.10],B11)</f>
        <v>0</v>
      </c>
      <c r="D11" s="4">
        <f>COUNTIFS(Resp4[Vínculo],"docente",Resp4[4.10],B11)</f>
        <v>6</v>
      </c>
      <c r="E11" s="4">
        <f>COUNTIF(Resp4[4.10],B11)</f>
        <v>6</v>
      </c>
      <c r="F11" s="4">
        <f t="shared" si="0"/>
        <v>18.18</v>
      </c>
      <c r="G11" s="3">
        <f t="shared" si="1"/>
        <v>31.579000000000001</v>
      </c>
    </row>
    <row r="12" spans="1:7" x14ac:dyDescent="0.25">
      <c r="B12" s="7" t="s">
        <v>198</v>
      </c>
      <c r="C12" s="4">
        <f>COUNTIFS(Resp4[Vínculo],"tecnico",Resp4[4.10],B12)</f>
        <v>3</v>
      </c>
      <c r="D12" s="4">
        <f>COUNTIFS(Resp4[Vínculo],"docente",Resp4[4.10],B12)</f>
        <v>1</v>
      </c>
      <c r="E12" s="4">
        <f>COUNTIF(Resp4[4.10],B12)</f>
        <v>4</v>
      </c>
      <c r="F12" s="22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25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COUNTIFS(Resp4[Vínculo],"tecnico",Resp4[4.11],B7)</f>
        <v>0</v>
      </c>
      <c r="D7" s="4">
        <f>COUNTIFS(Resp4[Vínculo],"docente",Resp4[4.11],B7)</f>
        <v>1</v>
      </c>
      <c r="E7" s="4">
        <f>COUNTIF(Resp4[4.11],B7)</f>
        <v>1</v>
      </c>
      <c r="F7" s="4">
        <f t="shared" ref="F7:F13" si="0">ROUND($E7/E$13*100,2)</f>
        <v>3.03</v>
      </c>
      <c r="G7" s="3">
        <f t="shared" ref="G7:G12" si="1">ROUND($E7/SUM($E$7:$E$12)*100,3)</f>
        <v>5.2629999999999999</v>
      </c>
    </row>
    <row r="8" spans="1:7" x14ac:dyDescent="0.25">
      <c r="B8" s="2" t="s">
        <v>200</v>
      </c>
      <c r="C8" s="4">
        <f>COUNTIFS(Resp4[Vínculo],"tecnico",Resp4[4.11],B8)</f>
        <v>0</v>
      </c>
      <c r="D8" s="4">
        <f>COUNTIFS(Resp4[Vínculo],"docente",Resp4[4.11],B8)</f>
        <v>3</v>
      </c>
      <c r="E8" s="4">
        <f>COUNTIF(Resp4[4.11],B8)</f>
        <v>3</v>
      </c>
      <c r="F8" s="4">
        <f t="shared" si="0"/>
        <v>9.09</v>
      </c>
      <c r="G8" s="3">
        <f t="shared" si="1"/>
        <v>15.789</v>
      </c>
    </row>
    <row r="9" spans="1:7" x14ac:dyDescent="0.25">
      <c r="B9" s="2" t="s">
        <v>196</v>
      </c>
      <c r="C9" s="4">
        <f>COUNTIFS(Resp4[Vínculo],"tecnico",Resp4[4.11],B9)</f>
        <v>0</v>
      </c>
      <c r="D9" s="4">
        <f>COUNTIFS(Resp4[Vínculo],"docente",Resp4[4.11],B9)</f>
        <v>5</v>
      </c>
      <c r="E9" s="4">
        <f>COUNTIF(Resp4[4.11],B9)</f>
        <v>5</v>
      </c>
      <c r="F9" s="4">
        <f t="shared" si="0"/>
        <v>15.15</v>
      </c>
      <c r="G9" s="3">
        <f t="shared" si="1"/>
        <v>26.315999999999999</v>
      </c>
    </row>
    <row r="10" spans="1:7" x14ac:dyDescent="0.25">
      <c r="B10" s="2" t="s">
        <v>30</v>
      </c>
      <c r="C10" s="4">
        <f>COUNTIFS(Resp4[Vínculo],"tecnico",Resp4[4.11],B10)</f>
        <v>1</v>
      </c>
      <c r="D10" s="4">
        <f>COUNTIFS(Resp4[Vínculo],"docente",Resp4[4.11],B10)</f>
        <v>4</v>
      </c>
      <c r="E10" s="4">
        <f>COUNTIF(Resp4[4.11],B10)</f>
        <v>5</v>
      </c>
      <c r="F10" s="4">
        <f t="shared" si="0"/>
        <v>15.15</v>
      </c>
      <c r="G10" s="3">
        <f t="shared" si="1"/>
        <v>26.315999999999999</v>
      </c>
    </row>
    <row r="11" spans="1:7" x14ac:dyDescent="0.25">
      <c r="B11" s="2" t="s">
        <v>195</v>
      </c>
      <c r="C11" s="4">
        <f>COUNTIFS(Resp4[Vínculo],"tecnico",Resp4[4.11],B11)</f>
        <v>0</v>
      </c>
      <c r="D11" s="4">
        <f>COUNTIFS(Resp4[Vínculo],"docente",Resp4[4.11],B11)</f>
        <v>2</v>
      </c>
      <c r="E11" s="4">
        <f>COUNTIF(Resp4[4.11],B11)</f>
        <v>2</v>
      </c>
      <c r="F11" s="4">
        <f t="shared" si="0"/>
        <v>6.06</v>
      </c>
      <c r="G11" s="3">
        <f t="shared" si="1"/>
        <v>10.526</v>
      </c>
    </row>
    <row r="12" spans="1:7" x14ac:dyDescent="0.25">
      <c r="B12" s="7" t="s">
        <v>198</v>
      </c>
      <c r="C12" s="4">
        <f>COUNTIFS(Resp4[Vínculo],"tecnico",Resp4[4.11],B12)</f>
        <v>2</v>
      </c>
      <c r="D12" s="4">
        <f>COUNTIFS(Resp4[Vínculo],"docente",Resp4[4.11],B12)</f>
        <v>1</v>
      </c>
      <c r="E12" s="4">
        <f>COUNTIF(Resp4[4.11],B12)</f>
        <v>3</v>
      </c>
      <c r="F12" s="22">
        <f t="shared" si="0"/>
        <v>9.09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18.75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COUNTIFS(Resp4[Vínculo],"tecnico",Resp4[4.12],B7)</f>
        <v>0</v>
      </c>
      <c r="D7" s="4">
        <f>COUNTIFS(Resp4[Vínculo],"docente",Resp4[4.12],B7)</f>
        <v>1</v>
      </c>
      <c r="E7" s="4">
        <f>COUNTIF(Resp4[4.12],B7)</f>
        <v>1</v>
      </c>
      <c r="F7" s="4">
        <f t="shared" ref="F7:F13" si="0">ROUND($E7/E$13*100,2)</f>
        <v>3.03</v>
      </c>
      <c r="G7" s="3">
        <f t="shared" ref="G7:G12" si="1">ROUND($E7/SUM($E$7:$E$12)*100,3)</f>
        <v>5.2629999999999999</v>
      </c>
    </row>
    <row r="8" spans="1:7" x14ac:dyDescent="0.25">
      <c r="B8" s="2" t="s">
        <v>200</v>
      </c>
      <c r="C8" s="4">
        <f>COUNTIFS(Resp4[Vínculo],"tecnico",Resp4[4.12],B8)</f>
        <v>0</v>
      </c>
      <c r="D8" s="4">
        <f>COUNTIFS(Resp4[Vínculo],"docente",Resp4[4.12],B8)</f>
        <v>3</v>
      </c>
      <c r="E8" s="4">
        <f>COUNTIF(Resp4[4.12],B8)</f>
        <v>3</v>
      </c>
      <c r="F8" s="4">
        <f t="shared" si="0"/>
        <v>9.09</v>
      </c>
      <c r="G8" s="3">
        <f t="shared" si="1"/>
        <v>15.789</v>
      </c>
    </row>
    <row r="9" spans="1:7" x14ac:dyDescent="0.25">
      <c r="B9" s="2" t="s">
        <v>196</v>
      </c>
      <c r="C9" s="4">
        <f>COUNTIFS(Resp4[Vínculo],"tecnico",Resp4[4.12],B9)</f>
        <v>0</v>
      </c>
      <c r="D9" s="4">
        <f>COUNTIFS(Resp4[Vínculo],"docente",Resp4[4.12],B9)</f>
        <v>4</v>
      </c>
      <c r="E9" s="4">
        <f>COUNTIF(Resp4[4.12],B9)</f>
        <v>4</v>
      </c>
      <c r="F9" s="4">
        <f t="shared" si="0"/>
        <v>12.12</v>
      </c>
      <c r="G9" s="3">
        <f t="shared" si="1"/>
        <v>21.053000000000001</v>
      </c>
    </row>
    <row r="10" spans="1:7" x14ac:dyDescent="0.25">
      <c r="B10" s="2" t="s">
        <v>30</v>
      </c>
      <c r="C10" s="4">
        <f>COUNTIFS(Resp4[Vínculo],"tecnico",Resp4[4.12],B10)</f>
        <v>1</v>
      </c>
      <c r="D10" s="4">
        <f>COUNTIFS(Resp4[Vínculo],"docente",Resp4[4.12],B10)</f>
        <v>5</v>
      </c>
      <c r="E10" s="4">
        <f>COUNTIF(Resp4[4.12],B10)</f>
        <v>6</v>
      </c>
      <c r="F10" s="4">
        <f t="shared" si="0"/>
        <v>18.18</v>
      </c>
      <c r="G10" s="3">
        <f t="shared" si="1"/>
        <v>31.579000000000001</v>
      </c>
    </row>
    <row r="11" spans="1:7" x14ac:dyDescent="0.25">
      <c r="B11" s="2" t="s">
        <v>195</v>
      </c>
      <c r="C11" s="4">
        <f>COUNTIFS(Resp4[Vínculo],"tecnico",Resp4[4.12],B11)</f>
        <v>0</v>
      </c>
      <c r="D11" s="4">
        <f>COUNTIFS(Resp4[Vínculo],"docente",Resp4[4.12],B11)</f>
        <v>2</v>
      </c>
      <c r="E11" s="4">
        <f>COUNTIF(Resp4[4.12],B11)</f>
        <v>2</v>
      </c>
      <c r="F11" s="4">
        <f t="shared" si="0"/>
        <v>6.06</v>
      </c>
      <c r="G11" s="3">
        <f t="shared" si="1"/>
        <v>10.526</v>
      </c>
    </row>
    <row r="12" spans="1:7" x14ac:dyDescent="0.25">
      <c r="B12" s="7" t="s">
        <v>198</v>
      </c>
      <c r="C12" s="4">
        <f>COUNTIFS(Resp4[Vínculo],"tecnico",Resp4[4.12],B12)</f>
        <v>2</v>
      </c>
      <c r="D12" s="4">
        <f>COUNTIFS(Resp4[Vínculo],"docente",Resp4[4.12],B12)</f>
        <v>1</v>
      </c>
      <c r="E12" s="4">
        <f>COUNTIF(Resp4[4.12],B12)</f>
        <v>3</v>
      </c>
      <c r="F12" s="22">
        <f t="shared" si="0"/>
        <v>9.09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4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43.75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31.25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18.75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COUNTIFS(Resp4[Vínculo],"tecnico",Resp4[4.13],B7)</f>
        <v>0</v>
      </c>
      <c r="D7" s="4">
        <f>COUNTIFS(Resp4[Vínculo],"docente",Resp4[4.13],B7)</f>
        <v>2</v>
      </c>
      <c r="E7" s="4">
        <f>COUNTIF(Resp4[4.13],B7)</f>
        <v>2</v>
      </c>
      <c r="F7" s="4">
        <f t="shared" ref="F7:F13" si="0">ROUND($E7/E$13*100,2)</f>
        <v>6.06</v>
      </c>
      <c r="G7" s="3">
        <f t="shared" ref="G7:G12" si="1">ROUND($E7/SUM($E$7:$E$12)*100,3)</f>
        <v>10.526</v>
      </c>
    </row>
    <row r="8" spans="1:7" x14ac:dyDescent="0.25">
      <c r="B8" s="2" t="s">
        <v>200</v>
      </c>
      <c r="C8" s="4">
        <f>COUNTIFS(Resp4[Vínculo],"tecnico",Resp4[4.13],B8)</f>
        <v>0</v>
      </c>
      <c r="D8" s="4">
        <f>COUNTIFS(Resp4[Vínculo],"docente",Resp4[4.13],B8)</f>
        <v>1</v>
      </c>
      <c r="E8" s="4">
        <f>COUNTIF(Resp4[4.13],B8)</f>
        <v>1</v>
      </c>
      <c r="F8" s="4">
        <f t="shared" si="0"/>
        <v>3.03</v>
      </c>
      <c r="G8" s="3">
        <f t="shared" si="1"/>
        <v>5.2629999999999999</v>
      </c>
    </row>
    <row r="9" spans="1:7" x14ac:dyDescent="0.25">
      <c r="B9" s="2" t="s">
        <v>196</v>
      </c>
      <c r="C9" s="4">
        <f>COUNTIFS(Resp4[Vínculo],"tecnico",Resp4[4.13],B9)</f>
        <v>0</v>
      </c>
      <c r="D9" s="4">
        <f>COUNTIFS(Resp4[Vínculo],"docente",Resp4[4.13],B9)</f>
        <v>1</v>
      </c>
      <c r="E9" s="4">
        <f>COUNTIF(Resp4[4.13],B9)</f>
        <v>1</v>
      </c>
      <c r="F9" s="4">
        <f t="shared" si="0"/>
        <v>3.03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2</v>
      </c>
      <c r="E10" s="4">
        <f>COUNTIF(Resp4[4.13],B10)</f>
        <v>2</v>
      </c>
      <c r="F10" s="4">
        <f t="shared" si="0"/>
        <v>6.06</v>
      </c>
      <c r="G10" s="3">
        <f t="shared" si="1"/>
        <v>10.526</v>
      </c>
    </row>
    <row r="11" spans="1:7" x14ac:dyDescent="0.25">
      <c r="B11" s="2" t="s">
        <v>195</v>
      </c>
      <c r="C11" s="4">
        <f>COUNTIFS(Resp4[Vínculo],"tecnico",Resp4[4.13],B11)</f>
        <v>1</v>
      </c>
      <c r="D11" s="4">
        <f>COUNTIFS(Resp4[Vínculo],"docente",Resp4[4.13],B11)</f>
        <v>8</v>
      </c>
      <c r="E11" s="4">
        <f>COUNTIF(Resp4[4.13],B11)</f>
        <v>9</v>
      </c>
      <c r="F11" s="4">
        <f t="shared" si="0"/>
        <v>27.27</v>
      </c>
      <c r="G11" s="3">
        <f t="shared" si="1"/>
        <v>47.368000000000002</v>
      </c>
    </row>
    <row r="12" spans="1:7" x14ac:dyDescent="0.25">
      <c r="B12" s="7" t="s">
        <v>198</v>
      </c>
      <c r="C12" s="4">
        <f>COUNTIFS(Resp4[Vínculo],"tecnico",Resp4[4.13],B12)</f>
        <v>2</v>
      </c>
      <c r="D12" s="4">
        <f>COUNTIFS(Resp4[Vínculo],"docente",Resp4[4.13],B12)</f>
        <v>2</v>
      </c>
      <c r="E12" s="4">
        <f>COUNTIF(Resp4[4.13],B12)</f>
        <v>4</v>
      </c>
      <c r="F12" s="22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87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17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196</v>
      </c>
      <c r="H2" s="99" t="s">
        <v>197</v>
      </c>
      <c r="I2" s="99" t="s">
        <v>197</v>
      </c>
      <c r="J2" s="99" t="s">
        <v>195</v>
      </c>
      <c r="K2" s="99" t="s">
        <v>196</v>
      </c>
      <c r="L2" s="99" t="s">
        <v>30</v>
      </c>
      <c r="M2" s="99" t="s">
        <v>196</v>
      </c>
      <c r="N2" s="99" t="s">
        <v>30</v>
      </c>
      <c r="O2" s="99" t="s">
        <v>195</v>
      </c>
      <c r="P2" s="99" t="s">
        <v>198</v>
      </c>
      <c r="Q2" s="99" t="s">
        <v>195</v>
      </c>
      <c r="R2" s="99" t="s">
        <v>30</v>
      </c>
      <c r="S2" s="99" t="s">
        <v>198</v>
      </c>
      <c r="T2" s="99"/>
      <c r="U2" s="99" t="s">
        <v>194</v>
      </c>
      <c r="V2" s="99" t="s">
        <v>195</v>
      </c>
      <c r="W2" s="99" t="s">
        <v>196</v>
      </c>
      <c r="X2" s="99" t="s">
        <v>30</v>
      </c>
      <c r="Y2" s="99" t="s">
        <v>195</v>
      </c>
      <c r="Z2" s="99" t="s">
        <v>199</v>
      </c>
      <c r="AA2" s="99" t="s">
        <v>200</v>
      </c>
      <c r="AB2" s="99" t="s">
        <v>200</v>
      </c>
      <c r="AC2" s="99" t="s">
        <v>197</v>
      </c>
      <c r="AD2" s="99" t="s">
        <v>197</v>
      </c>
      <c r="AE2" s="99" t="s">
        <v>201</v>
      </c>
      <c r="AF2" s="99" t="s">
        <v>201</v>
      </c>
      <c r="AG2" s="99" t="s">
        <v>201</v>
      </c>
      <c r="AH2" s="99" t="s">
        <v>201</v>
      </c>
      <c r="AI2" s="99" t="s">
        <v>194</v>
      </c>
      <c r="AJ2" s="99" t="s">
        <v>198</v>
      </c>
      <c r="AK2" s="99" t="s">
        <v>197</v>
      </c>
      <c r="AL2" s="99" t="s">
        <v>198</v>
      </c>
      <c r="AM2" s="99"/>
      <c r="AN2" s="99" t="s">
        <v>194</v>
      </c>
      <c r="AO2" s="99" t="s">
        <v>197</v>
      </c>
      <c r="AP2" s="99" t="s">
        <v>30</v>
      </c>
      <c r="AQ2" s="99" t="s">
        <v>196</v>
      </c>
      <c r="AR2" s="99" t="s">
        <v>195</v>
      </c>
      <c r="AS2" s="99" t="s">
        <v>196</v>
      </c>
      <c r="AT2" s="99" t="s">
        <v>196</v>
      </c>
      <c r="AU2" s="99" t="s">
        <v>200</v>
      </c>
      <c r="AV2" s="99" t="s">
        <v>30</v>
      </c>
      <c r="AW2" s="99" t="s">
        <v>200</v>
      </c>
      <c r="AX2" s="99" t="s">
        <v>195</v>
      </c>
      <c r="AY2" s="99"/>
      <c r="AZ2" s="99" t="s">
        <v>202</v>
      </c>
      <c r="BA2" s="99" t="s">
        <v>202</v>
      </c>
      <c r="BB2" s="99" t="s">
        <v>201</v>
      </c>
      <c r="BC2" s="99" t="s">
        <v>201</v>
      </c>
      <c r="BD2" s="99" t="s">
        <v>201</v>
      </c>
      <c r="BE2" s="99" t="s">
        <v>201</v>
      </c>
      <c r="BF2" s="99" t="s">
        <v>201</v>
      </c>
      <c r="BG2" s="99" t="s">
        <v>201</v>
      </c>
      <c r="BH2" s="99" t="s">
        <v>201</v>
      </c>
      <c r="BI2" s="99" t="s">
        <v>201</v>
      </c>
      <c r="BJ2" s="99" t="s">
        <v>201</v>
      </c>
      <c r="BK2" s="99" t="s">
        <v>201</v>
      </c>
      <c r="BL2" s="99" t="s">
        <v>201</v>
      </c>
      <c r="BM2" s="99" t="s">
        <v>201</v>
      </c>
      <c r="BN2" s="99" t="s">
        <v>201</v>
      </c>
      <c r="BO2" s="99" t="s">
        <v>201</v>
      </c>
      <c r="BP2" s="99" t="s">
        <v>201</v>
      </c>
      <c r="BQ2" s="99" t="s">
        <v>201</v>
      </c>
      <c r="BR2" s="99" t="s">
        <v>201</v>
      </c>
      <c r="BS2" s="99" t="s">
        <v>201</v>
      </c>
      <c r="BT2" s="99"/>
      <c r="BU2" s="99" t="s">
        <v>203</v>
      </c>
      <c r="BV2" s="99" t="s">
        <v>201</v>
      </c>
      <c r="BW2" s="99" t="s">
        <v>201</v>
      </c>
      <c r="BX2" s="99" t="s">
        <v>203</v>
      </c>
      <c r="BY2" s="99" t="s">
        <v>203</v>
      </c>
      <c r="BZ2" s="99" t="s">
        <v>201</v>
      </c>
      <c r="CA2" s="99" t="s">
        <v>201</v>
      </c>
      <c r="CB2" s="99"/>
      <c r="CC2" s="99" t="s">
        <v>204</v>
      </c>
      <c r="CD2" s="99"/>
      <c r="CE2" s="99" t="s">
        <v>194</v>
      </c>
      <c r="CF2" s="99"/>
      <c r="CG2" s="99"/>
      <c r="CH2" s="99"/>
      <c r="CI2" s="99" t="s">
        <v>202</v>
      </c>
      <c r="CJ2" s="99" t="s">
        <v>201</v>
      </c>
      <c r="CK2" s="99" t="s">
        <v>201</v>
      </c>
      <c r="CL2" s="99" t="s">
        <v>201</v>
      </c>
      <c r="CM2" s="99" t="s">
        <v>201</v>
      </c>
      <c r="CN2" s="99" t="s">
        <v>201</v>
      </c>
      <c r="CO2" s="99" t="s">
        <v>201</v>
      </c>
      <c r="CP2" s="99" t="s">
        <v>201</v>
      </c>
      <c r="CQ2" s="99" t="s">
        <v>201</v>
      </c>
      <c r="CR2" s="99" t="s">
        <v>201</v>
      </c>
      <c r="CS2" s="99" t="s">
        <v>201</v>
      </c>
      <c r="CT2" s="99" t="s">
        <v>201</v>
      </c>
      <c r="CU2" s="99" t="s">
        <v>201</v>
      </c>
      <c r="CV2" s="99" t="s">
        <v>201</v>
      </c>
      <c r="CW2" s="99" t="s">
        <v>201</v>
      </c>
      <c r="CX2" s="99" t="s">
        <v>201</v>
      </c>
      <c r="CY2" s="99" t="s">
        <v>201</v>
      </c>
      <c r="CZ2" s="99" t="s">
        <v>201</v>
      </c>
      <c r="DA2" s="99" t="s">
        <v>201</v>
      </c>
      <c r="DB2" s="99" t="s">
        <v>201</v>
      </c>
      <c r="DC2" s="99" t="s">
        <v>201</v>
      </c>
      <c r="DD2" s="99" t="s">
        <v>201</v>
      </c>
      <c r="DE2" s="99" t="s">
        <v>201</v>
      </c>
      <c r="DF2" s="99" t="s">
        <v>201</v>
      </c>
      <c r="DG2" s="99" t="s">
        <v>201</v>
      </c>
      <c r="DH2" s="99" t="s">
        <v>201</v>
      </c>
      <c r="DI2" s="99" t="s">
        <v>201</v>
      </c>
      <c r="DJ2" s="99" t="s">
        <v>201</v>
      </c>
      <c r="DK2" s="99"/>
      <c r="DL2" s="99" t="s">
        <v>202</v>
      </c>
      <c r="DM2" s="99" t="s">
        <v>201</v>
      </c>
      <c r="DN2" s="99" t="s">
        <v>201</v>
      </c>
      <c r="DO2" s="99" t="s">
        <v>201</v>
      </c>
      <c r="DP2" s="99" t="s">
        <v>201</v>
      </c>
      <c r="DQ2" s="99" t="s">
        <v>201</v>
      </c>
      <c r="DR2" s="99" t="s">
        <v>201</v>
      </c>
      <c r="DS2" s="99" t="s">
        <v>201</v>
      </c>
      <c r="DT2" s="99" t="s">
        <v>201</v>
      </c>
      <c r="DU2" s="99" t="s">
        <v>201</v>
      </c>
      <c r="DV2" s="99" t="s">
        <v>201</v>
      </c>
      <c r="DW2" s="99" t="s">
        <v>201</v>
      </c>
      <c r="DX2" s="99" t="s">
        <v>201</v>
      </c>
      <c r="DY2" s="99" t="s">
        <v>201</v>
      </c>
      <c r="DZ2" s="99" t="s">
        <v>201</v>
      </c>
      <c r="EA2" s="99"/>
      <c r="EB2" s="99" t="s">
        <v>202</v>
      </c>
      <c r="EC2" s="99" t="s">
        <v>201</v>
      </c>
      <c r="ED2" s="99" t="s">
        <v>201</v>
      </c>
      <c r="EE2" s="99" t="s">
        <v>201</v>
      </c>
      <c r="EF2" s="99" t="s">
        <v>201</v>
      </c>
      <c r="EG2" s="99" t="s">
        <v>201</v>
      </c>
      <c r="EH2" s="100" t="s">
        <v>201</v>
      </c>
    </row>
    <row r="3" spans="1:138" ht="23.25" customHeight="1" x14ac:dyDescent="0.25">
      <c r="A3" s="101" t="s">
        <v>17</v>
      </c>
      <c r="B3" s="90" t="s">
        <v>193</v>
      </c>
      <c r="C3" s="90" t="s">
        <v>202</v>
      </c>
      <c r="D3" s="90" t="s">
        <v>201</v>
      </c>
      <c r="E3" s="90" t="s">
        <v>201</v>
      </c>
      <c r="F3" s="90" t="s">
        <v>201</v>
      </c>
      <c r="G3" s="90" t="s">
        <v>201</v>
      </c>
      <c r="H3" s="90" t="s">
        <v>201</v>
      </c>
      <c r="I3" s="90" t="s">
        <v>201</v>
      </c>
      <c r="J3" s="90" t="s">
        <v>201</v>
      </c>
      <c r="K3" s="90" t="s">
        <v>201</v>
      </c>
      <c r="L3" s="90" t="s">
        <v>201</v>
      </c>
      <c r="M3" s="90" t="s">
        <v>201</v>
      </c>
      <c r="N3" s="90" t="s">
        <v>201</v>
      </c>
      <c r="O3" s="90" t="s">
        <v>201</v>
      </c>
      <c r="P3" s="90" t="s">
        <v>201</v>
      </c>
      <c r="Q3" s="90" t="s">
        <v>201</v>
      </c>
      <c r="R3" s="90" t="s">
        <v>201</v>
      </c>
      <c r="S3" s="90" t="s">
        <v>201</v>
      </c>
      <c r="T3" s="90"/>
      <c r="U3" s="90" t="s">
        <v>194</v>
      </c>
      <c r="V3" s="90" t="s">
        <v>197</v>
      </c>
      <c r="W3" s="90" t="s">
        <v>195</v>
      </c>
      <c r="X3" s="90" t="s">
        <v>195</v>
      </c>
      <c r="Y3" s="90" t="s">
        <v>195</v>
      </c>
      <c r="Z3" s="90" t="s">
        <v>199</v>
      </c>
      <c r="AA3" s="90" t="s">
        <v>30</v>
      </c>
      <c r="AB3" s="90" t="s">
        <v>30</v>
      </c>
      <c r="AC3" s="90" t="s">
        <v>30</v>
      </c>
      <c r="AD3" s="90" t="s">
        <v>30</v>
      </c>
      <c r="AE3" s="90" t="s">
        <v>201</v>
      </c>
      <c r="AF3" s="90" t="s">
        <v>201</v>
      </c>
      <c r="AG3" s="90" t="s">
        <v>201</v>
      </c>
      <c r="AH3" s="90" t="s">
        <v>201</v>
      </c>
      <c r="AI3" s="90" t="s">
        <v>194</v>
      </c>
      <c r="AJ3" s="90" t="s">
        <v>30</v>
      </c>
      <c r="AK3" s="90" t="s">
        <v>30</v>
      </c>
      <c r="AL3" s="90" t="s">
        <v>30</v>
      </c>
      <c r="AM3" s="90"/>
      <c r="AN3" s="90" t="s">
        <v>194</v>
      </c>
      <c r="AO3" s="90" t="s">
        <v>195</v>
      </c>
      <c r="AP3" s="90" t="s">
        <v>30</v>
      </c>
      <c r="AQ3" s="90" t="s">
        <v>30</v>
      </c>
      <c r="AR3" s="90" t="s">
        <v>30</v>
      </c>
      <c r="AS3" s="90" t="s">
        <v>196</v>
      </c>
      <c r="AT3" s="90" t="s">
        <v>195</v>
      </c>
      <c r="AU3" s="90" t="s">
        <v>195</v>
      </c>
      <c r="AV3" s="90" t="s">
        <v>198</v>
      </c>
      <c r="AW3" s="90" t="s">
        <v>198</v>
      </c>
      <c r="AX3" s="90" t="s">
        <v>198</v>
      </c>
      <c r="AY3" s="90"/>
      <c r="AZ3" s="90" t="s">
        <v>202</v>
      </c>
      <c r="BA3" s="90" t="s">
        <v>202</v>
      </c>
      <c r="BB3" s="90" t="s">
        <v>201</v>
      </c>
      <c r="BC3" s="90" t="s">
        <v>201</v>
      </c>
      <c r="BD3" s="90" t="s">
        <v>201</v>
      </c>
      <c r="BE3" s="90" t="s">
        <v>201</v>
      </c>
      <c r="BF3" s="90" t="s">
        <v>201</v>
      </c>
      <c r="BG3" s="90" t="s">
        <v>201</v>
      </c>
      <c r="BH3" s="90" t="s">
        <v>201</v>
      </c>
      <c r="BI3" s="90" t="s">
        <v>201</v>
      </c>
      <c r="BJ3" s="90" t="s">
        <v>201</v>
      </c>
      <c r="BK3" s="90" t="s">
        <v>201</v>
      </c>
      <c r="BL3" s="90" t="s">
        <v>201</v>
      </c>
      <c r="BM3" s="90" t="s">
        <v>201</v>
      </c>
      <c r="BN3" s="90" t="s">
        <v>201</v>
      </c>
      <c r="BO3" s="90" t="s">
        <v>201</v>
      </c>
      <c r="BP3" s="90" t="s">
        <v>201</v>
      </c>
      <c r="BQ3" s="90" t="s">
        <v>201</v>
      </c>
      <c r="BR3" s="90" t="s">
        <v>201</v>
      </c>
      <c r="BS3" s="90" t="s">
        <v>201</v>
      </c>
      <c r="BT3" s="90"/>
      <c r="BU3" s="90" t="s">
        <v>203</v>
      </c>
      <c r="BV3" s="90" t="s">
        <v>203</v>
      </c>
      <c r="BW3" s="90" t="s">
        <v>203</v>
      </c>
      <c r="BX3" s="90" t="s">
        <v>203</v>
      </c>
      <c r="BY3" s="90" t="s">
        <v>203</v>
      </c>
      <c r="BZ3" s="90" t="s">
        <v>203</v>
      </c>
      <c r="CA3" s="90" t="s">
        <v>203</v>
      </c>
      <c r="CB3" s="90"/>
      <c r="CC3" s="90" t="s">
        <v>204</v>
      </c>
      <c r="CD3" s="90"/>
      <c r="CE3" s="90" t="s">
        <v>194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30</v>
      </c>
      <c r="CO3" s="90" t="s">
        <v>30</v>
      </c>
      <c r="CP3" s="90" t="s">
        <v>198</v>
      </c>
      <c r="CQ3" s="90" t="s">
        <v>30</v>
      </c>
      <c r="CR3" s="90" t="s">
        <v>200</v>
      </c>
      <c r="CS3" s="90" t="s">
        <v>198</v>
      </c>
      <c r="CT3" s="90" t="s">
        <v>198</v>
      </c>
      <c r="CU3" s="90" t="s">
        <v>198</v>
      </c>
      <c r="CV3" s="90" t="s">
        <v>198</v>
      </c>
      <c r="CW3" s="90" t="s">
        <v>198</v>
      </c>
      <c r="CX3" s="90" t="s">
        <v>195</v>
      </c>
      <c r="CY3" s="90" t="s">
        <v>198</v>
      </c>
      <c r="CZ3" s="90" t="s">
        <v>198</v>
      </c>
      <c r="DA3" s="90" t="s">
        <v>198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30</v>
      </c>
      <c r="DH3" s="90" t="s">
        <v>30</v>
      </c>
      <c r="DI3" s="90" t="s">
        <v>30</v>
      </c>
      <c r="DJ3" s="90" t="s">
        <v>30</v>
      </c>
      <c r="DK3" s="90"/>
      <c r="DL3" s="90" t="s">
        <v>202</v>
      </c>
      <c r="DM3" s="90" t="s">
        <v>201</v>
      </c>
      <c r="DN3" s="90" t="s">
        <v>201</v>
      </c>
      <c r="DO3" s="90" t="s">
        <v>201</v>
      </c>
      <c r="DP3" s="90" t="s">
        <v>201</v>
      </c>
      <c r="DQ3" s="90" t="s">
        <v>201</v>
      </c>
      <c r="DR3" s="90" t="s">
        <v>201</v>
      </c>
      <c r="DS3" s="90" t="s">
        <v>201</v>
      </c>
      <c r="DT3" s="90" t="s">
        <v>201</v>
      </c>
      <c r="DU3" s="90" t="s">
        <v>201</v>
      </c>
      <c r="DV3" s="90" t="s">
        <v>201</v>
      </c>
      <c r="DW3" s="90" t="s">
        <v>201</v>
      </c>
      <c r="DX3" s="90" t="s">
        <v>201</v>
      </c>
      <c r="DY3" s="90" t="s">
        <v>201</v>
      </c>
      <c r="DZ3" s="90" t="s">
        <v>201</v>
      </c>
      <c r="EA3" s="90"/>
      <c r="EB3" s="90" t="s">
        <v>194</v>
      </c>
      <c r="EC3" s="90" t="s">
        <v>200</v>
      </c>
      <c r="ED3" s="90" t="s">
        <v>200</v>
      </c>
      <c r="EE3" s="90" t="s">
        <v>200</v>
      </c>
      <c r="EF3" s="90" t="s">
        <v>196</v>
      </c>
      <c r="EG3" s="90" t="s">
        <v>200</v>
      </c>
      <c r="EH3" s="102" t="s">
        <v>200</v>
      </c>
    </row>
    <row r="4" spans="1:138" ht="23.25" customHeight="1" x14ac:dyDescent="0.25">
      <c r="A4" s="98" t="s">
        <v>17</v>
      </c>
      <c r="B4" s="99" t="s">
        <v>193</v>
      </c>
      <c r="C4" s="99" t="s">
        <v>194</v>
      </c>
      <c r="D4" s="99" t="s">
        <v>30</v>
      </c>
      <c r="E4" s="99" t="s">
        <v>196</v>
      </c>
      <c r="F4" s="99" t="s">
        <v>200</v>
      </c>
      <c r="G4" s="99" t="s">
        <v>200</v>
      </c>
      <c r="H4" s="99" t="s">
        <v>196</v>
      </c>
      <c r="I4" s="99" t="s">
        <v>200</v>
      </c>
      <c r="J4" s="99" t="s">
        <v>196</v>
      </c>
      <c r="K4" s="99" t="s">
        <v>196</v>
      </c>
      <c r="L4" s="99" t="s">
        <v>200</v>
      </c>
      <c r="M4" s="99" t="s">
        <v>200</v>
      </c>
      <c r="N4" s="99" t="s">
        <v>200</v>
      </c>
      <c r="O4" s="99" t="s">
        <v>200</v>
      </c>
      <c r="P4" s="99" t="s">
        <v>195</v>
      </c>
      <c r="Q4" s="99" t="s">
        <v>200</v>
      </c>
      <c r="R4" s="99" t="s">
        <v>30</v>
      </c>
      <c r="S4" s="99" t="s">
        <v>196</v>
      </c>
      <c r="T4" s="99"/>
      <c r="U4" s="99" t="s">
        <v>194</v>
      </c>
      <c r="V4" s="99" t="s">
        <v>30</v>
      </c>
      <c r="W4" s="99" t="s">
        <v>196</v>
      </c>
      <c r="X4" s="99" t="s">
        <v>200</v>
      </c>
      <c r="Y4" s="99" t="s">
        <v>30</v>
      </c>
      <c r="Z4" s="99" t="s">
        <v>199</v>
      </c>
      <c r="AA4" s="99" t="s">
        <v>200</v>
      </c>
      <c r="AB4" s="99" t="s">
        <v>196</v>
      </c>
      <c r="AC4" s="99" t="s">
        <v>196</v>
      </c>
      <c r="AD4" s="99" t="s">
        <v>196</v>
      </c>
      <c r="AE4" s="99" t="s">
        <v>201</v>
      </c>
      <c r="AF4" s="99" t="s">
        <v>201</v>
      </c>
      <c r="AG4" s="99" t="s">
        <v>201</v>
      </c>
      <c r="AH4" s="99" t="s">
        <v>201</v>
      </c>
      <c r="AI4" s="99" t="s">
        <v>194</v>
      </c>
      <c r="AJ4" s="99" t="s">
        <v>30</v>
      </c>
      <c r="AK4" s="99" t="s">
        <v>30</v>
      </c>
      <c r="AL4" s="99" t="s">
        <v>196</v>
      </c>
      <c r="AM4" s="99"/>
      <c r="AN4" s="99" t="s">
        <v>194</v>
      </c>
      <c r="AO4" s="99" t="s">
        <v>196</v>
      </c>
      <c r="AP4" s="99" t="s">
        <v>196</v>
      </c>
      <c r="AQ4" s="99" t="s">
        <v>196</v>
      </c>
      <c r="AR4" s="99" t="s">
        <v>196</v>
      </c>
      <c r="AS4" s="99" t="s">
        <v>200</v>
      </c>
      <c r="AT4" s="99" t="s">
        <v>30</v>
      </c>
      <c r="AU4" s="99" t="s">
        <v>200</v>
      </c>
      <c r="AV4" s="99" t="s">
        <v>30</v>
      </c>
      <c r="AW4" s="99" t="s">
        <v>195</v>
      </c>
      <c r="AX4" s="99" t="s">
        <v>200</v>
      </c>
      <c r="AY4" s="99"/>
      <c r="AZ4" s="99" t="s">
        <v>202</v>
      </c>
      <c r="BA4" s="99" t="s">
        <v>202</v>
      </c>
      <c r="BB4" s="99" t="s">
        <v>201</v>
      </c>
      <c r="BC4" s="99" t="s">
        <v>201</v>
      </c>
      <c r="BD4" s="99" t="s">
        <v>201</v>
      </c>
      <c r="BE4" s="99" t="s">
        <v>201</v>
      </c>
      <c r="BF4" s="99" t="s">
        <v>201</v>
      </c>
      <c r="BG4" s="99" t="s">
        <v>201</v>
      </c>
      <c r="BH4" s="99" t="s">
        <v>201</v>
      </c>
      <c r="BI4" s="99" t="s">
        <v>201</v>
      </c>
      <c r="BJ4" s="99" t="s">
        <v>201</v>
      </c>
      <c r="BK4" s="99" t="s">
        <v>201</v>
      </c>
      <c r="BL4" s="99" t="s">
        <v>201</v>
      </c>
      <c r="BM4" s="99" t="s">
        <v>201</v>
      </c>
      <c r="BN4" s="99" t="s">
        <v>201</v>
      </c>
      <c r="BO4" s="99" t="s">
        <v>201</v>
      </c>
      <c r="BP4" s="99" t="s">
        <v>201</v>
      </c>
      <c r="BQ4" s="99" t="s">
        <v>201</v>
      </c>
      <c r="BR4" s="99" t="s">
        <v>201</v>
      </c>
      <c r="BS4" s="99" t="s">
        <v>201</v>
      </c>
      <c r="BT4" s="99"/>
      <c r="BU4" s="99" t="s">
        <v>195</v>
      </c>
      <c r="BV4" s="99" t="s">
        <v>30</v>
      </c>
      <c r="BW4" s="99" t="s">
        <v>195</v>
      </c>
      <c r="BX4" s="99" t="s">
        <v>30</v>
      </c>
      <c r="BY4" s="99" t="s">
        <v>30</v>
      </c>
      <c r="BZ4" s="99" t="s">
        <v>30</v>
      </c>
      <c r="CA4" s="99" t="s">
        <v>195</v>
      </c>
      <c r="CB4" s="99"/>
      <c r="CC4" s="99" t="s">
        <v>205</v>
      </c>
      <c r="CD4" s="99"/>
      <c r="CE4" s="99" t="s">
        <v>202</v>
      </c>
      <c r="CF4" s="99"/>
      <c r="CG4" s="99"/>
      <c r="CH4" s="99"/>
      <c r="CI4" s="99" t="s">
        <v>194</v>
      </c>
      <c r="CJ4" s="99" t="s">
        <v>195</v>
      </c>
      <c r="CK4" s="99" t="s">
        <v>30</v>
      </c>
      <c r="CL4" s="99" t="s">
        <v>30</v>
      </c>
      <c r="CM4" s="99" t="s">
        <v>30</v>
      </c>
      <c r="CN4" s="99" t="s">
        <v>200</v>
      </c>
      <c r="CO4" s="99" t="s">
        <v>200</v>
      </c>
      <c r="CP4" s="99" t="s">
        <v>195</v>
      </c>
      <c r="CQ4" s="99" t="s">
        <v>30</v>
      </c>
      <c r="CR4" s="99" t="s">
        <v>200</v>
      </c>
      <c r="CS4" s="99" t="s">
        <v>30</v>
      </c>
      <c r="CT4" s="99" t="s">
        <v>198</v>
      </c>
      <c r="CU4" s="99" t="s">
        <v>198</v>
      </c>
      <c r="CV4" s="99" t="s">
        <v>30</v>
      </c>
      <c r="CW4" s="99" t="s">
        <v>195</v>
      </c>
      <c r="CX4" s="99" t="s">
        <v>30</v>
      </c>
      <c r="CY4" s="99" t="s">
        <v>196</v>
      </c>
      <c r="CZ4" s="99" t="s">
        <v>30</v>
      </c>
      <c r="DA4" s="99" t="s">
        <v>30</v>
      </c>
      <c r="DB4" s="99" t="s">
        <v>30</v>
      </c>
      <c r="DC4" s="99" t="s">
        <v>30</v>
      </c>
      <c r="DD4" s="99" t="s">
        <v>30</v>
      </c>
      <c r="DE4" s="99" t="s">
        <v>196</v>
      </c>
      <c r="DF4" s="99" t="s">
        <v>196</v>
      </c>
      <c r="DG4" s="99" t="s">
        <v>30</v>
      </c>
      <c r="DH4" s="99" t="s">
        <v>30</v>
      </c>
      <c r="DI4" s="99" t="s">
        <v>30</v>
      </c>
      <c r="DJ4" s="99" t="s">
        <v>196</v>
      </c>
      <c r="DK4" s="99"/>
      <c r="DL4" s="99" t="s">
        <v>202</v>
      </c>
      <c r="DM4" s="99" t="s">
        <v>201</v>
      </c>
      <c r="DN4" s="99" t="s">
        <v>201</v>
      </c>
      <c r="DO4" s="99" t="s">
        <v>201</v>
      </c>
      <c r="DP4" s="99" t="s">
        <v>201</v>
      </c>
      <c r="DQ4" s="99" t="s">
        <v>201</v>
      </c>
      <c r="DR4" s="99" t="s">
        <v>201</v>
      </c>
      <c r="DS4" s="99" t="s">
        <v>201</v>
      </c>
      <c r="DT4" s="99" t="s">
        <v>201</v>
      </c>
      <c r="DU4" s="99" t="s">
        <v>201</v>
      </c>
      <c r="DV4" s="99" t="s">
        <v>201</v>
      </c>
      <c r="DW4" s="99" t="s">
        <v>201</v>
      </c>
      <c r="DX4" s="99" t="s">
        <v>201</v>
      </c>
      <c r="DY4" s="99" t="s">
        <v>201</v>
      </c>
      <c r="DZ4" s="99" t="s">
        <v>201</v>
      </c>
      <c r="EA4" s="99"/>
      <c r="EB4" s="99" t="s">
        <v>194</v>
      </c>
      <c r="EC4" s="99" t="s">
        <v>200</v>
      </c>
      <c r="ED4" s="99" t="s">
        <v>200</v>
      </c>
      <c r="EE4" s="99" t="s">
        <v>196</v>
      </c>
      <c r="EF4" s="99" t="s">
        <v>196</v>
      </c>
      <c r="EG4" s="99" t="s">
        <v>200</v>
      </c>
      <c r="EH4" s="100" t="s">
        <v>196</v>
      </c>
    </row>
    <row r="5" spans="1:138" ht="23.25" customHeight="1" x14ac:dyDescent="0.25">
      <c r="A5" s="101" t="s">
        <v>16</v>
      </c>
      <c r="B5" s="90" t="s">
        <v>193</v>
      </c>
      <c r="C5" s="90" t="s">
        <v>202</v>
      </c>
      <c r="D5" s="90" t="s">
        <v>201</v>
      </c>
      <c r="E5" s="90" t="s">
        <v>201</v>
      </c>
      <c r="F5" s="90" t="s">
        <v>201</v>
      </c>
      <c r="G5" s="90" t="s">
        <v>201</v>
      </c>
      <c r="H5" s="90" t="s">
        <v>201</v>
      </c>
      <c r="I5" s="90" t="s">
        <v>201</v>
      </c>
      <c r="J5" s="90" t="s">
        <v>201</v>
      </c>
      <c r="K5" s="90" t="s">
        <v>201</v>
      </c>
      <c r="L5" s="90" t="s">
        <v>201</v>
      </c>
      <c r="M5" s="90" t="s">
        <v>201</v>
      </c>
      <c r="N5" s="90" t="s">
        <v>201</v>
      </c>
      <c r="O5" s="90" t="s">
        <v>201</v>
      </c>
      <c r="P5" s="90" t="s">
        <v>201</v>
      </c>
      <c r="Q5" s="90" t="s">
        <v>201</v>
      </c>
      <c r="R5" s="90" t="s">
        <v>201</v>
      </c>
      <c r="S5" s="90" t="s">
        <v>201</v>
      </c>
      <c r="T5" s="90"/>
      <c r="U5" s="90" t="s">
        <v>202</v>
      </c>
      <c r="V5" s="90" t="s">
        <v>201</v>
      </c>
      <c r="W5" s="90" t="s">
        <v>201</v>
      </c>
      <c r="X5" s="90" t="s">
        <v>201</v>
      </c>
      <c r="Y5" s="90" t="s">
        <v>201</v>
      </c>
      <c r="Z5" s="90" t="s">
        <v>199</v>
      </c>
      <c r="AA5" s="90" t="s">
        <v>201</v>
      </c>
      <c r="AB5" s="90" t="s">
        <v>201</v>
      </c>
      <c r="AC5" s="90" t="s">
        <v>201</v>
      </c>
      <c r="AD5" s="90" t="s">
        <v>201</v>
      </c>
      <c r="AE5" s="90" t="s">
        <v>201</v>
      </c>
      <c r="AF5" s="90" t="s">
        <v>201</v>
      </c>
      <c r="AG5" s="90" t="s">
        <v>201</v>
      </c>
      <c r="AH5" s="90" t="s">
        <v>201</v>
      </c>
      <c r="AI5" s="90" t="s">
        <v>202</v>
      </c>
      <c r="AJ5" s="90" t="s">
        <v>201</v>
      </c>
      <c r="AK5" s="90" t="s">
        <v>201</v>
      </c>
      <c r="AL5" s="90" t="s">
        <v>201</v>
      </c>
      <c r="AM5" s="90"/>
      <c r="AN5" s="90" t="s">
        <v>202</v>
      </c>
      <c r="AO5" s="90" t="s">
        <v>201</v>
      </c>
      <c r="AP5" s="90" t="s">
        <v>201</v>
      </c>
      <c r="AQ5" s="90" t="s">
        <v>201</v>
      </c>
      <c r="AR5" s="90" t="s">
        <v>201</v>
      </c>
      <c r="AS5" s="90" t="s">
        <v>201</v>
      </c>
      <c r="AT5" s="90" t="s">
        <v>201</v>
      </c>
      <c r="AU5" s="90" t="s">
        <v>201</v>
      </c>
      <c r="AV5" s="90" t="s">
        <v>201</v>
      </c>
      <c r="AW5" s="90" t="s">
        <v>201</v>
      </c>
      <c r="AX5" s="90" t="s">
        <v>201</v>
      </c>
      <c r="AY5" s="90"/>
      <c r="AZ5" s="90" t="s">
        <v>202</v>
      </c>
      <c r="BA5" s="90" t="s">
        <v>202</v>
      </c>
      <c r="BB5" s="90" t="s">
        <v>201</v>
      </c>
      <c r="BC5" s="90" t="s">
        <v>201</v>
      </c>
      <c r="BD5" s="90" t="s">
        <v>201</v>
      </c>
      <c r="BE5" s="90" t="s">
        <v>201</v>
      </c>
      <c r="BF5" s="90" t="s">
        <v>201</v>
      </c>
      <c r="BG5" s="90" t="s">
        <v>201</v>
      </c>
      <c r="BH5" s="90" t="s">
        <v>201</v>
      </c>
      <c r="BI5" s="90" t="s">
        <v>201</v>
      </c>
      <c r="BJ5" s="90" t="s">
        <v>201</v>
      </c>
      <c r="BK5" s="90" t="s">
        <v>201</v>
      </c>
      <c r="BL5" s="90" t="s">
        <v>201</v>
      </c>
      <c r="BM5" s="90" t="s">
        <v>201</v>
      </c>
      <c r="BN5" s="90" t="s">
        <v>201</v>
      </c>
      <c r="BO5" s="90" t="s">
        <v>201</v>
      </c>
      <c r="BP5" s="90" t="s">
        <v>201</v>
      </c>
      <c r="BQ5" s="90" t="s">
        <v>201</v>
      </c>
      <c r="BR5" s="90" t="s">
        <v>201</v>
      </c>
      <c r="BS5" s="90" t="s">
        <v>201</v>
      </c>
      <c r="BT5" s="90"/>
      <c r="BU5" s="90" t="s">
        <v>198</v>
      </c>
      <c r="BV5" s="90" t="s">
        <v>198</v>
      </c>
      <c r="BW5" s="90" t="s">
        <v>198</v>
      </c>
      <c r="BX5" s="90" t="s">
        <v>198</v>
      </c>
      <c r="BY5" s="90" t="s">
        <v>198</v>
      </c>
      <c r="BZ5" s="90" t="s">
        <v>201</v>
      </c>
      <c r="CA5" s="90" t="s">
        <v>30</v>
      </c>
      <c r="CB5" s="90"/>
      <c r="CC5" s="90" t="s">
        <v>206</v>
      </c>
      <c r="CD5" s="90"/>
      <c r="CE5" s="90" t="s">
        <v>194</v>
      </c>
      <c r="CF5" s="90"/>
      <c r="CG5" s="90"/>
      <c r="CH5" s="90"/>
      <c r="CI5" s="90" t="s">
        <v>202</v>
      </c>
      <c r="CJ5" s="90" t="s">
        <v>201</v>
      </c>
      <c r="CK5" s="90" t="s">
        <v>201</v>
      </c>
      <c r="CL5" s="90" t="s">
        <v>201</v>
      </c>
      <c r="CM5" s="90" t="s">
        <v>201</v>
      </c>
      <c r="CN5" s="90" t="s">
        <v>201</v>
      </c>
      <c r="CO5" s="90" t="s">
        <v>201</v>
      </c>
      <c r="CP5" s="90" t="s">
        <v>201</v>
      </c>
      <c r="CQ5" s="90" t="s">
        <v>201</v>
      </c>
      <c r="CR5" s="90" t="s">
        <v>201</v>
      </c>
      <c r="CS5" s="90" t="s">
        <v>201</v>
      </c>
      <c r="CT5" s="90" t="s">
        <v>201</v>
      </c>
      <c r="CU5" s="90" t="s">
        <v>201</v>
      </c>
      <c r="CV5" s="90" t="s">
        <v>201</v>
      </c>
      <c r="CW5" s="90" t="s">
        <v>201</v>
      </c>
      <c r="CX5" s="90" t="s">
        <v>201</v>
      </c>
      <c r="CY5" s="90" t="s">
        <v>201</v>
      </c>
      <c r="CZ5" s="90" t="s">
        <v>201</v>
      </c>
      <c r="DA5" s="90" t="s">
        <v>201</v>
      </c>
      <c r="DB5" s="90" t="s">
        <v>201</v>
      </c>
      <c r="DC5" s="90" t="s">
        <v>201</v>
      </c>
      <c r="DD5" s="90" t="s">
        <v>201</v>
      </c>
      <c r="DE5" s="90" t="s">
        <v>201</v>
      </c>
      <c r="DF5" s="90" t="s">
        <v>201</v>
      </c>
      <c r="DG5" s="90" t="s">
        <v>201</v>
      </c>
      <c r="DH5" s="90" t="s">
        <v>201</v>
      </c>
      <c r="DI5" s="90" t="s">
        <v>201</v>
      </c>
      <c r="DJ5" s="90" t="s">
        <v>201</v>
      </c>
      <c r="DK5" s="90"/>
      <c r="DL5" s="90" t="s">
        <v>202</v>
      </c>
      <c r="DM5" s="90" t="s">
        <v>201</v>
      </c>
      <c r="DN5" s="90" t="s">
        <v>201</v>
      </c>
      <c r="DO5" s="90" t="s">
        <v>201</v>
      </c>
      <c r="DP5" s="90" t="s">
        <v>201</v>
      </c>
      <c r="DQ5" s="90" t="s">
        <v>201</v>
      </c>
      <c r="DR5" s="90" t="s">
        <v>201</v>
      </c>
      <c r="DS5" s="90" t="s">
        <v>201</v>
      </c>
      <c r="DT5" s="90" t="s">
        <v>201</v>
      </c>
      <c r="DU5" s="90" t="s">
        <v>201</v>
      </c>
      <c r="DV5" s="90" t="s">
        <v>201</v>
      </c>
      <c r="DW5" s="90" t="s">
        <v>201</v>
      </c>
      <c r="DX5" s="90" t="s">
        <v>201</v>
      </c>
      <c r="DY5" s="90" t="s">
        <v>201</v>
      </c>
      <c r="DZ5" s="90" t="s">
        <v>201</v>
      </c>
      <c r="EA5" s="90"/>
      <c r="EB5" s="90" t="s">
        <v>202</v>
      </c>
      <c r="EC5" s="90" t="s">
        <v>201</v>
      </c>
      <c r="ED5" s="90" t="s">
        <v>201</v>
      </c>
      <c r="EE5" s="90" t="s">
        <v>201</v>
      </c>
      <c r="EF5" s="90" t="s">
        <v>201</v>
      </c>
      <c r="EG5" s="90" t="s">
        <v>201</v>
      </c>
      <c r="EH5" s="102" t="s">
        <v>201</v>
      </c>
    </row>
    <row r="6" spans="1:138" ht="23.25" customHeight="1" x14ac:dyDescent="0.25">
      <c r="A6" s="98" t="s">
        <v>16</v>
      </c>
      <c r="B6" s="99" t="s">
        <v>193</v>
      </c>
      <c r="C6" s="99" t="s">
        <v>202</v>
      </c>
      <c r="D6" s="99" t="s">
        <v>201</v>
      </c>
      <c r="E6" s="99" t="s">
        <v>201</v>
      </c>
      <c r="F6" s="99" t="s">
        <v>201</v>
      </c>
      <c r="G6" s="99" t="s">
        <v>201</v>
      </c>
      <c r="H6" s="99" t="s">
        <v>201</v>
      </c>
      <c r="I6" s="99" t="s">
        <v>201</v>
      </c>
      <c r="J6" s="99" t="s">
        <v>201</v>
      </c>
      <c r="K6" s="99" t="s">
        <v>201</v>
      </c>
      <c r="L6" s="99" t="s">
        <v>201</v>
      </c>
      <c r="M6" s="99" t="s">
        <v>201</v>
      </c>
      <c r="N6" s="99" t="s">
        <v>201</v>
      </c>
      <c r="O6" s="99" t="s">
        <v>201</v>
      </c>
      <c r="P6" s="99" t="s">
        <v>201</v>
      </c>
      <c r="Q6" s="99" t="s">
        <v>201</v>
      </c>
      <c r="R6" s="99" t="s">
        <v>201</v>
      </c>
      <c r="S6" s="99" t="s">
        <v>201</v>
      </c>
      <c r="T6" s="99"/>
      <c r="U6" s="99" t="s">
        <v>202</v>
      </c>
      <c r="V6" s="99" t="s">
        <v>201</v>
      </c>
      <c r="W6" s="99" t="s">
        <v>201</v>
      </c>
      <c r="X6" s="99" t="s">
        <v>201</v>
      </c>
      <c r="Y6" s="99" t="s">
        <v>201</v>
      </c>
      <c r="Z6" s="99" t="s">
        <v>199</v>
      </c>
      <c r="AA6" s="99" t="s">
        <v>201</v>
      </c>
      <c r="AB6" s="99" t="s">
        <v>201</v>
      </c>
      <c r="AC6" s="99" t="s">
        <v>201</v>
      </c>
      <c r="AD6" s="99" t="s">
        <v>201</v>
      </c>
      <c r="AE6" s="99" t="s">
        <v>201</v>
      </c>
      <c r="AF6" s="99" t="s">
        <v>201</v>
      </c>
      <c r="AG6" s="99" t="s">
        <v>201</v>
      </c>
      <c r="AH6" s="99" t="s">
        <v>201</v>
      </c>
      <c r="AI6" s="99" t="s">
        <v>202</v>
      </c>
      <c r="AJ6" s="99" t="s">
        <v>201</v>
      </c>
      <c r="AK6" s="99" t="s">
        <v>201</v>
      </c>
      <c r="AL6" s="99" t="s">
        <v>201</v>
      </c>
      <c r="AM6" s="99"/>
      <c r="AN6" s="99" t="s">
        <v>202</v>
      </c>
      <c r="AO6" s="99" t="s">
        <v>201</v>
      </c>
      <c r="AP6" s="99" t="s">
        <v>201</v>
      </c>
      <c r="AQ6" s="99" t="s">
        <v>201</v>
      </c>
      <c r="AR6" s="99" t="s">
        <v>201</v>
      </c>
      <c r="AS6" s="99" t="s">
        <v>201</v>
      </c>
      <c r="AT6" s="99" t="s">
        <v>201</v>
      </c>
      <c r="AU6" s="99" t="s">
        <v>201</v>
      </c>
      <c r="AV6" s="99" t="s">
        <v>201</v>
      </c>
      <c r="AW6" s="99" t="s">
        <v>201</v>
      </c>
      <c r="AX6" s="99" t="s">
        <v>201</v>
      </c>
      <c r="AY6" s="99"/>
      <c r="AZ6" s="99" t="s">
        <v>202</v>
      </c>
      <c r="BA6" s="99" t="s">
        <v>202</v>
      </c>
      <c r="BB6" s="99" t="s">
        <v>201</v>
      </c>
      <c r="BC6" s="99" t="s">
        <v>201</v>
      </c>
      <c r="BD6" s="99" t="s">
        <v>201</v>
      </c>
      <c r="BE6" s="99" t="s">
        <v>201</v>
      </c>
      <c r="BF6" s="99" t="s">
        <v>201</v>
      </c>
      <c r="BG6" s="99" t="s">
        <v>201</v>
      </c>
      <c r="BH6" s="99" t="s">
        <v>201</v>
      </c>
      <c r="BI6" s="99" t="s">
        <v>201</v>
      </c>
      <c r="BJ6" s="99" t="s">
        <v>201</v>
      </c>
      <c r="BK6" s="99" t="s">
        <v>201</v>
      </c>
      <c r="BL6" s="99" t="s">
        <v>201</v>
      </c>
      <c r="BM6" s="99" t="s">
        <v>201</v>
      </c>
      <c r="BN6" s="99" t="s">
        <v>201</v>
      </c>
      <c r="BO6" s="99" t="s">
        <v>201</v>
      </c>
      <c r="BP6" s="99" t="s">
        <v>201</v>
      </c>
      <c r="BQ6" s="99" t="s">
        <v>201</v>
      </c>
      <c r="BR6" s="99" t="s">
        <v>201</v>
      </c>
      <c r="BS6" s="99" t="s">
        <v>201</v>
      </c>
      <c r="BT6" s="99"/>
      <c r="BU6" s="99" t="s">
        <v>195</v>
      </c>
      <c r="BV6" s="99" t="s">
        <v>201</v>
      </c>
      <c r="BW6" s="99" t="s">
        <v>201</v>
      </c>
      <c r="BX6" s="99" t="s">
        <v>201</v>
      </c>
      <c r="BY6" s="99" t="s">
        <v>201</v>
      </c>
      <c r="BZ6" s="99" t="s">
        <v>201</v>
      </c>
      <c r="CA6" s="99" t="s">
        <v>195</v>
      </c>
      <c r="CB6" s="99"/>
      <c r="CC6" s="99" t="s">
        <v>204</v>
      </c>
      <c r="CD6" s="99"/>
      <c r="CE6" s="99" t="s">
        <v>194</v>
      </c>
      <c r="CF6" s="99"/>
      <c r="CG6" s="99"/>
      <c r="CH6" s="99"/>
      <c r="CI6" s="99" t="s">
        <v>202</v>
      </c>
      <c r="CJ6" s="99" t="s">
        <v>201</v>
      </c>
      <c r="CK6" s="99" t="s">
        <v>201</v>
      </c>
      <c r="CL6" s="99" t="s">
        <v>201</v>
      </c>
      <c r="CM6" s="99" t="s">
        <v>201</v>
      </c>
      <c r="CN6" s="99" t="s">
        <v>201</v>
      </c>
      <c r="CO6" s="99" t="s">
        <v>201</v>
      </c>
      <c r="CP6" s="99" t="s">
        <v>201</v>
      </c>
      <c r="CQ6" s="99" t="s">
        <v>201</v>
      </c>
      <c r="CR6" s="99" t="s">
        <v>201</v>
      </c>
      <c r="CS6" s="99" t="s">
        <v>201</v>
      </c>
      <c r="CT6" s="99" t="s">
        <v>201</v>
      </c>
      <c r="CU6" s="99" t="s">
        <v>201</v>
      </c>
      <c r="CV6" s="99" t="s">
        <v>201</v>
      </c>
      <c r="CW6" s="99" t="s">
        <v>201</v>
      </c>
      <c r="CX6" s="99" t="s">
        <v>201</v>
      </c>
      <c r="CY6" s="99" t="s">
        <v>201</v>
      </c>
      <c r="CZ6" s="99" t="s">
        <v>201</v>
      </c>
      <c r="DA6" s="99" t="s">
        <v>201</v>
      </c>
      <c r="DB6" s="99" t="s">
        <v>201</v>
      </c>
      <c r="DC6" s="99" t="s">
        <v>201</v>
      </c>
      <c r="DD6" s="99" t="s">
        <v>201</v>
      </c>
      <c r="DE6" s="99" t="s">
        <v>201</v>
      </c>
      <c r="DF6" s="99" t="s">
        <v>201</v>
      </c>
      <c r="DG6" s="99" t="s">
        <v>201</v>
      </c>
      <c r="DH6" s="99" t="s">
        <v>201</v>
      </c>
      <c r="DI6" s="99" t="s">
        <v>201</v>
      </c>
      <c r="DJ6" s="99" t="s">
        <v>201</v>
      </c>
      <c r="DK6" s="99"/>
      <c r="DL6" s="99" t="s">
        <v>202</v>
      </c>
      <c r="DM6" s="99" t="s">
        <v>201</v>
      </c>
      <c r="DN6" s="99" t="s">
        <v>201</v>
      </c>
      <c r="DO6" s="99" t="s">
        <v>201</v>
      </c>
      <c r="DP6" s="99" t="s">
        <v>201</v>
      </c>
      <c r="DQ6" s="99" t="s">
        <v>201</v>
      </c>
      <c r="DR6" s="99" t="s">
        <v>201</v>
      </c>
      <c r="DS6" s="99" t="s">
        <v>201</v>
      </c>
      <c r="DT6" s="99" t="s">
        <v>201</v>
      </c>
      <c r="DU6" s="99" t="s">
        <v>201</v>
      </c>
      <c r="DV6" s="99" t="s">
        <v>201</v>
      </c>
      <c r="DW6" s="99" t="s">
        <v>201</v>
      </c>
      <c r="DX6" s="99" t="s">
        <v>201</v>
      </c>
      <c r="DY6" s="99" t="s">
        <v>201</v>
      </c>
      <c r="DZ6" s="99" t="s">
        <v>201</v>
      </c>
      <c r="EA6" s="99"/>
      <c r="EB6" s="99" t="s">
        <v>202</v>
      </c>
      <c r="EC6" s="99" t="s">
        <v>201</v>
      </c>
      <c r="ED6" s="99" t="s">
        <v>201</v>
      </c>
      <c r="EE6" s="99" t="s">
        <v>201</v>
      </c>
      <c r="EF6" s="99" t="s">
        <v>201</v>
      </c>
      <c r="EG6" s="99" t="s">
        <v>201</v>
      </c>
      <c r="EH6" s="100" t="s">
        <v>201</v>
      </c>
    </row>
    <row r="7" spans="1:138" ht="23.25" customHeight="1" x14ac:dyDescent="0.25">
      <c r="A7" s="101" t="s">
        <v>17</v>
      </c>
      <c r="B7" s="90" t="s">
        <v>193</v>
      </c>
      <c r="C7" s="90" t="s">
        <v>202</v>
      </c>
      <c r="D7" s="90" t="s">
        <v>201</v>
      </c>
      <c r="E7" s="90" t="s">
        <v>201</v>
      </c>
      <c r="F7" s="90" t="s">
        <v>201</v>
      </c>
      <c r="G7" s="90" t="s">
        <v>201</v>
      </c>
      <c r="H7" s="90" t="s">
        <v>201</v>
      </c>
      <c r="I7" s="90" t="s">
        <v>201</v>
      </c>
      <c r="J7" s="90" t="s">
        <v>201</v>
      </c>
      <c r="K7" s="90" t="s">
        <v>201</v>
      </c>
      <c r="L7" s="90" t="s">
        <v>201</v>
      </c>
      <c r="M7" s="90" t="s">
        <v>201</v>
      </c>
      <c r="N7" s="90" t="s">
        <v>201</v>
      </c>
      <c r="O7" s="90" t="s">
        <v>201</v>
      </c>
      <c r="P7" s="90" t="s">
        <v>201</v>
      </c>
      <c r="Q7" s="90" t="s">
        <v>201</v>
      </c>
      <c r="R7" s="90" t="s">
        <v>201</v>
      </c>
      <c r="S7" s="90" t="s">
        <v>201</v>
      </c>
      <c r="T7" s="90"/>
      <c r="U7" s="90" t="s">
        <v>194</v>
      </c>
      <c r="V7" s="90" t="s">
        <v>196</v>
      </c>
      <c r="W7" s="90" t="s">
        <v>195</v>
      </c>
      <c r="X7" s="90" t="s">
        <v>196</v>
      </c>
      <c r="Y7" s="90" t="s">
        <v>195</v>
      </c>
      <c r="Z7" s="90" t="s">
        <v>199</v>
      </c>
      <c r="AA7" s="90" t="s">
        <v>196</v>
      </c>
      <c r="AB7" s="90" t="s">
        <v>196</v>
      </c>
      <c r="AC7" s="90" t="s">
        <v>196</v>
      </c>
      <c r="AD7" s="90" t="s">
        <v>196</v>
      </c>
      <c r="AE7" s="90" t="s">
        <v>201</v>
      </c>
      <c r="AF7" s="90" t="s">
        <v>201</v>
      </c>
      <c r="AG7" s="90" t="s">
        <v>201</v>
      </c>
      <c r="AH7" s="90" t="s">
        <v>201</v>
      </c>
      <c r="AI7" s="90" t="s">
        <v>194</v>
      </c>
      <c r="AJ7" s="90" t="s">
        <v>195</v>
      </c>
      <c r="AK7" s="90" t="s">
        <v>195</v>
      </c>
      <c r="AL7" s="90" t="s">
        <v>30</v>
      </c>
      <c r="AM7" s="90"/>
      <c r="AN7" s="90" t="s">
        <v>202</v>
      </c>
      <c r="AO7" s="90" t="s">
        <v>201</v>
      </c>
      <c r="AP7" s="90" t="s">
        <v>201</v>
      </c>
      <c r="AQ7" s="90" t="s">
        <v>201</v>
      </c>
      <c r="AR7" s="90" t="s">
        <v>201</v>
      </c>
      <c r="AS7" s="90" t="s">
        <v>201</v>
      </c>
      <c r="AT7" s="90" t="s">
        <v>201</v>
      </c>
      <c r="AU7" s="90" t="s">
        <v>201</v>
      </c>
      <c r="AV7" s="90" t="s">
        <v>201</v>
      </c>
      <c r="AW7" s="90" t="s">
        <v>201</v>
      </c>
      <c r="AX7" s="90" t="s">
        <v>201</v>
      </c>
      <c r="AY7" s="90"/>
      <c r="AZ7" s="90" t="s">
        <v>194</v>
      </c>
      <c r="BA7" s="90" t="s">
        <v>194</v>
      </c>
      <c r="BB7" s="90" t="s">
        <v>195</v>
      </c>
      <c r="BC7" s="90" t="s">
        <v>30</v>
      </c>
      <c r="BD7" s="90" t="s">
        <v>30</v>
      </c>
      <c r="BE7" s="90" t="s">
        <v>30</v>
      </c>
      <c r="BF7" s="90" t="s">
        <v>30</v>
      </c>
      <c r="BG7" s="90" t="s">
        <v>30</v>
      </c>
      <c r="BH7" s="90" t="s">
        <v>30</v>
      </c>
      <c r="BI7" s="90" t="s">
        <v>30</v>
      </c>
      <c r="BJ7" s="90" t="s">
        <v>30</v>
      </c>
      <c r="BK7" s="90" t="s">
        <v>30</v>
      </c>
      <c r="BL7" s="90" t="s">
        <v>195</v>
      </c>
      <c r="BM7" s="90" t="s">
        <v>198</v>
      </c>
      <c r="BN7" s="90" t="s">
        <v>196</v>
      </c>
      <c r="BO7" s="90" t="s">
        <v>200</v>
      </c>
      <c r="BP7" s="90" t="s">
        <v>195</v>
      </c>
      <c r="BQ7" s="90" t="s">
        <v>30</v>
      </c>
      <c r="BR7" s="90" t="s">
        <v>30</v>
      </c>
      <c r="BS7" s="90" t="s">
        <v>30</v>
      </c>
      <c r="BT7" s="90"/>
      <c r="BU7" s="90" t="s">
        <v>30</v>
      </c>
      <c r="BV7" s="90" t="s">
        <v>30</v>
      </c>
      <c r="BW7" s="90" t="s">
        <v>30</v>
      </c>
      <c r="BX7" s="90" t="s">
        <v>30</v>
      </c>
      <c r="BY7" s="90" t="s">
        <v>30</v>
      </c>
      <c r="BZ7" s="90" t="s">
        <v>30</v>
      </c>
      <c r="CA7" s="90" t="s">
        <v>30</v>
      </c>
      <c r="CB7" s="90"/>
      <c r="CC7" s="90" t="s">
        <v>204</v>
      </c>
      <c r="CD7" s="90"/>
      <c r="CE7" s="90" t="s">
        <v>194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30</v>
      </c>
      <c r="CM7" s="90" t="s">
        <v>30</v>
      </c>
      <c r="CN7" s="90" t="s">
        <v>30</v>
      </c>
      <c r="CO7" s="90" t="s">
        <v>30</v>
      </c>
      <c r="CP7" s="90" t="s">
        <v>195</v>
      </c>
      <c r="CQ7" s="90" t="s">
        <v>195</v>
      </c>
      <c r="CR7" s="90" t="s">
        <v>30</v>
      </c>
      <c r="CS7" s="90" t="s">
        <v>196</v>
      </c>
      <c r="CT7" s="90" t="s">
        <v>30</v>
      </c>
      <c r="CU7" s="90" t="s">
        <v>30</v>
      </c>
      <c r="CV7" s="90" t="s">
        <v>30</v>
      </c>
      <c r="CW7" s="90" t="s">
        <v>198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30</v>
      </c>
      <c r="DD7" s="90" t="s">
        <v>30</v>
      </c>
      <c r="DE7" s="90" t="s">
        <v>30</v>
      </c>
      <c r="DF7" s="90" t="s">
        <v>30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30</v>
      </c>
      <c r="DN7" s="90" t="s">
        <v>30</v>
      </c>
      <c r="DO7" s="90" t="s">
        <v>30</v>
      </c>
      <c r="DP7" s="90" t="s">
        <v>30</v>
      </c>
      <c r="DQ7" s="90" t="s">
        <v>195</v>
      </c>
      <c r="DR7" s="90" t="s">
        <v>195</v>
      </c>
      <c r="DS7" s="90" t="s">
        <v>30</v>
      </c>
      <c r="DT7" s="90" t="s">
        <v>195</v>
      </c>
      <c r="DU7" s="90" t="s">
        <v>195</v>
      </c>
      <c r="DV7" s="90" t="s">
        <v>30</v>
      </c>
      <c r="DW7" s="90" t="s">
        <v>195</v>
      </c>
      <c r="DX7" s="90" t="s">
        <v>30</v>
      </c>
      <c r="DY7" s="90" t="s">
        <v>30</v>
      </c>
      <c r="DZ7" s="90" t="s">
        <v>30</v>
      </c>
      <c r="EA7" s="90"/>
      <c r="EB7" s="90" t="s">
        <v>194</v>
      </c>
      <c r="EC7" s="90" t="s">
        <v>30</v>
      </c>
      <c r="ED7" s="90" t="s">
        <v>196</v>
      </c>
      <c r="EE7" s="90" t="s">
        <v>197</v>
      </c>
      <c r="EF7" s="90" t="s">
        <v>197</v>
      </c>
      <c r="EG7" s="90" t="s">
        <v>200</v>
      </c>
      <c r="EH7" s="102" t="s">
        <v>30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30</v>
      </c>
      <c r="G8" s="99" t="s">
        <v>196</v>
      </c>
      <c r="H8" s="99" t="s">
        <v>196</v>
      </c>
      <c r="I8" s="99" t="s">
        <v>196</v>
      </c>
      <c r="J8" s="99" t="s">
        <v>30</v>
      </c>
      <c r="K8" s="99" t="s">
        <v>195</v>
      </c>
      <c r="L8" s="99" t="s">
        <v>30</v>
      </c>
      <c r="M8" s="99" t="s">
        <v>195</v>
      </c>
      <c r="N8" s="99" t="s">
        <v>30</v>
      </c>
      <c r="O8" s="99" t="s">
        <v>195</v>
      </c>
      <c r="P8" s="99" t="s">
        <v>195</v>
      </c>
      <c r="Q8" s="99" t="s">
        <v>198</v>
      </c>
      <c r="R8" s="99" t="s">
        <v>195</v>
      </c>
      <c r="S8" s="99" t="s">
        <v>198</v>
      </c>
      <c r="T8" s="99"/>
      <c r="U8" s="99" t="s">
        <v>194</v>
      </c>
      <c r="V8" s="99" t="s">
        <v>30</v>
      </c>
      <c r="W8" s="99" t="s">
        <v>195</v>
      </c>
      <c r="X8" s="99" t="s">
        <v>30</v>
      </c>
      <c r="Y8" s="99" t="s">
        <v>30</v>
      </c>
      <c r="Z8" s="99" t="s">
        <v>199</v>
      </c>
      <c r="AA8" s="99" t="s">
        <v>200</v>
      </c>
      <c r="AB8" s="99" t="s">
        <v>197</v>
      </c>
      <c r="AC8" s="99" t="s">
        <v>30</v>
      </c>
      <c r="AD8" s="99" t="s">
        <v>30</v>
      </c>
      <c r="AE8" s="99" t="s">
        <v>201</v>
      </c>
      <c r="AF8" s="99" t="s">
        <v>201</v>
      </c>
      <c r="AG8" s="99" t="s">
        <v>201</v>
      </c>
      <c r="AH8" s="99" t="s">
        <v>201</v>
      </c>
      <c r="AI8" s="99" t="s">
        <v>194</v>
      </c>
      <c r="AJ8" s="99" t="s">
        <v>196</v>
      </c>
      <c r="AK8" s="99" t="s">
        <v>200</v>
      </c>
      <c r="AL8" s="99" t="s">
        <v>200</v>
      </c>
      <c r="AM8" s="99"/>
      <c r="AN8" s="99" t="s">
        <v>194</v>
      </c>
      <c r="AO8" s="99" t="s">
        <v>30</v>
      </c>
      <c r="AP8" s="99" t="s">
        <v>30</v>
      </c>
      <c r="AQ8" s="99" t="s">
        <v>30</v>
      </c>
      <c r="AR8" s="99" t="s">
        <v>30</v>
      </c>
      <c r="AS8" s="99" t="s">
        <v>30</v>
      </c>
      <c r="AT8" s="99" t="s">
        <v>195</v>
      </c>
      <c r="AU8" s="99" t="s">
        <v>30</v>
      </c>
      <c r="AV8" s="99" t="s">
        <v>30</v>
      </c>
      <c r="AW8" s="99" t="s">
        <v>30</v>
      </c>
      <c r="AX8" s="99" t="s">
        <v>195</v>
      </c>
      <c r="AY8" s="99"/>
      <c r="AZ8" s="99" t="s">
        <v>194</v>
      </c>
      <c r="BA8" s="99" t="s">
        <v>194</v>
      </c>
      <c r="BB8" s="99" t="s">
        <v>200</v>
      </c>
      <c r="BC8" s="99" t="s">
        <v>30</v>
      </c>
      <c r="BD8" s="99" t="s">
        <v>198</v>
      </c>
      <c r="BE8" s="99" t="s">
        <v>198</v>
      </c>
      <c r="BF8" s="99" t="s">
        <v>195</v>
      </c>
      <c r="BG8" s="99" t="s">
        <v>195</v>
      </c>
      <c r="BH8" s="99" t="s">
        <v>30</v>
      </c>
      <c r="BI8" s="99" t="s">
        <v>30</v>
      </c>
      <c r="BJ8" s="99" t="s">
        <v>30</v>
      </c>
      <c r="BK8" s="99" t="s">
        <v>30</v>
      </c>
      <c r="BL8" s="99" t="s">
        <v>30</v>
      </c>
      <c r="BM8" s="99" t="s">
        <v>195</v>
      </c>
      <c r="BN8" s="99" t="s">
        <v>196</v>
      </c>
      <c r="BO8" s="99" t="s">
        <v>200</v>
      </c>
      <c r="BP8" s="99" t="s">
        <v>195</v>
      </c>
      <c r="BQ8" s="99" t="s">
        <v>196</v>
      </c>
      <c r="BR8" s="99" t="s">
        <v>30</v>
      </c>
      <c r="BS8" s="99" t="s">
        <v>30</v>
      </c>
      <c r="BT8" s="99"/>
      <c r="BU8" s="99" t="s">
        <v>30</v>
      </c>
      <c r="BV8" s="99" t="s">
        <v>200</v>
      </c>
      <c r="BW8" s="99" t="s">
        <v>30</v>
      </c>
      <c r="BX8" s="99" t="s">
        <v>201</v>
      </c>
      <c r="BY8" s="99" t="s">
        <v>201</v>
      </c>
      <c r="BZ8" s="99" t="s">
        <v>201</v>
      </c>
      <c r="CA8" s="99" t="s">
        <v>195</v>
      </c>
      <c r="CB8" s="99"/>
      <c r="CC8" s="99" t="s">
        <v>207</v>
      </c>
      <c r="CD8" s="99"/>
      <c r="CE8" s="99" t="s">
        <v>194</v>
      </c>
      <c r="CF8" s="99"/>
      <c r="CG8" s="99"/>
      <c r="CH8" s="99"/>
      <c r="CI8" s="99" t="s">
        <v>202</v>
      </c>
      <c r="CJ8" s="99" t="s">
        <v>201</v>
      </c>
      <c r="CK8" s="99" t="s">
        <v>201</v>
      </c>
      <c r="CL8" s="99" t="s">
        <v>201</v>
      </c>
      <c r="CM8" s="99" t="s">
        <v>201</v>
      </c>
      <c r="CN8" s="99" t="s">
        <v>201</v>
      </c>
      <c r="CO8" s="99" t="s">
        <v>201</v>
      </c>
      <c r="CP8" s="99" t="s">
        <v>201</v>
      </c>
      <c r="CQ8" s="99" t="s">
        <v>201</v>
      </c>
      <c r="CR8" s="99" t="s">
        <v>201</v>
      </c>
      <c r="CS8" s="99" t="s">
        <v>201</v>
      </c>
      <c r="CT8" s="99" t="s">
        <v>201</v>
      </c>
      <c r="CU8" s="99" t="s">
        <v>201</v>
      </c>
      <c r="CV8" s="99" t="s">
        <v>201</v>
      </c>
      <c r="CW8" s="99" t="s">
        <v>201</v>
      </c>
      <c r="CX8" s="99" t="s">
        <v>201</v>
      </c>
      <c r="CY8" s="99" t="s">
        <v>201</v>
      </c>
      <c r="CZ8" s="99" t="s">
        <v>201</v>
      </c>
      <c r="DA8" s="99" t="s">
        <v>201</v>
      </c>
      <c r="DB8" s="99" t="s">
        <v>201</v>
      </c>
      <c r="DC8" s="99" t="s">
        <v>201</v>
      </c>
      <c r="DD8" s="99" t="s">
        <v>201</v>
      </c>
      <c r="DE8" s="99" t="s">
        <v>201</v>
      </c>
      <c r="DF8" s="99" t="s">
        <v>201</v>
      </c>
      <c r="DG8" s="99" t="s">
        <v>201</v>
      </c>
      <c r="DH8" s="99" t="s">
        <v>201</v>
      </c>
      <c r="DI8" s="99" t="s">
        <v>201</v>
      </c>
      <c r="DJ8" s="99" t="s">
        <v>201</v>
      </c>
      <c r="DK8" s="99"/>
      <c r="DL8" s="99" t="s">
        <v>202</v>
      </c>
      <c r="DM8" s="99" t="s">
        <v>201</v>
      </c>
      <c r="DN8" s="99" t="s">
        <v>201</v>
      </c>
      <c r="DO8" s="99" t="s">
        <v>201</v>
      </c>
      <c r="DP8" s="99" t="s">
        <v>201</v>
      </c>
      <c r="DQ8" s="99" t="s">
        <v>201</v>
      </c>
      <c r="DR8" s="99" t="s">
        <v>201</v>
      </c>
      <c r="DS8" s="99" t="s">
        <v>201</v>
      </c>
      <c r="DT8" s="99" t="s">
        <v>201</v>
      </c>
      <c r="DU8" s="99" t="s">
        <v>201</v>
      </c>
      <c r="DV8" s="99" t="s">
        <v>201</v>
      </c>
      <c r="DW8" s="99" t="s">
        <v>201</v>
      </c>
      <c r="DX8" s="99" t="s">
        <v>201</v>
      </c>
      <c r="DY8" s="99" t="s">
        <v>201</v>
      </c>
      <c r="DZ8" s="99" t="s">
        <v>201</v>
      </c>
      <c r="EA8" s="99"/>
      <c r="EB8" s="99" t="s">
        <v>202</v>
      </c>
      <c r="EC8" s="99" t="s">
        <v>201</v>
      </c>
      <c r="ED8" s="99" t="s">
        <v>201</v>
      </c>
      <c r="EE8" s="99" t="s">
        <v>201</v>
      </c>
      <c r="EF8" s="99" t="s">
        <v>201</v>
      </c>
      <c r="EG8" s="99" t="s">
        <v>201</v>
      </c>
      <c r="EH8" s="100" t="s">
        <v>201</v>
      </c>
    </row>
    <row r="9" spans="1:138" ht="23.25" customHeight="1" x14ac:dyDescent="0.25">
      <c r="A9" s="101" t="s">
        <v>16</v>
      </c>
      <c r="B9" s="90" t="s">
        <v>193</v>
      </c>
      <c r="C9" s="90" t="s">
        <v>202</v>
      </c>
      <c r="D9" s="90" t="s">
        <v>201</v>
      </c>
      <c r="E9" s="90" t="s">
        <v>201</v>
      </c>
      <c r="F9" s="90" t="s">
        <v>201</v>
      </c>
      <c r="G9" s="90" t="s">
        <v>201</v>
      </c>
      <c r="H9" s="90" t="s">
        <v>201</v>
      </c>
      <c r="I9" s="90" t="s">
        <v>201</v>
      </c>
      <c r="J9" s="90" t="s">
        <v>201</v>
      </c>
      <c r="K9" s="90" t="s">
        <v>201</v>
      </c>
      <c r="L9" s="90" t="s">
        <v>201</v>
      </c>
      <c r="M9" s="90" t="s">
        <v>201</v>
      </c>
      <c r="N9" s="90" t="s">
        <v>201</v>
      </c>
      <c r="O9" s="90" t="s">
        <v>201</v>
      </c>
      <c r="P9" s="90" t="s">
        <v>201</v>
      </c>
      <c r="Q9" s="90" t="s">
        <v>201</v>
      </c>
      <c r="R9" s="90" t="s">
        <v>201</v>
      </c>
      <c r="S9" s="90" t="s">
        <v>201</v>
      </c>
      <c r="T9" s="90"/>
      <c r="U9" s="90" t="s">
        <v>202</v>
      </c>
      <c r="V9" s="90" t="s">
        <v>201</v>
      </c>
      <c r="W9" s="90" t="s">
        <v>201</v>
      </c>
      <c r="X9" s="90" t="s">
        <v>201</v>
      </c>
      <c r="Y9" s="90" t="s">
        <v>201</v>
      </c>
      <c r="Z9" s="90" t="s">
        <v>199</v>
      </c>
      <c r="AA9" s="90" t="s">
        <v>201</v>
      </c>
      <c r="AB9" s="90" t="s">
        <v>201</v>
      </c>
      <c r="AC9" s="90" t="s">
        <v>201</v>
      </c>
      <c r="AD9" s="90" t="s">
        <v>201</v>
      </c>
      <c r="AE9" s="90" t="s">
        <v>201</v>
      </c>
      <c r="AF9" s="90" t="s">
        <v>201</v>
      </c>
      <c r="AG9" s="90" t="s">
        <v>201</v>
      </c>
      <c r="AH9" s="90" t="s">
        <v>201</v>
      </c>
      <c r="AI9" s="90" t="s">
        <v>202</v>
      </c>
      <c r="AJ9" s="90" t="s">
        <v>201</v>
      </c>
      <c r="AK9" s="90" t="s">
        <v>201</v>
      </c>
      <c r="AL9" s="90" t="s">
        <v>201</v>
      </c>
      <c r="AM9" s="90"/>
      <c r="AN9" s="90" t="s">
        <v>202</v>
      </c>
      <c r="AO9" s="90" t="s">
        <v>201</v>
      </c>
      <c r="AP9" s="90" t="s">
        <v>201</v>
      </c>
      <c r="AQ9" s="90" t="s">
        <v>201</v>
      </c>
      <c r="AR9" s="90" t="s">
        <v>201</v>
      </c>
      <c r="AS9" s="90" t="s">
        <v>201</v>
      </c>
      <c r="AT9" s="90" t="s">
        <v>201</v>
      </c>
      <c r="AU9" s="90" t="s">
        <v>201</v>
      </c>
      <c r="AV9" s="90" t="s">
        <v>201</v>
      </c>
      <c r="AW9" s="90" t="s">
        <v>201</v>
      </c>
      <c r="AX9" s="90" t="s">
        <v>201</v>
      </c>
      <c r="AY9" s="90"/>
      <c r="AZ9" s="90" t="s">
        <v>202</v>
      </c>
      <c r="BA9" s="90" t="s">
        <v>202</v>
      </c>
      <c r="BB9" s="90" t="s">
        <v>201</v>
      </c>
      <c r="BC9" s="90" t="s">
        <v>201</v>
      </c>
      <c r="BD9" s="90" t="s">
        <v>201</v>
      </c>
      <c r="BE9" s="90" t="s">
        <v>201</v>
      </c>
      <c r="BF9" s="90" t="s">
        <v>201</v>
      </c>
      <c r="BG9" s="90" t="s">
        <v>201</v>
      </c>
      <c r="BH9" s="90" t="s">
        <v>201</v>
      </c>
      <c r="BI9" s="90" t="s">
        <v>201</v>
      </c>
      <c r="BJ9" s="90" t="s">
        <v>201</v>
      </c>
      <c r="BK9" s="90" t="s">
        <v>201</v>
      </c>
      <c r="BL9" s="90" t="s">
        <v>201</v>
      </c>
      <c r="BM9" s="90" t="s">
        <v>201</v>
      </c>
      <c r="BN9" s="90" t="s">
        <v>201</v>
      </c>
      <c r="BO9" s="90" t="s">
        <v>201</v>
      </c>
      <c r="BP9" s="90" t="s">
        <v>201</v>
      </c>
      <c r="BQ9" s="90" t="s">
        <v>201</v>
      </c>
      <c r="BR9" s="90" t="s">
        <v>201</v>
      </c>
      <c r="BS9" s="90" t="s">
        <v>201</v>
      </c>
      <c r="BT9" s="90"/>
      <c r="BU9" s="90" t="s">
        <v>203</v>
      </c>
      <c r="BV9" s="90" t="s">
        <v>203</v>
      </c>
      <c r="BW9" s="90" t="s">
        <v>203</v>
      </c>
      <c r="BX9" s="90" t="s">
        <v>203</v>
      </c>
      <c r="BY9" s="90" t="s">
        <v>203</v>
      </c>
      <c r="BZ9" s="90" t="s">
        <v>203</v>
      </c>
      <c r="CA9" s="90" t="s">
        <v>203</v>
      </c>
      <c r="CB9" s="90"/>
      <c r="CC9" s="90" t="s">
        <v>207</v>
      </c>
      <c r="CD9" s="90"/>
      <c r="CE9" s="90" t="s">
        <v>202</v>
      </c>
      <c r="CF9" s="90"/>
      <c r="CG9" s="90"/>
      <c r="CH9" s="90"/>
      <c r="CI9" s="90" t="s">
        <v>202</v>
      </c>
      <c r="CJ9" s="90" t="s">
        <v>201</v>
      </c>
      <c r="CK9" s="90" t="s">
        <v>201</v>
      </c>
      <c r="CL9" s="90" t="s">
        <v>201</v>
      </c>
      <c r="CM9" s="90" t="s">
        <v>201</v>
      </c>
      <c r="CN9" s="90" t="s">
        <v>201</v>
      </c>
      <c r="CO9" s="90" t="s">
        <v>201</v>
      </c>
      <c r="CP9" s="90" t="s">
        <v>201</v>
      </c>
      <c r="CQ9" s="90" t="s">
        <v>201</v>
      </c>
      <c r="CR9" s="90" t="s">
        <v>201</v>
      </c>
      <c r="CS9" s="90" t="s">
        <v>201</v>
      </c>
      <c r="CT9" s="90" t="s">
        <v>201</v>
      </c>
      <c r="CU9" s="90" t="s">
        <v>201</v>
      </c>
      <c r="CV9" s="90" t="s">
        <v>201</v>
      </c>
      <c r="CW9" s="90" t="s">
        <v>201</v>
      </c>
      <c r="CX9" s="90" t="s">
        <v>201</v>
      </c>
      <c r="CY9" s="90" t="s">
        <v>201</v>
      </c>
      <c r="CZ9" s="90" t="s">
        <v>201</v>
      </c>
      <c r="DA9" s="90" t="s">
        <v>201</v>
      </c>
      <c r="DB9" s="90" t="s">
        <v>201</v>
      </c>
      <c r="DC9" s="90" t="s">
        <v>201</v>
      </c>
      <c r="DD9" s="90" t="s">
        <v>201</v>
      </c>
      <c r="DE9" s="90" t="s">
        <v>201</v>
      </c>
      <c r="DF9" s="90" t="s">
        <v>201</v>
      </c>
      <c r="DG9" s="90" t="s">
        <v>201</v>
      </c>
      <c r="DH9" s="90" t="s">
        <v>201</v>
      </c>
      <c r="DI9" s="90" t="s">
        <v>201</v>
      </c>
      <c r="DJ9" s="90" t="s">
        <v>201</v>
      </c>
      <c r="DK9" s="90"/>
      <c r="DL9" s="90" t="s">
        <v>202</v>
      </c>
      <c r="DM9" s="90" t="s">
        <v>201</v>
      </c>
      <c r="DN9" s="90" t="s">
        <v>201</v>
      </c>
      <c r="DO9" s="90" t="s">
        <v>201</v>
      </c>
      <c r="DP9" s="90" t="s">
        <v>201</v>
      </c>
      <c r="DQ9" s="90" t="s">
        <v>201</v>
      </c>
      <c r="DR9" s="90" t="s">
        <v>201</v>
      </c>
      <c r="DS9" s="90" t="s">
        <v>201</v>
      </c>
      <c r="DT9" s="90" t="s">
        <v>201</v>
      </c>
      <c r="DU9" s="90" t="s">
        <v>201</v>
      </c>
      <c r="DV9" s="90" t="s">
        <v>201</v>
      </c>
      <c r="DW9" s="90" t="s">
        <v>201</v>
      </c>
      <c r="DX9" s="90" t="s">
        <v>201</v>
      </c>
      <c r="DY9" s="90" t="s">
        <v>201</v>
      </c>
      <c r="DZ9" s="90" t="s">
        <v>201</v>
      </c>
      <c r="EA9" s="90"/>
      <c r="EB9" s="90" t="s">
        <v>202</v>
      </c>
      <c r="EC9" s="90" t="s">
        <v>201</v>
      </c>
      <c r="ED9" s="90" t="s">
        <v>201</v>
      </c>
      <c r="EE9" s="90" t="s">
        <v>201</v>
      </c>
      <c r="EF9" s="90" t="s">
        <v>201</v>
      </c>
      <c r="EG9" s="90" t="s">
        <v>201</v>
      </c>
      <c r="EH9" s="102" t="s">
        <v>201</v>
      </c>
    </row>
    <row r="10" spans="1:138" ht="23.25" customHeight="1" x14ac:dyDescent="0.25">
      <c r="A10" s="98" t="s">
        <v>16</v>
      </c>
      <c r="B10" s="99" t="s">
        <v>193</v>
      </c>
      <c r="C10" s="99" t="s">
        <v>202</v>
      </c>
      <c r="D10" s="99" t="s">
        <v>201</v>
      </c>
      <c r="E10" s="99" t="s">
        <v>201</v>
      </c>
      <c r="F10" s="99" t="s">
        <v>201</v>
      </c>
      <c r="G10" s="99" t="s">
        <v>201</v>
      </c>
      <c r="H10" s="99" t="s">
        <v>201</v>
      </c>
      <c r="I10" s="99" t="s">
        <v>201</v>
      </c>
      <c r="J10" s="99" t="s">
        <v>201</v>
      </c>
      <c r="K10" s="99" t="s">
        <v>201</v>
      </c>
      <c r="L10" s="99" t="s">
        <v>201</v>
      </c>
      <c r="M10" s="99" t="s">
        <v>201</v>
      </c>
      <c r="N10" s="99" t="s">
        <v>201</v>
      </c>
      <c r="O10" s="99" t="s">
        <v>201</v>
      </c>
      <c r="P10" s="99" t="s">
        <v>201</v>
      </c>
      <c r="Q10" s="99" t="s">
        <v>201</v>
      </c>
      <c r="R10" s="99" t="s">
        <v>201</v>
      </c>
      <c r="S10" s="99" t="s">
        <v>201</v>
      </c>
      <c r="T10" s="99"/>
      <c r="U10" s="99" t="s">
        <v>202</v>
      </c>
      <c r="V10" s="99" t="s">
        <v>201</v>
      </c>
      <c r="W10" s="99" t="s">
        <v>201</v>
      </c>
      <c r="X10" s="99" t="s">
        <v>201</v>
      </c>
      <c r="Y10" s="99" t="s">
        <v>201</v>
      </c>
      <c r="Z10" s="99" t="s">
        <v>199</v>
      </c>
      <c r="AA10" s="99" t="s">
        <v>201</v>
      </c>
      <c r="AB10" s="99" t="s">
        <v>201</v>
      </c>
      <c r="AC10" s="99" t="s">
        <v>201</v>
      </c>
      <c r="AD10" s="99" t="s">
        <v>201</v>
      </c>
      <c r="AE10" s="99" t="s">
        <v>201</v>
      </c>
      <c r="AF10" s="99" t="s">
        <v>201</v>
      </c>
      <c r="AG10" s="99" t="s">
        <v>201</v>
      </c>
      <c r="AH10" s="99" t="s">
        <v>201</v>
      </c>
      <c r="AI10" s="99" t="s">
        <v>202</v>
      </c>
      <c r="AJ10" s="99" t="s">
        <v>201</v>
      </c>
      <c r="AK10" s="99" t="s">
        <v>201</v>
      </c>
      <c r="AL10" s="99" t="s">
        <v>201</v>
      </c>
      <c r="AM10" s="99"/>
      <c r="AN10" s="99" t="s">
        <v>202</v>
      </c>
      <c r="AO10" s="99" t="s">
        <v>201</v>
      </c>
      <c r="AP10" s="99" t="s">
        <v>201</v>
      </c>
      <c r="AQ10" s="99" t="s">
        <v>201</v>
      </c>
      <c r="AR10" s="99" t="s">
        <v>201</v>
      </c>
      <c r="AS10" s="99" t="s">
        <v>201</v>
      </c>
      <c r="AT10" s="99" t="s">
        <v>201</v>
      </c>
      <c r="AU10" s="99" t="s">
        <v>201</v>
      </c>
      <c r="AV10" s="99" t="s">
        <v>201</v>
      </c>
      <c r="AW10" s="99" t="s">
        <v>201</v>
      </c>
      <c r="AX10" s="99" t="s">
        <v>201</v>
      </c>
      <c r="AY10" s="99"/>
      <c r="AZ10" s="99" t="s">
        <v>202</v>
      </c>
      <c r="BA10" s="99" t="s">
        <v>202</v>
      </c>
      <c r="BB10" s="99" t="s">
        <v>201</v>
      </c>
      <c r="BC10" s="99" t="s">
        <v>201</v>
      </c>
      <c r="BD10" s="99" t="s">
        <v>201</v>
      </c>
      <c r="BE10" s="99" t="s">
        <v>201</v>
      </c>
      <c r="BF10" s="99" t="s">
        <v>201</v>
      </c>
      <c r="BG10" s="99" t="s">
        <v>201</v>
      </c>
      <c r="BH10" s="99" t="s">
        <v>201</v>
      </c>
      <c r="BI10" s="99" t="s">
        <v>201</v>
      </c>
      <c r="BJ10" s="99" t="s">
        <v>201</v>
      </c>
      <c r="BK10" s="99" t="s">
        <v>201</v>
      </c>
      <c r="BL10" s="99" t="s">
        <v>201</v>
      </c>
      <c r="BM10" s="99" t="s">
        <v>201</v>
      </c>
      <c r="BN10" s="99" t="s">
        <v>201</v>
      </c>
      <c r="BO10" s="99" t="s">
        <v>201</v>
      </c>
      <c r="BP10" s="99" t="s">
        <v>201</v>
      </c>
      <c r="BQ10" s="99" t="s">
        <v>201</v>
      </c>
      <c r="BR10" s="99" t="s">
        <v>201</v>
      </c>
      <c r="BS10" s="99" t="s">
        <v>201</v>
      </c>
      <c r="BT10" s="99"/>
      <c r="BU10" s="99" t="s">
        <v>203</v>
      </c>
      <c r="BV10" s="99" t="s">
        <v>203</v>
      </c>
      <c r="BW10" s="99" t="s">
        <v>203</v>
      </c>
      <c r="BX10" s="99" t="s">
        <v>203</v>
      </c>
      <c r="BY10" s="99" t="s">
        <v>203</v>
      </c>
      <c r="BZ10" s="99" t="s">
        <v>203</v>
      </c>
      <c r="CA10" s="99" t="s">
        <v>203</v>
      </c>
      <c r="CB10" s="99"/>
      <c r="CC10" s="99" t="s">
        <v>204</v>
      </c>
      <c r="CD10" s="99"/>
      <c r="CE10" s="99" t="s">
        <v>194</v>
      </c>
      <c r="CF10" s="99"/>
      <c r="CG10" s="99"/>
      <c r="CH10" s="99"/>
      <c r="CI10" s="99" t="s">
        <v>202</v>
      </c>
      <c r="CJ10" s="99" t="s">
        <v>201</v>
      </c>
      <c r="CK10" s="99" t="s">
        <v>201</v>
      </c>
      <c r="CL10" s="99" t="s">
        <v>201</v>
      </c>
      <c r="CM10" s="99" t="s">
        <v>201</v>
      </c>
      <c r="CN10" s="99" t="s">
        <v>201</v>
      </c>
      <c r="CO10" s="99" t="s">
        <v>201</v>
      </c>
      <c r="CP10" s="99" t="s">
        <v>201</v>
      </c>
      <c r="CQ10" s="99" t="s">
        <v>201</v>
      </c>
      <c r="CR10" s="99" t="s">
        <v>201</v>
      </c>
      <c r="CS10" s="99" t="s">
        <v>201</v>
      </c>
      <c r="CT10" s="99" t="s">
        <v>201</v>
      </c>
      <c r="CU10" s="99" t="s">
        <v>201</v>
      </c>
      <c r="CV10" s="99" t="s">
        <v>201</v>
      </c>
      <c r="CW10" s="99" t="s">
        <v>201</v>
      </c>
      <c r="CX10" s="99" t="s">
        <v>201</v>
      </c>
      <c r="CY10" s="99" t="s">
        <v>201</v>
      </c>
      <c r="CZ10" s="99" t="s">
        <v>201</v>
      </c>
      <c r="DA10" s="99" t="s">
        <v>201</v>
      </c>
      <c r="DB10" s="99" t="s">
        <v>201</v>
      </c>
      <c r="DC10" s="99" t="s">
        <v>201</v>
      </c>
      <c r="DD10" s="99" t="s">
        <v>201</v>
      </c>
      <c r="DE10" s="99" t="s">
        <v>201</v>
      </c>
      <c r="DF10" s="99" t="s">
        <v>201</v>
      </c>
      <c r="DG10" s="99" t="s">
        <v>201</v>
      </c>
      <c r="DH10" s="99" t="s">
        <v>201</v>
      </c>
      <c r="DI10" s="99" t="s">
        <v>201</v>
      </c>
      <c r="DJ10" s="99" t="s">
        <v>201</v>
      </c>
      <c r="DK10" s="99"/>
      <c r="DL10" s="99" t="s">
        <v>202</v>
      </c>
      <c r="DM10" s="99" t="s">
        <v>201</v>
      </c>
      <c r="DN10" s="99" t="s">
        <v>201</v>
      </c>
      <c r="DO10" s="99" t="s">
        <v>201</v>
      </c>
      <c r="DP10" s="99" t="s">
        <v>201</v>
      </c>
      <c r="DQ10" s="99" t="s">
        <v>201</v>
      </c>
      <c r="DR10" s="99" t="s">
        <v>201</v>
      </c>
      <c r="DS10" s="99" t="s">
        <v>201</v>
      </c>
      <c r="DT10" s="99" t="s">
        <v>201</v>
      </c>
      <c r="DU10" s="99" t="s">
        <v>201</v>
      </c>
      <c r="DV10" s="99" t="s">
        <v>201</v>
      </c>
      <c r="DW10" s="99" t="s">
        <v>201</v>
      </c>
      <c r="DX10" s="99" t="s">
        <v>201</v>
      </c>
      <c r="DY10" s="99" t="s">
        <v>201</v>
      </c>
      <c r="DZ10" s="99" t="s">
        <v>201</v>
      </c>
      <c r="EA10" s="99"/>
      <c r="EB10" s="99" t="s">
        <v>202</v>
      </c>
      <c r="EC10" s="99" t="s">
        <v>201</v>
      </c>
      <c r="ED10" s="99" t="s">
        <v>201</v>
      </c>
      <c r="EE10" s="99" t="s">
        <v>201</v>
      </c>
      <c r="EF10" s="99" t="s">
        <v>201</v>
      </c>
      <c r="EG10" s="99" t="s">
        <v>201</v>
      </c>
      <c r="EH10" s="100" t="s">
        <v>201</v>
      </c>
    </row>
    <row r="11" spans="1:138" ht="23.25" customHeight="1" x14ac:dyDescent="0.25">
      <c r="A11" s="101" t="s">
        <v>16</v>
      </c>
      <c r="B11" s="90" t="s">
        <v>193</v>
      </c>
      <c r="C11" s="90" t="s">
        <v>194</v>
      </c>
      <c r="D11" s="90" t="s">
        <v>198</v>
      </c>
      <c r="E11" s="90" t="s">
        <v>198</v>
      </c>
      <c r="F11" s="90" t="s">
        <v>198</v>
      </c>
      <c r="G11" s="90" t="s">
        <v>198</v>
      </c>
      <c r="H11" s="90" t="s">
        <v>198</v>
      </c>
      <c r="I11" s="90" t="s">
        <v>198</v>
      </c>
      <c r="J11" s="90" t="s">
        <v>198</v>
      </c>
      <c r="K11" s="90" t="s">
        <v>198</v>
      </c>
      <c r="L11" s="90" t="s">
        <v>198</v>
      </c>
      <c r="M11" s="90" t="s">
        <v>198</v>
      </c>
      <c r="N11" s="90" t="s">
        <v>198</v>
      </c>
      <c r="O11" s="90" t="s">
        <v>198</v>
      </c>
      <c r="P11" s="90" t="s">
        <v>198</v>
      </c>
      <c r="Q11" s="90" t="s">
        <v>198</v>
      </c>
      <c r="R11" s="90" t="s">
        <v>198</v>
      </c>
      <c r="S11" s="90" t="s">
        <v>198</v>
      </c>
      <c r="T11" s="90"/>
      <c r="U11" s="90" t="s">
        <v>194</v>
      </c>
      <c r="V11" s="90" t="s">
        <v>198</v>
      </c>
      <c r="W11" s="90" t="s">
        <v>198</v>
      </c>
      <c r="X11" s="90" t="s">
        <v>198</v>
      </c>
      <c r="Y11" s="90" t="s">
        <v>198</v>
      </c>
      <c r="Z11" s="90" t="s">
        <v>199</v>
      </c>
      <c r="AA11" s="90" t="s">
        <v>201</v>
      </c>
      <c r="AB11" s="90" t="s">
        <v>201</v>
      </c>
      <c r="AC11" s="90" t="s">
        <v>201</v>
      </c>
      <c r="AD11" s="90" t="s">
        <v>201</v>
      </c>
      <c r="AE11" s="90" t="s">
        <v>30</v>
      </c>
      <c r="AF11" s="90" t="s">
        <v>30</v>
      </c>
      <c r="AG11" s="90" t="s">
        <v>30</v>
      </c>
      <c r="AH11" s="90" t="s">
        <v>30</v>
      </c>
      <c r="AI11" s="90" t="s">
        <v>194</v>
      </c>
      <c r="AJ11" s="90" t="s">
        <v>198</v>
      </c>
      <c r="AK11" s="90" t="s">
        <v>198</v>
      </c>
      <c r="AL11" s="90" t="s">
        <v>198</v>
      </c>
      <c r="AM11" s="90"/>
      <c r="AN11" s="90" t="s">
        <v>202</v>
      </c>
      <c r="AO11" s="90" t="s">
        <v>201</v>
      </c>
      <c r="AP11" s="90" t="s">
        <v>201</v>
      </c>
      <c r="AQ11" s="90" t="s">
        <v>201</v>
      </c>
      <c r="AR11" s="90" t="s">
        <v>201</v>
      </c>
      <c r="AS11" s="90" t="s">
        <v>201</v>
      </c>
      <c r="AT11" s="90" t="s">
        <v>201</v>
      </c>
      <c r="AU11" s="90" t="s">
        <v>201</v>
      </c>
      <c r="AV11" s="90" t="s">
        <v>201</v>
      </c>
      <c r="AW11" s="90" t="s">
        <v>201</v>
      </c>
      <c r="AX11" s="90" t="s">
        <v>201</v>
      </c>
      <c r="AY11" s="90"/>
      <c r="AZ11" s="90" t="s">
        <v>194</v>
      </c>
      <c r="BA11" s="90" t="s">
        <v>202</v>
      </c>
      <c r="BB11" s="90" t="s">
        <v>201</v>
      </c>
      <c r="BC11" s="90" t="s">
        <v>198</v>
      </c>
      <c r="BD11" s="90" t="s">
        <v>195</v>
      </c>
      <c r="BE11" s="90" t="s">
        <v>195</v>
      </c>
      <c r="BF11" s="90" t="s">
        <v>198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198</v>
      </c>
      <c r="BM11" s="90" t="s">
        <v>198</v>
      </c>
      <c r="BN11" s="90" t="s">
        <v>195</v>
      </c>
      <c r="BO11" s="90" t="s">
        <v>195</v>
      </c>
      <c r="BP11" s="90" t="s">
        <v>198</v>
      </c>
      <c r="BQ11" s="90" t="s">
        <v>30</v>
      </c>
      <c r="BR11" s="90" t="s">
        <v>195</v>
      </c>
      <c r="BS11" s="90" t="s">
        <v>195</v>
      </c>
      <c r="BT11" s="90"/>
      <c r="BU11" s="90" t="s">
        <v>198</v>
      </c>
      <c r="BV11" s="90" t="s">
        <v>198</v>
      </c>
      <c r="BW11" s="90" t="s">
        <v>198</v>
      </c>
      <c r="BX11" s="90" t="s">
        <v>198</v>
      </c>
      <c r="BY11" s="90" t="s">
        <v>198</v>
      </c>
      <c r="BZ11" s="90" t="s">
        <v>198</v>
      </c>
      <c r="CA11" s="90" t="s">
        <v>198</v>
      </c>
      <c r="CB11" s="90"/>
      <c r="CC11" s="90" t="s">
        <v>205</v>
      </c>
      <c r="CD11" s="90"/>
      <c r="CE11" s="90" t="s">
        <v>194</v>
      </c>
      <c r="CF11" s="90"/>
      <c r="CG11" s="90"/>
      <c r="CH11" s="90"/>
      <c r="CI11" s="90" t="s">
        <v>194</v>
      </c>
      <c r="CJ11" s="90" t="s">
        <v>198</v>
      </c>
      <c r="CK11" s="90" t="s">
        <v>195</v>
      </c>
      <c r="CL11" s="90" t="s">
        <v>198</v>
      </c>
      <c r="CM11" s="90" t="s">
        <v>198</v>
      </c>
      <c r="CN11" s="90" t="s">
        <v>198</v>
      </c>
      <c r="CO11" s="90" t="s">
        <v>198</v>
      </c>
      <c r="CP11" s="90" t="s">
        <v>197</v>
      </c>
      <c r="CQ11" s="90" t="s">
        <v>198</v>
      </c>
      <c r="CR11" s="90" t="s">
        <v>196</v>
      </c>
      <c r="CS11" s="90" t="s">
        <v>195</v>
      </c>
      <c r="CT11" s="90" t="s">
        <v>198</v>
      </c>
      <c r="CU11" s="90" t="s">
        <v>198</v>
      </c>
      <c r="CV11" s="90" t="s">
        <v>198</v>
      </c>
      <c r="CW11" s="90" t="s">
        <v>198</v>
      </c>
      <c r="CX11" s="90" t="s">
        <v>198</v>
      </c>
      <c r="CY11" s="90" t="s">
        <v>195</v>
      </c>
      <c r="CZ11" s="90" t="s">
        <v>198</v>
      </c>
      <c r="DA11" s="90" t="s">
        <v>195</v>
      </c>
      <c r="DB11" s="90" t="s">
        <v>198</v>
      </c>
      <c r="DC11" s="90" t="s">
        <v>198</v>
      </c>
      <c r="DD11" s="90" t="s">
        <v>198</v>
      </c>
      <c r="DE11" s="90" t="s">
        <v>198</v>
      </c>
      <c r="DF11" s="90" t="s">
        <v>198</v>
      </c>
      <c r="DG11" s="90" t="s">
        <v>197</v>
      </c>
      <c r="DH11" s="90" t="s">
        <v>195</v>
      </c>
      <c r="DI11" s="90" t="s">
        <v>195</v>
      </c>
      <c r="DJ11" s="90" t="s">
        <v>198</v>
      </c>
      <c r="DK11" s="90"/>
      <c r="DL11" s="90" t="s">
        <v>202</v>
      </c>
      <c r="DM11" s="90" t="s">
        <v>201</v>
      </c>
      <c r="DN11" s="90" t="s">
        <v>201</v>
      </c>
      <c r="DO11" s="90" t="s">
        <v>201</v>
      </c>
      <c r="DP11" s="90" t="s">
        <v>201</v>
      </c>
      <c r="DQ11" s="90" t="s">
        <v>201</v>
      </c>
      <c r="DR11" s="90" t="s">
        <v>201</v>
      </c>
      <c r="DS11" s="90" t="s">
        <v>201</v>
      </c>
      <c r="DT11" s="90" t="s">
        <v>201</v>
      </c>
      <c r="DU11" s="90" t="s">
        <v>201</v>
      </c>
      <c r="DV11" s="90" t="s">
        <v>201</v>
      </c>
      <c r="DW11" s="90" t="s">
        <v>201</v>
      </c>
      <c r="DX11" s="90" t="s">
        <v>201</v>
      </c>
      <c r="DY11" s="90" t="s">
        <v>201</v>
      </c>
      <c r="DZ11" s="90" t="s">
        <v>201</v>
      </c>
      <c r="EA11" s="90"/>
      <c r="EB11" s="90" t="s">
        <v>202</v>
      </c>
      <c r="EC11" s="90" t="s">
        <v>201</v>
      </c>
      <c r="ED11" s="90" t="s">
        <v>201</v>
      </c>
      <c r="EE11" s="90" t="s">
        <v>201</v>
      </c>
      <c r="EF11" s="90" t="s">
        <v>201</v>
      </c>
      <c r="EG11" s="90" t="s">
        <v>201</v>
      </c>
      <c r="EH11" s="102" t="s">
        <v>201</v>
      </c>
    </row>
    <row r="12" spans="1:138" ht="23.25" customHeight="1" x14ac:dyDescent="0.25">
      <c r="A12" s="98" t="s">
        <v>17</v>
      </c>
      <c r="B12" s="99" t="s">
        <v>193</v>
      </c>
      <c r="C12" s="99" t="s">
        <v>194</v>
      </c>
      <c r="D12" s="99" t="s">
        <v>30</v>
      </c>
      <c r="E12" s="99" t="s">
        <v>30</v>
      </c>
      <c r="F12" s="99" t="s">
        <v>30</v>
      </c>
      <c r="G12" s="99" t="s">
        <v>195</v>
      </c>
      <c r="H12" s="99" t="s">
        <v>195</v>
      </c>
      <c r="I12" s="99" t="s">
        <v>198</v>
      </c>
      <c r="J12" s="99" t="s">
        <v>30</v>
      </c>
      <c r="K12" s="99" t="s">
        <v>30</v>
      </c>
      <c r="L12" s="99" t="s">
        <v>195</v>
      </c>
      <c r="M12" s="99" t="s">
        <v>30</v>
      </c>
      <c r="N12" s="99" t="s">
        <v>195</v>
      </c>
      <c r="O12" s="99" t="s">
        <v>195</v>
      </c>
      <c r="P12" s="99" t="s">
        <v>198</v>
      </c>
      <c r="Q12" s="99" t="s">
        <v>196</v>
      </c>
      <c r="R12" s="99" t="s">
        <v>196</v>
      </c>
      <c r="S12" s="99" t="s">
        <v>30</v>
      </c>
      <c r="T12" s="99"/>
      <c r="U12" s="99" t="s">
        <v>194</v>
      </c>
      <c r="V12" s="99" t="s">
        <v>195</v>
      </c>
      <c r="W12" s="99" t="s">
        <v>198</v>
      </c>
      <c r="X12" s="99" t="s">
        <v>195</v>
      </c>
      <c r="Y12" s="99" t="s">
        <v>198</v>
      </c>
      <c r="Z12" s="99" t="s">
        <v>199</v>
      </c>
      <c r="AA12" s="99" t="s">
        <v>195</v>
      </c>
      <c r="AB12" s="99" t="s">
        <v>195</v>
      </c>
      <c r="AC12" s="99" t="s">
        <v>195</v>
      </c>
      <c r="AD12" s="99" t="s">
        <v>195</v>
      </c>
      <c r="AE12" s="99" t="s">
        <v>201</v>
      </c>
      <c r="AF12" s="99" t="s">
        <v>201</v>
      </c>
      <c r="AG12" s="99" t="s">
        <v>201</v>
      </c>
      <c r="AH12" s="99" t="s">
        <v>201</v>
      </c>
      <c r="AI12" s="99" t="s">
        <v>194</v>
      </c>
      <c r="AJ12" s="99" t="s">
        <v>30</v>
      </c>
      <c r="AK12" s="99" t="s">
        <v>30</v>
      </c>
      <c r="AL12" s="99" t="s">
        <v>195</v>
      </c>
      <c r="AM12" s="99"/>
      <c r="AN12" s="99" t="s">
        <v>202</v>
      </c>
      <c r="AO12" s="99" t="s">
        <v>201</v>
      </c>
      <c r="AP12" s="99" t="s">
        <v>201</v>
      </c>
      <c r="AQ12" s="99" t="s">
        <v>201</v>
      </c>
      <c r="AR12" s="99" t="s">
        <v>201</v>
      </c>
      <c r="AS12" s="99" t="s">
        <v>201</v>
      </c>
      <c r="AT12" s="99" t="s">
        <v>201</v>
      </c>
      <c r="AU12" s="99" t="s">
        <v>201</v>
      </c>
      <c r="AV12" s="99" t="s">
        <v>201</v>
      </c>
      <c r="AW12" s="99" t="s">
        <v>201</v>
      </c>
      <c r="AX12" s="99" t="s">
        <v>201</v>
      </c>
      <c r="AY12" s="99"/>
      <c r="AZ12" s="99" t="s">
        <v>202</v>
      </c>
      <c r="BA12" s="99" t="s">
        <v>202</v>
      </c>
      <c r="BB12" s="99" t="s">
        <v>201</v>
      </c>
      <c r="BC12" s="99" t="s">
        <v>201</v>
      </c>
      <c r="BD12" s="99" t="s">
        <v>201</v>
      </c>
      <c r="BE12" s="99" t="s">
        <v>201</v>
      </c>
      <c r="BF12" s="99" t="s">
        <v>201</v>
      </c>
      <c r="BG12" s="99" t="s">
        <v>201</v>
      </c>
      <c r="BH12" s="99" t="s">
        <v>201</v>
      </c>
      <c r="BI12" s="99" t="s">
        <v>201</v>
      </c>
      <c r="BJ12" s="99" t="s">
        <v>201</v>
      </c>
      <c r="BK12" s="99" t="s">
        <v>201</v>
      </c>
      <c r="BL12" s="99" t="s">
        <v>201</v>
      </c>
      <c r="BM12" s="99" t="s">
        <v>201</v>
      </c>
      <c r="BN12" s="99" t="s">
        <v>201</v>
      </c>
      <c r="BO12" s="99" t="s">
        <v>201</v>
      </c>
      <c r="BP12" s="99" t="s">
        <v>201</v>
      </c>
      <c r="BQ12" s="99" t="s">
        <v>201</v>
      </c>
      <c r="BR12" s="99" t="s">
        <v>201</v>
      </c>
      <c r="BS12" s="99" t="s">
        <v>201</v>
      </c>
      <c r="BT12" s="99"/>
      <c r="BU12" s="99" t="s">
        <v>203</v>
      </c>
      <c r="BV12" s="99" t="s">
        <v>203</v>
      </c>
      <c r="BW12" s="99" t="s">
        <v>203</v>
      </c>
      <c r="BX12" s="99" t="s">
        <v>203</v>
      </c>
      <c r="BY12" s="99" t="s">
        <v>203</v>
      </c>
      <c r="BZ12" s="99" t="s">
        <v>203</v>
      </c>
      <c r="CA12" s="99" t="s">
        <v>203</v>
      </c>
      <c r="CB12" s="99"/>
      <c r="CC12" s="99" t="s">
        <v>204</v>
      </c>
      <c r="CD12" s="99"/>
      <c r="CE12" s="99" t="s">
        <v>202</v>
      </c>
      <c r="CF12" s="99"/>
      <c r="CG12" s="99"/>
      <c r="CH12" s="99"/>
      <c r="CI12" s="99" t="s">
        <v>194</v>
      </c>
      <c r="CJ12" s="99" t="s">
        <v>195</v>
      </c>
      <c r="CK12" s="99" t="s">
        <v>198</v>
      </c>
      <c r="CL12" s="99" t="s">
        <v>195</v>
      </c>
      <c r="CM12" s="99" t="s">
        <v>195</v>
      </c>
      <c r="CN12" s="99" t="s">
        <v>195</v>
      </c>
      <c r="CO12" s="99" t="s">
        <v>30</v>
      </c>
      <c r="CP12" s="99" t="s">
        <v>195</v>
      </c>
      <c r="CQ12" s="99" t="s">
        <v>195</v>
      </c>
      <c r="CR12" s="99" t="s">
        <v>196</v>
      </c>
      <c r="CS12" s="99" t="s">
        <v>30</v>
      </c>
      <c r="CT12" s="99" t="s">
        <v>30</v>
      </c>
      <c r="CU12" s="99" t="s">
        <v>195</v>
      </c>
      <c r="CV12" s="99" t="s">
        <v>196</v>
      </c>
      <c r="CW12" s="99" t="s">
        <v>30</v>
      </c>
      <c r="CX12" s="99" t="s">
        <v>196</v>
      </c>
      <c r="CY12" s="99" t="s">
        <v>195</v>
      </c>
      <c r="CZ12" s="99" t="s">
        <v>196</v>
      </c>
      <c r="DA12" s="99" t="s">
        <v>195</v>
      </c>
      <c r="DB12" s="99" t="s">
        <v>195</v>
      </c>
      <c r="DC12" s="99" t="s">
        <v>30</v>
      </c>
      <c r="DD12" s="99" t="s">
        <v>196</v>
      </c>
      <c r="DE12" s="99" t="s">
        <v>196</v>
      </c>
      <c r="DF12" s="99" t="s">
        <v>30</v>
      </c>
      <c r="DG12" s="99" t="s">
        <v>195</v>
      </c>
      <c r="DH12" s="99" t="s">
        <v>30</v>
      </c>
      <c r="DI12" s="99" t="s">
        <v>30</v>
      </c>
      <c r="DJ12" s="99" t="s">
        <v>30</v>
      </c>
      <c r="DK12" s="99"/>
      <c r="DL12" s="99" t="s">
        <v>202</v>
      </c>
      <c r="DM12" s="99" t="s">
        <v>201</v>
      </c>
      <c r="DN12" s="99" t="s">
        <v>201</v>
      </c>
      <c r="DO12" s="99" t="s">
        <v>201</v>
      </c>
      <c r="DP12" s="99" t="s">
        <v>201</v>
      </c>
      <c r="DQ12" s="99" t="s">
        <v>201</v>
      </c>
      <c r="DR12" s="99" t="s">
        <v>201</v>
      </c>
      <c r="DS12" s="99" t="s">
        <v>201</v>
      </c>
      <c r="DT12" s="99" t="s">
        <v>201</v>
      </c>
      <c r="DU12" s="99" t="s">
        <v>201</v>
      </c>
      <c r="DV12" s="99" t="s">
        <v>201</v>
      </c>
      <c r="DW12" s="99" t="s">
        <v>201</v>
      </c>
      <c r="DX12" s="99" t="s">
        <v>201</v>
      </c>
      <c r="DY12" s="99" t="s">
        <v>201</v>
      </c>
      <c r="DZ12" s="99" t="s">
        <v>201</v>
      </c>
      <c r="EA12" s="99"/>
      <c r="EB12" s="99" t="s">
        <v>202</v>
      </c>
      <c r="EC12" s="99" t="s">
        <v>201</v>
      </c>
      <c r="ED12" s="99" t="s">
        <v>201</v>
      </c>
      <c r="EE12" s="99" t="s">
        <v>201</v>
      </c>
      <c r="EF12" s="99" t="s">
        <v>201</v>
      </c>
      <c r="EG12" s="99" t="s">
        <v>201</v>
      </c>
      <c r="EH12" s="100" t="s">
        <v>201</v>
      </c>
    </row>
    <row r="13" spans="1:138" ht="23.25" customHeight="1" x14ac:dyDescent="0.25">
      <c r="A13" s="101" t="s">
        <v>16</v>
      </c>
      <c r="B13" s="90" t="s">
        <v>193</v>
      </c>
      <c r="C13" s="90" t="s">
        <v>202</v>
      </c>
      <c r="D13" s="90" t="s">
        <v>201</v>
      </c>
      <c r="E13" s="90" t="s">
        <v>201</v>
      </c>
      <c r="F13" s="90" t="s">
        <v>201</v>
      </c>
      <c r="G13" s="90" t="s">
        <v>201</v>
      </c>
      <c r="H13" s="90" t="s">
        <v>201</v>
      </c>
      <c r="I13" s="90" t="s">
        <v>201</v>
      </c>
      <c r="J13" s="90" t="s">
        <v>201</v>
      </c>
      <c r="K13" s="90" t="s">
        <v>201</v>
      </c>
      <c r="L13" s="90" t="s">
        <v>201</v>
      </c>
      <c r="M13" s="90" t="s">
        <v>201</v>
      </c>
      <c r="N13" s="90" t="s">
        <v>201</v>
      </c>
      <c r="O13" s="90" t="s">
        <v>201</v>
      </c>
      <c r="P13" s="90" t="s">
        <v>201</v>
      </c>
      <c r="Q13" s="90" t="s">
        <v>201</v>
      </c>
      <c r="R13" s="90" t="s">
        <v>201</v>
      </c>
      <c r="S13" s="90" t="s">
        <v>201</v>
      </c>
      <c r="T13" s="90"/>
      <c r="U13" s="90" t="s">
        <v>202</v>
      </c>
      <c r="V13" s="90" t="s">
        <v>201</v>
      </c>
      <c r="W13" s="90" t="s">
        <v>201</v>
      </c>
      <c r="X13" s="90" t="s">
        <v>201</v>
      </c>
      <c r="Y13" s="90" t="s">
        <v>201</v>
      </c>
      <c r="Z13" s="90" t="s">
        <v>199</v>
      </c>
      <c r="AA13" s="90" t="s">
        <v>201</v>
      </c>
      <c r="AB13" s="90" t="s">
        <v>201</v>
      </c>
      <c r="AC13" s="90" t="s">
        <v>201</v>
      </c>
      <c r="AD13" s="90" t="s">
        <v>201</v>
      </c>
      <c r="AE13" s="90" t="s">
        <v>201</v>
      </c>
      <c r="AF13" s="90" t="s">
        <v>201</v>
      </c>
      <c r="AG13" s="90" t="s">
        <v>201</v>
      </c>
      <c r="AH13" s="90" t="s">
        <v>201</v>
      </c>
      <c r="AI13" s="90" t="s">
        <v>202</v>
      </c>
      <c r="AJ13" s="90" t="s">
        <v>201</v>
      </c>
      <c r="AK13" s="90" t="s">
        <v>201</v>
      </c>
      <c r="AL13" s="90" t="s">
        <v>201</v>
      </c>
      <c r="AM13" s="90"/>
      <c r="AN13" s="90" t="s">
        <v>202</v>
      </c>
      <c r="AO13" s="90" t="s">
        <v>201</v>
      </c>
      <c r="AP13" s="90" t="s">
        <v>201</v>
      </c>
      <c r="AQ13" s="90" t="s">
        <v>201</v>
      </c>
      <c r="AR13" s="90" t="s">
        <v>201</v>
      </c>
      <c r="AS13" s="90" t="s">
        <v>201</v>
      </c>
      <c r="AT13" s="90" t="s">
        <v>201</v>
      </c>
      <c r="AU13" s="90" t="s">
        <v>201</v>
      </c>
      <c r="AV13" s="90" t="s">
        <v>201</v>
      </c>
      <c r="AW13" s="90" t="s">
        <v>201</v>
      </c>
      <c r="AX13" s="90" t="s">
        <v>201</v>
      </c>
      <c r="AY13" s="90"/>
      <c r="AZ13" s="90" t="s">
        <v>202</v>
      </c>
      <c r="BA13" s="90" t="s">
        <v>202</v>
      </c>
      <c r="BB13" s="90" t="s">
        <v>201</v>
      </c>
      <c r="BC13" s="90" t="s">
        <v>201</v>
      </c>
      <c r="BD13" s="90" t="s">
        <v>201</v>
      </c>
      <c r="BE13" s="90" t="s">
        <v>201</v>
      </c>
      <c r="BF13" s="90" t="s">
        <v>201</v>
      </c>
      <c r="BG13" s="90" t="s">
        <v>201</v>
      </c>
      <c r="BH13" s="90" t="s">
        <v>201</v>
      </c>
      <c r="BI13" s="90" t="s">
        <v>201</v>
      </c>
      <c r="BJ13" s="90" t="s">
        <v>201</v>
      </c>
      <c r="BK13" s="90" t="s">
        <v>201</v>
      </c>
      <c r="BL13" s="90" t="s">
        <v>201</v>
      </c>
      <c r="BM13" s="90" t="s">
        <v>201</v>
      </c>
      <c r="BN13" s="90" t="s">
        <v>201</v>
      </c>
      <c r="BO13" s="90" t="s">
        <v>201</v>
      </c>
      <c r="BP13" s="90" t="s">
        <v>201</v>
      </c>
      <c r="BQ13" s="90" t="s">
        <v>201</v>
      </c>
      <c r="BR13" s="90" t="s">
        <v>201</v>
      </c>
      <c r="BS13" s="90" t="s">
        <v>201</v>
      </c>
      <c r="BT13" s="90"/>
      <c r="BU13" s="90" t="s">
        <v>195</v>
      </c>
      <c r="BV13" s="90" t="s">
        <v>195</v>
      </c>
      <c r="BW13" s="90" t="s">
        <v>195</v>
      </c>
      <c r="BX13" s="90" t="s">
        <v>195</v>
      </c>
      <c r="BY13" s="90" t="s">
        <v>195</v>
      </c>
      <c r="BZ13" s="90" t="s">
        <v>195</v>
      </c>
      <c r="CA13" s="90" t="s">
        <v>195</v>
      </c>
      <c r="CB13" s="90"/>
      <c r="CC13" s="90" t="s">
        <v>206</v>
      </c>
      <c r="CD13" s="90"/>
      <c r="CE13" s="90" t="s">
        <v>194</v>
      </c>
      <c r="CF13" s="90"/>
      <c r="CG13" s="90"/>
      <c r="CH13" s="90"/>
      <c r="CI13" s="90" t="s">
        <v>202</v>
      </c>
      <c r="CJ13" s="90" t="s">
        <v>201</v>
      </c>
      <c r="CK13" s="90" t="s">
        <v>201</v>
      </c>
      <c r="CL13" s="90" t="s">
        <v>201</v>
      </c>
      <c r="CM13" s="90" t="s">
        <v>201</v>
      </c>
      <c r="CN13" s="90" t="s">
        <v>201</v>
      </c>
      <c r="CO13" s="90" t="s">
        <v>201</v>
      </c>
      <c r="CP13" s="90" t="s">
        <v>201</v>
      </c>
      <c r="CQ13" s="90" t="s">
        <v>201</v>
      </c>
      <c r="CR13" s="90" t="s">
        <v>201</v>
      </c>
      <c r="CS13" s="90" t="s">
        <v>201</v>
      </c>
      <c r="CT13" s="90" t="s">
        <v>201</v>
      </c>
      <c r="CU13" s="90" t="s">
        <v>201</v>
      </c>
      <c r="CV13" s="90" t="s">
        <v>201</v>
      </c>
      <c r="CW13" s="90" t="s">
        <v>201</v>
      </c>
      <c r="CX13" s="90" t="s">
        <v>201</v>
      </c>
      <c r="CY13" s="90" t="s">
        <v>201</v>
      </c>
      <c r="CZ13" s="90" t="s">
        <v>201</v>
      </c>
      <c r="DA13" s="90" t="s">
        <v>201</v>
      </c>
      <c r="DB13" s="90" t="s">
        <v>201</v>
      </c>
      <c r="DC13" s="90" t="s">
        <v>201</v>
      </c>
      <c r="DD13" s="90" t="s">
        <v>201</v>
      </c>
      <c r="DE13" s="90" t="s">
        <v>201</v>
      </c>
      <c r="DF13" s="90" t="s">
        <v>201</v>
      </c>
      <c r="DG13" s="90" t="s">
        <v>201</v>
      </c>
      <c r="DH13" s="90" t="s">
        <v>201</v>
      </c>
      <c r="DI13" s="90" t="s">
        <v>201</v>
      </c>
      <c r="DJ13" s="90" t="s">
        <v>201</v>
      </c>
      <c r="DK13" s="90"/>
      <c r="DL13" s="90" t="s">
        <v>202</v>
      </c>
      <c r="DM13" s="90" t="s">
        <v>201</v>
      </c>
      <c r="DN13" s="90" t="s">
        <v>201</v>
      </c>
      <c r="DO13" s="90" t="s">
        <v>201</v>
      </c>
      <c r="DP13" s="90" t="s">
        <v>201</v>
      </c>
      <c r="DQ13" s="90" t="s">
        <v>201</v>
      </c>
      <c r="DR13" s="90" t="s">
        <v>201</v>
      </c>
      <c r="DS13" s="90" t="s">
        <v>201</v>
      </c>
      <c r="DT13" s="90" t="s">
        <v>201</v>
      </c>
      <c r="DU13" s="90" t="s">
        <v>201</v>
      </c>
      <c r="DV13" s="90" t="s">
        <v>201</v>
      </c>
      <c r="DW13" s="90" t="s">
        <v>201</v>
      </c>
      <c r="DX13" s="90" t="s">
        <v>201</v>
      </c>
      <c r="DY13" s="90" t="s">
        <v>201</v>
      </c>
      <c r="DZ13" s="90" t="s">
        <v>201</v>
      </c>
      <c r="EA13" s="90"/>
      <c r="EB13" s="90" t="s">
        <v>202</v>
      </c>
      <c r="EC13" s="90" t="s">
        <v>201</v>
      </c>
      <c r="ED13" s="90" t="s">
        <v>201</v>
      </c>
      <c r="EE13" s="90" t="s">
        <v>201</v>
      </c>
      <c r="EF13" s="90" t="s">
        <v>201</v>
      </c>
      <c r="EG13" s="90" t="s">
        <v>201</v>
      </c>
      <c r="EH13" s="102" t="s">
        <v>201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198</v>
      </c>
      <c r="E14" s="99" t="s">
        <v>195</v>
      </c>
      <c r="F14" s="99" t="s">
        <v>198</v>
      </c>
      <c r="G14" s="99" t="s">
        <v>197</v>
      </c>
      <c r="H14" s="99" t="s">
        <v>197</v>
      </c>
      <c r="I14" s="99" t="s">
        <v>195</v>
      </c>
      <c r="J14" s="99" t="s">
        <v>198</v>
      </c>
      <c r="K14" s="99" t="s">
        <v>198</v>
      </c>
      <c r="L14" s="99" t="s">
        <v>198</v>
      </c>
      <c r="M14" s="99" t="s">
        <v>30</v>
      </c>
      <c r="N14" s="99" t="s">
        <v>30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202</v>
      </c>
      <c r="V14" s="99" t="s">
        <v>201</v>
      </c>
      <c r="W14" s="99" t="s">
        <v>201</v>
      </c>
      <c r="X14" s="99" t="s">
        <v>201</v>
      </c>
      <c r="Y14" s="99" t="s">
        <v>201</v>
      </c>
      <c r="Z14" s="99" t="s">
        <v>199</v>
      </c>
      <c r="AA14" s="99" t="s">
        <v>201</v>
      </c>
      <c r="AB14" s="99" t="s">
        <v>201</v>
      </c>
      <c r="AC14" s="99" t="s">
        <v>201</v>
      </c>
      <c r="AD14" s="99" t="s">
        <v>201</v>
      </c>
      <c r="AE14" s="99" t="s">
        <v>201</v>
      </c>
      <c r="AF14" s="99" t="s">
        <v>201</v>
      </c>
      <c r="AG14" s="99" t="s">
        <v>201</v>
      </c>
      <c r="AH14" s="99" t="s">
        <v>201</v>
      </c>
      <c r="AI14" s="99" t="s">
        <v>202</v>
      </c>
      <c r="AJ14" s="99" t="s">
        <v>201</v>
      </c>
      <c r="AK14" s="99" t="s">
        <v>201</v>
      </c>
      <c r="AL14" s="99" t="s">
        <v>201</v>
      </c>
      <c r="AM14" s="99"/>
      <c r="AN14" s="99" t="s">
        <v>202</v>
      </c>
      <c r="AO14" s="99" t="s">
        <v>201</v>
      </c>
      <c r="AP14" s="99" t="s">
        <v>201</v>
      </c>
      <c r="AQ14" s="99" t="s">
        <v>201</v>
      </c>
      <c r="AR14" s="99" t="s">
        <v>201</v>
      </c>
      <c r="AS14" s="99" t="s">
        <v>201</v>
      </c>
      <c r="AT14" s="99" t="s">
        <v>201</v>
      </c>
      <c r="AU14" s="99" t="s">
        <v>201</v>
      </c>
      <c r="AV14" s="99" t="s">
        <v>201</v>
      </c>
      <c r="AW14" s="99" t="s">
        <v>201</v>
      </c>
      <c r="AX14" s="99" t="s">
        <v>201</v>
      </c>
      <c r="AY14" s="99"/>
      <c r="AZ14" s="99" t="s">
        <v>194</v>
      </c>
      <c r="BA14" s="99" t="s">
        <v>194</v>
      </c>
      <c r="BB14" s="99" t="s">
        <v>198</v>
      </c>
      <c r="BC14" s="99" t="s">
        <v>198</v>
      </c>
      <c r="BD14" s="99" t="s">
        <v>198</v>
      </c>
      <c r="BE14" s="99" t="s">
        <v>198</v>
      </c>
      <c r="BF14" s="99" t="s">
        <v>198</v>
      </c>
      <c r="BG14" s="99" t="s">
        <v>198</v>
      </c>
      <c r="BH14" s="99" t="s">
        <v>198</v>
      </c>
      <c r="BI14" s="99" t="s">
        <v>198</v>
      </c>
      <c r="BJ14" s="99" t="s">
        <v>198</v>
      </c>
      <c r="BK14" s="99" t="s">
        <v>195</v>
      </c>
      <c r="BL14" s="99" t="s">
        <v>198</v>
      </c>
      <c r="BM14" s="99" t="s">
        <v>198</v>
      </c>
      <c r="BN14" s="99" t="s">
        <v>198</v>
      </c>
      <c r="BO14" s="99" t="s">
        <v>198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201</v>
      </c>
      <c r="BV14" s="99" t="s">
        <v>198</v>
      </c>
      <c r="BW14" s="99" t="s">
        <v>201</v>
      </c>
      <c r="BX14" s="99" t="s">
        <v>195</v>
      </c>
      <c r="BY14" s="99" t="s">
        <v>195</v>
      </c>
      <c r="BZ14" s="99" t="s">
        <v>195</v>
      </c>
      <c r="CA14" s="99" t="s">
        <v>195</v>
      </c>
      <c r="CB14" s="99"/>
      <c r="CC14" s="99" t="s">
        <v>207</v>
      </c>
      <c r="CD14" s="99"/>
      <c r="CE14" s="99" t="s">
        <v>194</v>
      </c>
      <c r="CF14" s="99"/>
      <c r="CG14" s="99"/>
      <c r="CH14" s="99"/>
      <c r="CI14" s="99" t="s">
        <v>202</v>
      </c>
      <c r="CJ14" s="99" t="s">
        <v>201</v>
      </c>
      <c r="CK14" s="99" t="s">
        <v>201</v>
      </c>
      <c r="CL14" s="99" t="s">
        <v>201</v>
      </c>
      <c r="CM14" s="99" t="s">
        <v>201</v>
      </c>
      <c r="CN14" s="99" t="s">
        <v>201</v>
      </c>
      <c r="CO14" s="99" t="s">
        <v>201</v>
      </c>
      <c r="CP14" s="99" t="s">
        <v>201</v>
      </c>
      <c r="CQ14" s="99" t="s">
        <v>201</v>
      </c>
      <c r="CR14" s="99" t="s">
        <v>201</v>
      </c>
      <c r="CS14" s="99" t="s">
        <v>201</v>
      </c>
      <c r="CT14" s="99" t="s">
        <v>201</v>
      </c>
      <c r="CU14" s="99" t="s">
        <v>201</v>
      </c>
      <c r="CV14" s="99" t="s">
        <v>201</v>
      </c>
      <c r="CW14" s="99" t="s">
        <v>201</v>
      </c>
      <c r="CX14" s="99" t="s">
        <v>201</v>
      </c>
      <c r="CY14" s="99" t="s">
        <v>201</v>
      </c>
      <c r="CZ14" s="99" t="s">
        <v>201</v>
      </c>
      <c r="DA14" s="99" t="s">
        <v>201</v>
      </c>
      <c r="DB14" s="99" t="s">
        <v>201</v>
      </c>
      <c r="DC14" s="99" t="s">
        <v>201</v>
      </c>
      <c r="DD14" s="99" t="s">
        <v>201</v>
      </c>
      <c r="DE14" s="99" t="s">
        <v>201</v>
      </c>
      <c r="DF14" s="99" t="s">
        <v>201</v>
      </c>
      <c r="DG14" s="99" t="s">
        <v>201</v>
      </c>
      <c r="DH14" s="99" t="s">
        <v>201</v>
      </c>
      <c r="DI14" s="99" t="s">
        <v>201</v>
      </c>
      <c r="DJ14" s="99" t="s">
        <v>201</v>
      </c>
      <c r="DK14" s="99"/>
      <c r="DL14" s="99" t="s">
        <v>202</v>
      </c>
      <c r="DM14" s="99" t="s">
        <v>201</v>
      </c>
      <c r="DN14" s="99" t="s">
        <v>201</v>
      </c>
      <c r="DO14" s="99" t="s">
        <v>201</v>
      </c>
      <c r="DP14" s="99" t="s">
        <v>201</v>
      </c>
      <c r="DQ14" s="99" t="s">
        <v>201</v>
      </c>
      <c r="DR14" s="99" t="s">
        <v>201</v>
      </c>
      <c r="DS14" s="99" t="s">
        <v>201</v>
      </c>
      <c r="DT14" s="99" t="s">
        <v>201</v>
      </c>
      <c r="DU14" s="99" t="s">
        <v>201</v>
      </c>
      <c r="DV14" s="99" t="s">
        <v>201</v>
      </c>
      <c r="DW14" s="99" t="s">
        <v>201</v>
      </c>
      <c r="DX14" s="99" t="s">
        <v>201</v>
      </c>
      <c r="DY14" s="99" t="s">
        <v>201</v>
      </c>
      <c r="DZ14" s="99" t="s">
        <v>201</v>
      </c>
      <c r="EA14" s="99"/>
      <c r="EB14" s="99" t="s">
        <v>202</v>
      </c>
      <c r="EC14" s="99" t="s">
        <v>201</v>
      </c>
      <c r="ED14" s="99" t="s">
        <v>201</v>
      </c>
      <c r="EE14" s="99" t="s">
        <v>201</v>
      </c>
      <c r="EF14" s="99" t="s">
        <v>201</v>
      </c>
      <c r="EG14" s="99" t="s">
        <v>201</v>
      </c>
      <c r="EH14" s="100" t="s">
        <v>201</v>
      </c>
    </row>
    <row r="15" spans="1:138" ht="23.25" customHeight="1" x14ac:dyDescent="0.25">
      <c r="A15" s="101" t="s">
        <v>17</v>
      </c>
      <c r="B15" s="90" t="s">
        <v>193</v>
      </c>
      <c r="C15" s="90" t="s">
        <v>194</v>
      </c>
      <c r="D15" s="90" t="s">
        <v>30</v>
      </c>
      <c r="E15" s="90" t="s">
        <v>30</v>
      </c>
      <c r="F15" s="90" t="s">
        <v>196</v>
      </c>
      <c r="G15" s="90" t="s">
        <v>197</v>
      </c>
      <c r="H15" s="90" t="s">
        <v>196</v>
      </c>
      <c r="I15" s="90" t="s">
        <v>195</v>
      </c>
      <c r="J15" s="90" t="s">
        <v>197</v>
      </c>
      <c r="K15" s="90" t="s">
        <v>197</v>
      </c>
      <c r="L15" s="90" t="s">
        <v>197</v>
      </c>
      <c r="M15" s="90" t="s">
        <v>196</v>
      </c>
      <c r="N15" s="90" t="s">
        <v>30</v>
      </c>
      <c r="O15" s="90" t="s">
        <v>195</v>
      </c>
      <c r="P15" s="90" t="s">
        <v>198</v>
      </c>
      <c r="Q15" s="90" t="s">
        <v>195</v>
      </c>
      <c r="R15" s="90" t="s">
        <v>30</v>
      </c>
      <c r="S15" s="90" t="s">
        <v>196</v>
      </c>
      <c r="T15" s="90"/>
      <c r="U15" s="90" t="s">
        <v>194</v>
      </c>
      <c r="V15" s="90" t="s">
        <v>30</v>
      </c>
      <c r="W15" s="90" t="s">
        <v>195</v>
      </c>
      <c r="X15" s="90" t="s">
        <v>196</v>
      </c>
      <c r="Y15" s="90" t="s">
        <v>195</v>
      </c>
      <c r="Z15" s="90" t="s">
        <v>17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201</v>
      </c>
      <c r="AF15" s="90" t="s">
        <v>201</v>
      </c>
      <c r="AG15" s="90" t="s">
        <v>201</v>
      </c>
      <c r="AH15" s="90" t="s">
        <v>201</v>
      </c>
      <c r="AI15" s="90" t="s">
        <v>194</v>
      </c>
      <c r="AJ15" s="90" t="s">
        <v>30</v>
      </c>
      <c r="AK15" s="90" t="s">
        <v>196</v>
      </c>
      <c r="AL15" s="90" t="s">
        <v>195</v>
      </c>
      <c r="AM15" s="90"/>
      <c r="AN15" s="90" t="s">
        <v>194</v>
      </c>
      <c r="AO15" s="90" t="s">
        <v>198</v>
      </c>
      <c r="AP15" s="90" t="s">
        <v>195</v>
      </c>
      <c r="AQ15" s="90" t="s">
        <v>195</v>
      </c>
      <c r="AR15" s="90" t="s">
        <v>198</v>
      </c>
      <c r="AS15" s="90" t="s">
        <v>195</v>
      </c>
      <c r="AT15" s="90" t="s">
        <v>198</v>
      </c>
      <c r="AU15" s="90" t="s">
        <v>30</v>
      </c>
      <c r="AV15" s="90" t="s">
        <v>198</v>
      </c>
      <c r="AW15" s="90" t="s">
        <v>198</v>
      </c>
      <c r="AX15" s="90" t="s">
        <v>195</v>
      </c>
      <c r="AY15" s="90"/>
      <c r="AZ15" s="90" t="s">
        <v>202</v>
      </c>
      <c r="BA15" s="90" t="s">
        <v>202</v>
      </c>
      <c r="BB15" s="90" t="s">
        <v>201</v>
      </c>
      <c r="BC15" s="90" t="s">
        <v>201</v>
      </c>
      <c r="BD15" s="90" t="s">
        <v>201</v>
      </c>
      <c r="BE15" s="90" t="s">
        <v>201</v>
      </c>
      <c r="BF15" s="90" t="s">
        <v>201</v>
      </c>
      <c r="BG15" s="90" t="s">
        <v>201</v>
      </c>
      <c r="BH15" s="90" t="s">
        <v>201</v>
      </c>
      <c r="BI15" s="90" t="s">
        <v>201</v>
      </c>
      <c r="BJ15" s="90" t="s">
        <v>201</v>
      </c>
      <c r="BK15" s="90" t="s">
        <v>201</v>
      </c>
      <c r="BL15" s="90" t="s">
        <v>201</v>
      </c>
      <c r="BM15" s="90" t="s">
        <v>201</v>
      </c>
      <c r="BN15" s="90" t="s">
        <v>201</v>
      </c>
      <c r="BO15" s="90" t="s">
        <v>201</v>
      </c>
      <c r="BP15" s="90" t="s">
        <v>201</v>
      </c>
      <c r="BQ15" s="90" t="s">
        <v>201</v>
      </c>
      <c r="BR15" s="90" t="s">
        <v>201</v>
      </c>
      <c r="BS15" s="90" t="s">
        <v>201</v>
      </c>
      <c r="BT15" s="90"/>
      <c r="BU15" s="90" t="s">
        <v>203</v>
      </c>
      <c r="BV15" s="90" t="s">
        <v>203</v>
      </c>
      <c r="BW15" s="90" t="s">
        <v>203</v>
      </c>
      <c r="BX15" s="90" t="s">
        <v>203</v>
      </c>
      <c r="BY15" s="90" t="s">
        <v>203</v>
      </c>
      <c r="BZ15" s="90" t="s">
        <v>203</v>
      </c>
      <c r="CA15" s="90" t="s">
        <v>203</v>
      </c>
      <c r="CB15" s="90"/>
      <c r="CC15" s="90" t="s">
        <v>206</v>
      </c>
      <c r="CD15" s="90"/>
      <c r="CE15" s="90" t="s">
        <v>194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30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30</v>
      </c>
      <c r="CU15" s="90" t="s">
        <v>198</v>
      </c>
      <c r="CV15" s="90" t="s">
        <v>195</v>
      </c>
      <c r="CW15" s="90" t="s">
        <v>195</v>
      </c>
      <c r="CX15" s="90" t="s">
        <v>195</v>
      </c>
      <c r="CY15" s="90" t="s">
        <v>196</v>
      </c>
      <c r="CZ15" s="90" t="s">
        <v>198</v>
      </c>
      <c r="DA15" s="90" t="s">
        <v>195</v>
      </c>
      <c r="DB15" s="90" t="s">
        <v>30</v>
      </c>
      <c r="DC15" s="90" t="s">
        <v>30</v>
      </c>
      <c r="DD15" s="90" t="s">
        <v>30</v>
      </c>
      <c r="DE15" s="90" t="s">
        <v>30</v>
      </c>
      <c r="DF15" s="90" t="s">
        <v>30</v>
      </c>
      <c r="DG15" s="90" t="s">
        <v>198</v>
      </c>
      <c r="DH15" s="90" t="s">
        <v>30</v>
      </c>
      <c r="DI15" s="90" t="s">
        <v>195</v>
      </c>
      <c r="DJ15" s="90" t="s">
        <v>30</v>
      </c>
      <c r="DK15" s="90"/>
      <c r="DL15" s="90" t="s">
        <v>202</v>
      </c>
      <c r="DM15" s="90" t="s">
        <v>201</v>
      </c>
      <c r="DN15" s="90" t="s">
        <v>201</v>
      </c>
      <c r="DO15" s="90" t="s">
        <v>201</v>
      </c>
      <c r="DP15" s="90" t="s">
        <v>201</v>
      </c>
      <c r="DQ15" s="90" t="s">
        <v>201</v>
      </c>
      <c r="DR15" s="90" t="s">
        <v>201</v>
      </c>
      <c r="DS15" s="90" t="s">
        <v>201</v>
      </c>
      <c r="DT15" s="90" t="s">
        <v>201</v>
      </c>
      <c r="DU15" s="90" t="s">
        <v>201</v>
      </c>
      <c r="DV15" s="90" t="s">
        <v>201</v>
      </c>
      <c r="DW15" s="90" t="s">
        <v>201</v>
      </c>
      <c r="DX15" s="90" t="s">
        <v>201</v>
      </c>
      <c r="DY15" s="90" t="s">
        <v>201</v>
      </c>
      <c r="DZ15" s="90" t="s">
        <v>201</v>
      </c>
      <c r="EA15" s="90"/>
      <c r="EB15" s="90" t="s">
        <v>194</v>
      </c>
      <c r="EC15" s="90" t="s">
        <v>30</v>
      </c>
      <c r="ED15" s="90" t="s">
        <v>196</v>
      </c>
      <c r="EE15" s="90" t="s">
        <v>197</v>
      </c>
      <c r="EF15" s="90" t="s">
        <v>30</v>
      </c>
      <c r="EG15" s="90" t="s">
        <v>30</v>
      </c>
      <c r="EH15" s="102" t="s">
        <v>196</v>
      </c>
    </row>
    <row r="16" spans="1:138" ht="23.25" customHeight="1" x14ac:dyDescent="0.25">
      <c r="A16" s="98" t="s">
        <v>17</v>
      </c>
      <c r="B16" s="99" t="s">
        <v>193</v>
      </c>
      <c r="C16" s="99" t="s">
        <v>194</v>
      </c>
      <c r="D16" s="99" t="s">
        <v>198</v>
      </c>
      <c r="E16" s="99" t="s">
        <v>195</v>
      </c>
      <c r="F16" s="99" t="s">
        <v>195</v>
      </c>
      <c r="G16" s="99" t="s">
        <v>198</v>
      </c>
      <c r="H16" s="99" t="s">
        <v>196</v>
      </c>
      <c r="I16" s="99" t="s">
        <v>30</v>
      </c>
      <c r="J16" s="99" t="s">
        <v>195</v>
      </c>
      <c r="K16" s="99" t="s">
        <v>198</v>
      </c>
      <c r="L16" s="99" t="s">
        <v>198</v>
      </c>
      <c r="M16" s="99" t="s">
        <v>198</v>
      </c>
      <c r="N16" s="99" t="s">
        <v>198</v>
      </c>
      <c r="O16" s="99" t="s">
        <v>198</v>
      </c>
      <c r="P16" s="99" t="s">
        <v>195</v>
      </c>
      <c r="Q16" s="99" t="s">
        <v>198</v>
      </c>
      <c r="R16" s="99" t="s">
        <v>198</v>
      </c>
      <c r="S16" s="99" t="s">
        <v>198</v>
      </c>
      <c r="T16" s="99"/>
      <c r="U16" s="99" t="s">
        <v>194</v>
      </c>
      <c r="V16" s="99" t="s">
        <v>195</v>
      </c>
      <c r="W16" s="99" t="s">
        <v>195</v>
      </c>
      <c r="X16" s="99" t="s">
        <v>195</v>
      </c>
      <c r="Y16" s="99" t="s">
        <v>195</v>
      </c>
      <c r="Z16" s="99" t="s">
        <v>208</v>
      </c>
      <c r="AA16" s="99" t="s">
        <v>30</v>
      </c>
      <c r="AB16" s="99" t="s">
        <v>30</v>
      </c>
      <c r="AC16" s="99" t="s">
        <v>196</v>
      </c>
      <c r="AD16" s="99" t="s">
        <v>196</v>
      </c>
      <c r="AE16" s="99" t="s">
        <v>201</v>
      </c>
      <c r="AF16" s="99" t="s">
        <v>201</v>
      </c>
      <c r="AG16" s="99" t="s">
        <v>201</v>
      </c>
      <c r="AH16" s="99" t="s">
        <v>201</v>
      </c>
      <c r="AI16" s="99" t="s">
        <v>194</v>
      </c>
      <c r="AJ16" s="99" t="s">
        <v>195</v>
      </c>
      <c r="AK16" s="99" t="s">
        <v>195</v>
      </c>
      <c r="AL16" s="99" t="s">
        <v>195</v>
      </c>
      <c r="AM16" s="99"/>
      <c r="AN16" s="99" t="s">
        <v>202</v>
      </c>
      <c r="AO16" s="99" t="s">
        <v>201</v>
      </c>
      <c r="AP16" s="99" t="s">
        <v>201</v>
      </c>
      <c r="AQ16" s="99" t="s">
        <v>201</v>
      </c>
      <c r="AR16" s="99" t="s">
        <v>201</v>
      </c>
      <c r="AS16" s="99" t="s">
        <v>201</v>
      </c>
      <c r="AT16" s="99" t="s">
        <v>201</v>
      </c>
      <c r="AU16" s="99" t="s">
        <v>201</v>
      </c>
      <c r="AV16" s="99" t="s">
        <v>201</v>
      </c>
      <c r="AW16" s="99" t="s">
        <v>201</v>
      </c>
      <c r="AX16" s="99" t="s">
        <v>201</v>
      </c>
      <c r="AY16" s="99"/>
      <c r="AZ16" s="99" t="s">
        <v>202</v>
      </c>
      <c r="BA16" s="99" t="s">
        <v>202</v>
      </c>
      <c r="BB16" s="99" t="s">
        <v>201</v>
      </c>
      <c r="BC16" s="99" t="s">
        <v>201</v>
      </c>
      <c r="BD16" s="99" t="s">
        <v>201</v>
      </c>
      <c r="BE16" s="99" t="s">
        <v>201</v>
      </c>
      <c r="BF16" s="99" t="s">
        <v>201</v>
      </c>
      <c r="BG16" s="99" t="s">
        <v>201</v>
      </c>
      <c r="BH16" s="99" t="s">
        <v>201</v>
      </c>
      <c r="BI16" s="99" t="s">
        <v>201</v>
      </c>
      <c r="BJ16" s="99" t="s">
        <v>201</v>
      </c>
      <c r="BK16" s="99" t="s">
        <v>201</v>
      </c>
      <c r="BL16" s="99" t="s">
        <v>201</v>
      </c>
      <c r="BM16" s="99" t="s">
        <v>201</v>
      </c>
      <c r="BN16" s="99" t="s">
        <v>201</v>
      </c>
      <c r="BO16" s="99" t="s">
        <v>201</v>
      </c>
      <c r="BP16" s="99" t="s">
        <v>201</v>
      </c>
      <c r="BQ16" s="99" t="s">
        <v>201</v>
      </c>
      <c r="BR16" s="99" t="s">
        <v>201</v>
      </c>
      <c r="BS16" s="99" t="s">
        <v>201</v>
      </c>
      <c r="BT16" s="99"/>
      <c r="BU16" s="99" t="s">
        <v>196</v>
      </c>
      <c r="BV16" s="99" t="s">
        <v>30</v>
      </c>
      <c r="BW16" s="99" t="s">
        <v>195</v>
      </c>
      <c r="BX16" s="99" t="s">
        <v>196</v>
      </c>
      <c r="BY16" s="99" t="s">
        <v>201</v>
      </c>
      <c r="BZ16" s="99" t="s">
        <v>201</v>
      </c>
      <c r="CA16" s="99" t="s">
        <v>201</v>
      </c>
      <c r="CB16" s="99"/>
      <c r="CC16" s="99" t="s">
        <v>205</v>
      </c>
      <c r="CD16" s="99"/>
      <c r="CE16" s="99" t="s">
        <v>194</v>
      </c>
      <c r="CF16" s="99"/>
      <c r="CG16" s="99"/>
      <c r="CH16" s="99"/>
      <c r="CI16" s="99" t="s">
        <v>202</v>
      </c>
      <c r="CJ16" s="99" t="s">
        <v>201</v>
      </c>
      <c r="CK16" s="99" t="s">
        <v>201</v>
      </c>
      <c r="CL16" s="99" t="s">
        <v>201</v>
      </c>
      <c r="CM16" s="99" t="s">
        <v>201</v>
      </c>
      <c r="CN16" s="99" t="s">
        <v>201</v>
      </c>
      <c r="CO16" s="99" t="s">
        <v>201</v>
      </c>
      <c r="CP16" s="99" t="s">
        <v>201</v>
      </c>
      <c r="CQ16" s="99" t="s">
        <v>201</v>
      </c>
      <c r="CR16" s="99" t="s">
        <v>201</v>
      </c>
      <c r="CS16" s="99" t="s">
        <v>201</v>
      </c>
      <c r="CT16" s="99" t="s">
        <v>201</v>
      </c>
      <c r="CU16" s="99" t="s">
        <v>201</v>
      </c>
      <c r="CV16" s="99" t="s">
        <v>201</v>
      </c>
      <c r="CW16" s="99" t="s">
        <v>201</v>
      </c>
      <c r="CX16" s="99" t="s">
        <v>201</v>
      </c>
      <c r="CY16" s="99" t="s">
        <v>201</v>
      </c>
      <c r="CZ16" s="99" t="s">
        <v>201</v>
      </c>
      <c r="DA16" s="99" t="s">
        <v>201</v>
      </c>
      <c r="DB16" s="99" t="s">
        <v>201</v>
      </c>
      <c r="DC16" s="99" t="s">
        <v>201</v>
      </c>
      <c r="DD16" s="99" t="s">
        <v>201</v>
      </c>
      <c r="DE16" s="99" t="s">
        <v>201</v>
      </c>
      <c r="DF16" s="99" t="s">
        <v>201</v>
      </c>
      <c r="DG16" s="99" t="s">
        <v>201</v>
      </c>
      <c r="DH16" s="99" t="s">
        <v>201</v>
      </c>
      <c r="DI16" s="99" t="s">
        <v>201</v>
      </c>
      <c r="DJ16" s="99" t="s">
        <v>201</v>
      </c>
      <c r="DK16" s="99"/>
      <c r="DL16" s="99" t="s">
        <v>202</v>
      </c>
      <c r="DM16" s="99" t="s">
        <v>201</v>
      </c>
      <c r="DN16" s="99" t="s">
        <v>201</v>
      </c>
      <c r="DO16" s="99" t="s">
        <v>201</v>
      </c>
      <c r="DP16" s="99" t="s">
        <v>201</v>
      </c>
      <c r="DQ16" s="99" t="s">
        <v>201</v>
      </c>
      <c r="DR16" s="99" t="s">
        <v>201</v>
      </c>
      <c r="DS16" s="99" t="s">
        <v>201</v>
      </c>
      <c r="DT16" s="99" t="s">
        <v>201</v>
      </c>
      <c r="DU16" s="99" t="s">
        <v>201</v>
      </c>
      <c r="DV16" s="99" t="s">
        <v>201</v>
      </c>
      <c r="DW16" s="99" t="s">
        <v>201</v>
      </c>
      <c r="DX16" s="99" t="s">
        <v>201</v>
      </c>
      <c r="DY16" s="99" t="s">
        <v>201</v>
      </c>
      <c r="DZ16" s="99" t="s">
        <v>201</v>
      </c>
      <c r="EA16" s="99"/>
      <c r="EB16" s="99" t="s">
        <v>202</v>
      </c>
      <c r="EC16" s="99" t="s">
        <v>201</v>
      </c>
      <c r="ED16" s="99" t="s">
        <v>201</v>
      </c>
      <c r="EE16" s="99" t="s">
        <v>201</v>
      </c>
      <c r="EF16" s="99" t="s">
        <v>201</v>
      </c>
      <c r="EG16" s="99" t="s">
        <v>201</v>
      </c>
      <c r="EH16" s="100" t="s">
        <v>201</v>
      </c>
    </row>
    <row r="17" spans="1:138" ht="23.25" customHeight="1" x14ac:dyDescent="0.25">
      <c r="A17" s="101" t="s">
        <v>17</v>
      </c>
      <c r="B17" s="90" t="s">
        <v>193</v>
      </c>
      <c r="C17" s="90" t="s">
        <v>194</v>
      </c>
      <c r="D17" s="90" t="s">
        <v>195</v>
      </c>
      <c r="E17" s="90" t="s">
        <v>30</v>
      </c>
      <c r="F17" s="90" t="s">
        <v>196</v>
      </c>
      <c r="G17" s="90" t="s">
        <v>200</v>
      </c>
      <c r="H17" s="90" t="s">
        <v>196</v>
      </c>
      <c r="I17" s="90" t="s">
        <v>196</v>
      </c>
      <c r="J17" s="90" t="s">
        <v>195</v>
      </c>
      <c r="K17" s="90" t="s">
        <v>196</v>
      </c>
      <c r="L17" s="90" t="s">
        <v>195</v>
      </c>
      <c r="M17" s="90" t="s">
        <v>196</v>
      </c>
      <c r="N17" s="90" t="s">
        <v>196</v>
      </c>
      <c r="O17" s="90" t="s">
        <v>30</v>
      </c>
      <c r="P17" s="90" t="s">
        <v>195</v>
      </c>
      <c r="Q17" s="90" t="s">
        <v>195</v>
      </c>
      <c r="R17" s="90" t="s">
        <v>30</v>
      </c>
      <c r="S17" s="90" t="s">
        <v>30</v>
      </c>
      <c r="T17" s="90"/>
      <c r="U17" s="90" t="s">
        <v>194</v>
      </c>
      <c r="V17" s="90" t="s">
        <v>195</v>
      </c>
      <c r="W17" s="90" t="s">
        <v>195</v>
      </c>
      <c r="X17" s="90" t="s">
        <v>30</v>
      </c>
      <c r="Y17" s="90" t="s">
        <v>196</v>
      </c>
      <c r="Z17" s="90" t="s">
        <v>208</v>
      </c>
      <c r="AA17" s="90" t="s">
        <v>200</v>
      </c>
      <c r="AB17" s="90" t="s">
        <v>200</v>
      </c>
      <c r="AC17" s="90" t="s">
        <v>200</v>
      </c>
      <c r="AD17" s="90" t="s">
        <v>200</v>
      </c>
      <c r="AE17" s="90" t="s">
        <v>201</v>
      </c>
      <c r="AF17" s="90" t="s">
        <v>201</v>
      </c>
      <c r="AG17" s="90" t="s">
        <v>201</v>
      </c>
      <c r="AH17" s="90" t="s">
        <v>201</v>
      </c>
      <c r="AI17" s="90" t="s">
        <v>194</v>
      </c>
      <c r="AJ17" s="90" t="s">
        <v>30</v>
      </c>
      <c r="AK17" s="90" t="s">
        <v>196</v>
      </c>
      <c r="AL17" s="90" t="s">
        <v>195</v>
      </c>
      <c r="AM17" s="90"/>
      <c r="AN17" s="90" t="s">
        <v>194</v>
      </c>
      <c r="AO17" s="90" t="s">
        <v>197</v>
      </c>
      <c r="AP17" s="90" t="s">
        <v>195</v>
      </c>
      <c r="AQ17" s="90" t="s">
        <v>195</v>
      </c>
      <c r="AR17" s="90" t="s">
        <v>30</v>
      </c>
      <c r="AS17" s="90" t="s">
        <v>196</v>
      </c>
      <c r="AT17" s="90" t="s">
        <v>30</v>
      </c>
      <c r="AU17" s="90" t="s">
        <v>30</v>
      </c>
      <c r="AV17" s="90" t="s">
        <v>30</v>
      </c>
      <c r="AW17" s="90" t="s">
        <v>30</v>
      </c>
      <c r="AX17" s="90" t="s">
        <v>195</v>
      </c>
      <c r="AY17" s="90"/>
      <c r="AZ17" s="90" t="s">
        <v>194</v>
      </c>
      <c r="BA17" s="90" t="s">
        <v>194</v>
      </c>
      <c r="BB17" s="90" t="s">
        <v>30</v>
      </c>
      <c r="BC17" s="90" t="s">
        <v>196</v>
      </c>
      <c r="BD17" s="90" t="s">
        <v>30</v>
      </c>
      <c r="BE17" s="90" t="s">
        <v>30</v>
      </c>
      <c r="BF17" s="90" t="s">
        <v>30</v>
      </c>
      <c r="BG17" s="90" t="s">
        <v>30</v>
      </c>
      <c r="BH17" s="90" t="s">
        <v>196</v>
      </c>
      <c r="BI17" s="90" t="s">
        <v>195</v>
      </c>
      <c r="BJ17" s="90" t="s">
        <v>195</v>
      </c>
      <c r="BK17" s="90" t="s">
        <v>197</v>
      </c>
      <c r="BL17" s="90" t="s">
        <v>195</v>
      </c>
      <c r="BM17" s="90" t="s">
        <v>195</v>
      </c>
      <c r="BN17" s="90" t="s">
        <v>30</v>
      </c>
      <c r="BO17" s="90" t="s">
        <v>30</v>
      </c>
      <c r="BP17" s="90" t="s">
        <v>30</v>
      </c>
      <c r="BQ17" s="90" t="s">
        <v>30</v>
      </c>
      <c r="BR17" s="90" t="s">
        <v>195</v>
      </c>
      <c r="BS17" s="90" t="s">
        <v>195</v>
      </c>
      <c r="BT17" s="90"/>
      <c r="BU17" s="90" t="s">
        <v>203</v>
      </c>
      <c r="BV17" s="90" t="s">
        <v>203</v>
      </c>
      <c r="BW17" s="90" t="s">
        <v>203</v>
      </c>
      <c r="BX17" s="90" t="s">
        <v>203</v>
      </c>
      <c r="BY17" s="90" t="s">
        <v>203</v>
      </c>
      <c r="BZ17" s="90" t="s">
        <v>203</v>
      </c>
      <c r="CA17" s="90" t="s">
        <v>203</v>
      </c>
      <c r="CB17" s="90"/>
      <c r="CC17" s="90" t="s">
        <v>204</v>
      </c>
      <c r="CD17" s="90"/>
      <c r="CE17" s="90" t="s">
        <v>194</v>
      </c>
      <c r="CF17" s="90"/>
      <c r="CG17" s="90"/>
      <c r="CH17" s="90"/>
      <c r="CI17" s="90" t="s">
        <v>202</v>
      </c>
      <c r="CJ17" s="90" t="s">
        <v>201</v>
      </c>
      <c r="CK17" s="90" t="s">
        <v>201</v>
      </c>
      <c r="CL17" s="90" t="s">
        <v>201</v>
      </c>
      <c r="CM17" s="90" t="s">
        <v>201</v>
      </c>
      <c r="CN17" s="90" t="s">
        <v>201</v>
      </c>
      <c r="CO17" s="90" t="s">
        <v>201</v>
      </c>
      <c r="CP17" s="90" t="s">
        <v>201</v>
      </c>
      <c r="CQ17" s="90" t="s">
        <v>201</v>
      </c>
      <c r="CR17" s="90" t="s">
        <v>201</v>
      </c>
      <c r="CS17" s="90" t="s">
        <v>201</v>
      </c>
      <c r="CT17" s="90" t="s">
        <v>201</v>
      </c>
      <c r="CU17" s="90" t="s">
        <v>201</v>
      </c>
      <c r="CV17" s="90" t="s">
        <v>201</v>
      </c>
      <c r="CW17" s="90" t="s">
        <v>201</v>
      </c>
      <c r="CX17" s="90" t="s">
        <v>201</v>
      </c>
      <c r="CY17" s="90" t="s">
        <v>201</v>
      </c>
      <c r="CZ17" s="90" t="s">
        <v>201</v>
      </c>
      <c r="DA17" s="90" t="s">
        <v>201</v>
      </c>
      <c r="DB17" s="90" t="s">
        <v>201</v>
      </c>
      <c r="DC17" s="90" t="s">
        <v>201</v>
      </c>
      <c r="DD17" s="90" t="s">
        <v>201</v>
      </c>
      <c r="DE17" s="90" t="s">
        <v>201</v>
      </c>
      <c r="DF17" s="90" t="s">
        <v>201</v>
      </c>
      <c r="DG17" s="90" t="s">
        <v>201</v>
      </c>
      <c r="DH17" s="90" t="s">
        <v>201</v>
      </c>
      <c r="DI17" s="90" t="s">
        <v>201</v>
      </c>
      <c r="DJ17" s="90" t="s">
        <v>201</v>
      </c>
      <c r="DK17" s="90"/>
      <c r="DL17" s="90" t="s">
        <v>202</v>
      </c>
      <c r="DM17" s="90" t="s">
        <v>201</v>
      </c>
      <c r="DN17" s="90" t="s">
        <v>201</v>
      </c>
      <c r="DO17" s="90" t="s">
        <v>201</v>
      </c>
      <c r="DP17" s="90" t="s">
        <v>201</v>
      </c>
      <c r="DQ17" s="90" t="s">
        <v>201</v>
      </c>
      <c r="DR17" s="90" t="s">
        <v>201</v>
      </c>
      <c r="DS17" s="90" t="s">
        <v>201</v>
      </c>
      <c r="DT17" s="90" t="s">
        <v>201</v>
      </c>
      <c r="DU17" s="90" t="s">
        <v>201</v>
      </c>
      <c r="DV17" s="90" t="s">
        <v>201</v>
      </c>
      <c r="DW17" s="90" t="s">
        <v>201</v>
      </c>
      <c r="DX17" s="90" t="s">
        <v>201</v>
      </c>
      <c r="DY17" s="90" t="s">
        <v>201</v>
      </c>
      <c r="DZ17" s="90" t="s">
        <v>201</v>
      </c>
      <c r="EA17" s="90"/>
      <c r="EB17" s="90" t="s">
        <v>202</v>
      </c>
      <c r="EC17" s="90" t="s">
        <v>201</v>
      </c>
      <c r="ED17" s="90" t="s">
        <v>201</v>
      </c>
      <c r="EE17" s="90" t="s">
        <v>201</v>
      </c>
      <c r="EF17" s="90" t="s">
        <v>201</v>
      </c>
      <c r="EG17" s="90" t="s">
        <v>201</v>
      </c>
      <c r="EH17" s="102" t="s">
        <v>201</v>
      </c>
    </row>
    <row r="18" spans="1:138" ht="23.25" customHeight="1" x14ac:dyDescent="0.25">
      <c r="A18" s="98" t="s">
        <v>17</v>
      </c>
      <c r="B18" s="99" t="s">
        <v>193</v>
      </c>
      <c r="C18" s="99" t="s">
        <v>194</v>
      </c>
      <c r="D18" s="99" t="s">
        <v>195</v>
      </c>
      <c r="E18" s="99" t="s">
        <v>30</v>
      </c>
      <c r="F18" s="99" t="s">
        <v>30</v>
      </c>
      <c r="G18" s="99" t="s">
        <v>196</v>
      </c>
      <c r="H18" s="99" t="s">
        <v>30</v>
      </c>
      <c r="I18" s="99" t="s">
        <v>30</v>
      </c>
      <c r="J18" s="99" t="s">
        <v>30</v>
      </c>
      <c r="K18" s="99" t="s">
        <v>196</v>
      </c>
      <c r="L18" s="99" t="s">
        <v>196</v>
      </c>
      <c r="M18" s="99" t="s">
        <v>200</v>
      </c>
      <c r="N18" s="99" t="s">
        <v>200</v>
      </c>
      <c r="O18" s="99" t="s">
        <v>196</v>
      </c>
      <c r="P18" s="99" t="s">
        <v>195</v>
      </c>
      <c r="Q18" s="99" t="s">
        <v>30</v>
      </c>
      <c r="R18" s="99" t="s">
        <v>30</v>
      </c>
      <c r="S18" s="99" t="s">
        <v>195</v>
      </c>
      <c r="T18" s="99"/>
      <c r="U18" s="99" t="s">
        <v>194</v>
      </c>
      <c r="V18" s="99" t="s">
        <v>30</v>
      </c>
      <c r="W18" s="99" t="s">
        <v>195</v>
      </c>
      <c r="X18" s="99" t="s">
        <v>196</v>
      </c>
      <c r="Y18" s="99" t="s">
        <v>30</v>
      </c>
      <c r="Z18" s="99" t="s">
        <v>208</v>
      </c>
      <c r="AA18" s="99" t="s">
        <v>198</v>
      </c>
      <c r="AB18" s="99" t="s">
        <v>198</v>
      </c>
      <c r="AC18" s="99" t="s">
        <v>195</v>
      </c>
      <c r="AD18" s="99" t="s">
        <v>198</v>
      </c>
      <c r="AE18" s="99" t="s">
        <v>201</v>
      </c>
      <c r="AF18" s="99" t="s">
        <v>201</v>
      </c>
      <c r="AG18" s="99" t="s">
        <v>201</v>
      </c>
      <c r="AH18" s="99" t="s">
        <v>201</v>
      </c>
      <c r="AI18" s="99" t="s">
        <v>194</v>
      </c>
      <c r="AJ18" s="99" t="s">
        <v>198</v>
      </c>
      <c r="AK18" s="99" t="s">
        <v>197</v>
      </c>
      <c r="AL18" s="99" t="s">
        <v>198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198</v>
      </c>
      <c r="AS18" s="99" t="s">
        <v>30</v>
      </c>
      <c r="AT18" s="99" t="s">
        <v>198</v>
      </c>
      <c r="AU18" s="99" t="s">
        <v>195</v>
      </c>
      <c r="AV18" s="99" t="s">
        <v>198</v>
      </c>
      <c r="AW18" s="99" t="s">
        <v>198</v>
      </c>
      <c r="AX18" s="99" t="s">
        <v>30</v>
      </c>
      <c r="AY18" s="99"/>
      <c r="AZ18" s="99" t="s">
        <v>202</v>
      </c>
      <c r="BA18" s="99" t="s">
        <v>202</v>
      </c>
      <c r="BB18" s="99" t="s">
        <v>201</v>
      </c>
      <c r="BC18" s="99" t="s">
        <v>201</v>
      </c>
      <c r="BD18" s="99" t="s">
        <v>201</v>
      </c>
      <c r="BE18" s="99" t="s">
        <v>201</v>
      </c>
      <c r="BF18" s="99" t="s">
        <v>201</v>
      </c>
      <c r="BG18" s="99" t="s">
        <v>201</v>
      </c>
      <c r="BH18" s="99" t="s">
        <v>201</v>
      </c>
      <c r="BI18" s="99" t="s">
        <v>201</v>
      </c>
      <c r="BJ18" s="99" t="s">
        <v>201</v>
      </c>
      <c r="BK18" s="99" t="s">
        <v>201</v>
      </c>
      <c r="BL18" s="99" t="s">
        <v>201</v>
      </c>
      <c r="BM18" s="99" t="s">
        <v>201</v>
      </c>
      <c r="BN18" s="99" t="s">
        <v>201</v>
      </c>
      <c r="BO18" s="99" t="s">
        <v>201</v>
      </c>
      <c r="BP18" s="99" t="s">
        <v>201</v>
      </c>
      <c r="BQ18" s="99" t="s">
        <v>201</v>
      </c>
      <c r="BR18" s="99" t="s">
        <v>201</v>
      </c>
      <c r="BS18" s="99" t="s">
        <v>201</v>
      </c>
      <c r="BT18" s="99"/>
      <c r="BU18" s="99" t="s">
        <v>203</v>
      </c>
      <c r="BV18" s="99" t="s">
        <v>203</v>
      </c>
      <c r="BW18" s="99" t="s">
        <v>203</v>
      </c>
      <c r="BX18" s="99" t="s">
        <v>203</v>
      </c>
      <c r="BY18" s="99" t="s">
        <v>203</v>
      </c>
      <c r="BZ18" s="99" t="s">
        <v>203</v>
      </c>
      <c r="CA18" s="99" t="s">
        <v>203</v>
      </c>
      <c r="CB18" s="99"/>
      <c r="CC18" s="99" t="s">
        <v>204</v>
      </c>
      <c r="CD18" s="99"/>
      <c r="CE18" s="99" t="s">
        <v>194</v>
      </c>
      <c r="CF18" s="99"/>
      <c r="CG18" s="99"/>
      <c r="CH18" s="99"/>
      <c r="CI18" s="99" t="s">
        <v>194</v>
      </c>
      <c r="CJ18" s="99" t="s">
        <v>195</v>
      </c>
      <c r="CK18" s="99" t="s">
        <v>198</v>
      </c>
      <c r="CL18" s="99" t="s">
        <v>195</v>
      </c>
      <c r="CM18" s="99" t="s">
        <v>196</v>
      </c>
      <c r="CN18" s="99" t="s">
        <v>196</v>
      </c>
      <c r="CO18" s="99" t="s">
        <v>196</v>
      </c>
      <c r="CP18" s="99" t="s">
        <v>30</v>
      </c>
      <c r="CQ18" s="99" t="s">
        <v>195</v>
      </c>
      <c r="CR18" s="99" t="s">
        <v>196</v>
      </c>
      <c r="CS18" s="99" t="s">
        <v>198</v>
      </c>
      <c r="CT18" s="99" t="s">
        <v>198</v>
      </c>
      <c r="CU18" s="99" t="s">
        <v>195</v>
      </c>
      <c r="CV18" s="99" t="s">
        <v>197</v>
      </c>
      <c r="CW18" s="99" t="s">
        <v>195</v>
      </c>
      <c r="CX18" s="99" t="s">
        <v>200</v>
      </c>
      <c r="CY18" s="99" t="s">
        <v>30</v>
      </c>
      <c r="CZ18" s="99" t="s">
        <v>198</v>
      </c>
      <c r="DA18" s="99" t="s">
        <v>198</v>
      </c>
      <c r="DB18" s="99" t="s">
        <v>195</v>
      </c>
      <c r="DC18" s="99" t="s">
        <v>195</v>
      </c>
      <c r="DD18" s="99" t="s">
        <v>195</v>
      </c>
      <c r="DE18" s="99" t="s">
        <v>198</v>
      </c>
      <c r="DF18" s="99" t="s">
        <v>198</v>
      </c>
      <c r="DG18" s="99" t="s">
        <v>195</v>
      </c>
      <c r="DH18" s="99" t="s">
        <v>30</v>
      </c>
      <c r="DI18" s="99" t="s">
        <v>195</v>
      </c>
      <c r="DJ18" s="99" t="s">
        <v>195</v>
      </c>
      <c r="DK18" s="99"/>
      <c r="DL18" s="99" t="s">
        <v>202</v>
      </c>
      <c r="DM18" s="99" t="s">
        <v>201</v>
      </c>
      <c r="DN18" s="99" t="s">
        <v>201</v>
      </c>
      <c r="DO18" s="99" t="s">
        <v>201</v>
      </c>
      <c r="DP18" s="99" t="s">
        <v>201</v>
      </c>
      <c r="DQ18" s="99" t="s">
        <v>201</v>
      </c>
      <c r="DR18" s="99" t="s">
        <v>201</v>
      </c>
      <c r="DS18" s="99" t="s">
        <v>201</v>
      </c>
      <c r="DT18" s="99" t="s">
        <v>201</v>
      </c>
      <c r="DU18" s="99" t="s">
        <v>201</v>
      </c>
      <c r="DV18" s="99" t="s">
        <v>201</v>
      </c>
      <c r="DW18" s="99" t="s">
        <v>201</v>
      </c>
      <c r="DX18" s="99" t="s">
        <v>201</v>
      </c>
      <c r="DY18" s="99" t="s">
        <v>201</v>
      </c>
      <c r="DZ18" s="99" t="s">
        <v>201</v>
      </c>
      <c r="EA18" s="99"/>
      <c r="EB18" s="99" t="s">
        <v>194</v>
      </c>
      <c r="EC18" s="99" t="s">
        <v>196</v>
      </c>
      <c r="ED18" s="99" t="s">
        <v>30</v>
      </c>
      <c r="EE18" s="99" t="s">
        <v>197</v>
      </c>
      <c r="EF18" s="99" t="s">
        <v>195</v>
      </c>
      <c r="EG18" s="99" t="s">
        <v>195</v>
      </c>
      <c r="EH18" s="100" t="s">
        <v>30</v>
      </c>
    </row>
    <row r="19" spans="1:138" ht="23.25" customHeight="1" x14ac:dyDescent="0.25">
      <c r="A19" s="101" t="s">
        <v>16</v>
      </c>
      <c r="B19" s="90" t="s">
        <v>193</v>
      </c>
      <c r="C19" s="90" t="s">
        <v>202</v>
      </c>
      <c r="D19" s="90" t="s">
        <v>201</v>
      </c>
      <c r="E19" s="90" t="s">
        <v>201</v>
      </c>
      <c r="F19" s="90" t="s">
        <v>201</v>
      </c>
      <c r="G19" s="90" t="s">
        <v>201</v>
      </c>
      <c r="H19" s="90" t="s">
        <v>201</v>
      </c>
      <c r="I19" s="90" t="s">
        <v>201</v>
      </c>
      <c r="J19" s="90" t="s">
        <v>201</v>
      </c>
      <c r="K19" s="90" t="s">
        <v>201</v>
      </c>
      <c r="L19" s="90" t="s">
        <v>201</v>
      </c>
      <c r="M19" s="90" t="s">
        <v>201</v>
      </c>
      <c r="N19" s="90" t="s">
        <v>201</v>
      </c>
      <c r="O19" s="90" t="s">
        <v>201</v>
      </c>
      <c r="P19" s="90" t="s">
        <v>201</v>
      </c>
      <c r="Q19" s="90" t="s">
        <v>201</v>
      </c>
      <c r="R19" s="90" t="s">
        <v>201</v>
      </c>
      <c r="S19" s="90" t="s">
        <v>201</v>
      </c>
      <c r="T19" s="90"/>
      <c r="U19" s="90" t="s">
        <v>202</v>
      </c>
      <c r="V19" s="90" t="s">
        <v>201</v>
      </c>
      <c r="W19" s="90" t="s">
        <v>201</v>
      </c>
      <c r="X19" s="90" t="s">
        <v>201</v>
      </c>
      <c r="Y19" s="90" t="s">
        <v>201</v>
      </c>
      <c r="Z19" s="90" t="s">
        <v>199</v>
      </c>
      <c r="AA19" s="90" t="s">
        <v>201</v>
      </c>
      <c r="AB19" s="90" t="s">
        <v>201</v>
      </c>
      <c r="AC19" s="90" t="s">
        <v>201</v>
      </c>
      <c r="AD19" s="90" t="s">
        <v>201</v>
      </c>
      <c r="AE19" s="90" t="s">
        <v>201</v>
      </c>
      <c r="AF19" s="90" t="s">
        <v>201</v>
      </c>
      <c r="AG19" s="90" t="s">
        <v>201</v>
      </c>
      <c r="AH19" s="90" t="s">
        <v>201</v>
      </c>
      <c r="AI19" s="90" t="s">
        <v>202</v>
      </c>
      <c r="AJ19" s="90" t="s">
        <v>201</v>
      </c>
      <c r="AK19" s="90" t="s">
        <v>201</v>
      </c>
      <c r="AL19" s="90" t="s">
        <v>201</v>
      </c>
      <c r="AM19" s="90"/>
      <c r="AN19" s="90" t="s">
        <v>202</v>
      </c>
      <c r="AO19" s="90" t="s">
        <v>201</v>
      </c>
      <c r="AP19" s="90" t="s">
        <v>201</v>
      </c>
      <c r="AQ19" s="90" t="s">
        <v>201</v>
      </c>
      <c r="AR19" s="90" t="s">
        <v>201</v>
      </c>
      <c r="AS19" s="90" t="s">
        <v>201</v>
      </c>
      <c r="AT19" s="90" t="s">
        <v>201</v>
      </c>
      <c r="AU19" s="90" t="s">
        <v>201</v>
      </c>
      <c r="AV19" s="90" t="s">
        <v>201</v>
      </c>
      <c r="AW19" s="90" t="s">
        <v>201</v>
      </c>
      <c r="AX19" s="90" t="s">
        <v>201</v>
      </c>
      <c r="AY19" s="90"/>
      <c r="AZ19" s="90" t="s">
        <v>202</v>
      </c>
      <c r="BA19" s="90" t="s">
        <v>202</v>
      </c>
      <c r="BB19" s="90" t="s">
        <v>201</v>
      </c>
      <c r="BC19" s="90" t="s">
        <v>201</v>
      </c>
      <c r="BD19" s="90" t="s">
        <v>201</v>
      </c>
      <c r="BE19" s="90" t="s">
        <v>201</v>
      </c>
      <c r="BF19" s="90" t="s">
        <v>201</v>
      </c>
      <c r="BG19" s="90" t="s">
        <v>201</v>
      </c>
      <c r="BH19" s="90" t="s">
        <v>201</v>
      </c>
      <c r="BI19" s="90" t="s">
        <v>201</v>
      </c>
      <c r="BJ19" s="90" t="s">
        <v>201</v>
      </c>
      <c r="BK19" s="90" t="s">
        <v>201</v>
      </c>
      <c r="BL19" s="90" t="s">
        <v>201</v>
      </c>
      <c r="BM19" s="90" t="s">
        <v>201</v>
      </c>
      <c r="BN19" s="90" t="s">
        <v>201</v>
      </c>
      <c r="BO19" s="90" t="s">
        <v>201</v>
      </c>
      <c r="BP19" s="90" t="s">
        <v>201</v>
      </c>
      <c r="BQ19" s="90" t="s">
        <v>201</v>
      </c>
      <c r="BR19" s="90" t="s">
        <v>201</v>
      </c>
      <c r="BS19" s="90" t="s">
        <v>201</v>
      </c>
      <c r="BT19" s="90"/>
      <c r="BU19" s="90" t="s">
        <v>203</v>
      </c>
      <c r="BV19" s="90" t="s">
        <v>203</v>
      </c>
      <c r="BW19" s="90" t="s">
        <v>203</v>
      </c>
      <c r="BX19" s="90" t="s">
        <v>203</v>
      </c>
      <c r="BY19" s="90" t="s">
        <v>203</v>
      </c>
      <c r="BZ19" s="90" t="s">
        <v>203</v>
      </c>
      <c r="CA19" s="90" t="s">
        <v>203</v>
      </c>
      <c r="CB19" s="90"/>
      <c r="CC19" s="90" t="s">
        <v>205</v>
      </c>
      <c r="CD19" s="90"/>
      <c r="CE19" s="90" t="s">
        <v>194</v>
      </c>
      <c r="CF19" s="90"/>
      <c r="CG19" s="90"/>
      <c r="CH19" s="90"/>
      <c r="CI19" s="90" t="s">
        <v>202</v>
      </c>
      <c r="CJ19" s="90" t="s">
        <v>201</v>
      </c>
      <c r="CK19" s="90" t="s">
        <v>201</v>
      </c>
      <c r="CL19" s="90" t="s">
        <v>201</v>
      </c>
      <c r="CM19" s="90" t="s">
        <v>201</v>
      </c>
      <c r="CN19" s="90" t="s">
        <v>201</v>
      </c>
      <c r="CO19" s="90" t="s">
        <v>201</v>
      </c>
      <c r="CP19" s="90" t="s">
        <v>201</v>
      </c>
      <c r="CQ19" s="90" t="s">
        <v>201</v>
      </c>
      <c r="CR19" s="90" t="s">
        <v>201</v>
      </c>
      <c r="CS19" s="90" t="s">
        <v>201</v>
      </c>
      <c r="CT19" s="90" t="s">
        <v>201</v>
      </c>
      <c r="CU19" s="90" t="s">
        <v>201</v>
      </c>
      <c r="CV19" s="90" t="s">
        <v>201</v>
      </c>
      <c r="CW19" s="90" t="s">
        <v>201</v>
      </c>
      <c r="CX19" s="90" t="s">
        <v>201</v>
      </c>
      <c r="CY19" s="90" t="s">
        <v>201</v>
      </c>
      <c r="CZ19" s="90" t="s">
        <v>201</v>
      </c>
      <c r="DA19" s="90" t="s">
        <v>201</v>
      </c>
      <c r="DB19" s="90" t="s">
        <v>201</v>
      </c>
      <c r="DC19" s="90" t="s">
        <v>201</v>
      </c>
      <c r="DD19" s="90" t="s">
        <v>201</v>
      </c>
      <c r="DE19" s="90" t="s">
        <v>201</v>
      </c>
      <c r="DF19" s="90" t="s">
        <v>201</v>
      </c>
      <c r="DG19" s="90" t="s">
        <v>201</v>
      </c>
      <c r="DH19" s="90" t="s">
        <v>201</v>
      </c>
      <c r="DI19" s="90" t="s">
        <v>201</v>
      </c>
      <c r="DJ19" s="90" t="s">
        <v>201</v>
      </c>
      <c r="DK19" s="90"/>
      <c r="DL19" s="90" t="s">
        <v>202</v>
      </c>
      <c r="DM19" s="90" t="s">
        <v>201</v>
      </c>
      <c r="DN19" s="90" t="s">
        <v>201</v>
      </c>
      <c r="DO19" s="90" t="s">
        <v>201</v>
      </c>
      <c r="DP19" s="90" t="s">
        <v>201</v>
      </c>
      <c r="DQ19" s="90" t="s">
        <v>201</v>
      </c>
      <c r="DR19" s="90" t="s">
        <v>201</v>
      </c>
      <c r="DS19" s="90" t="s">
        <v>201</v>
      </c>
      <c r="DT19" s="90" t="s">
        <v>201</v>
      </c>
      <c r="DU19" s="90" t="s">
        <v>201</v>
      </c>
      <c r="DV19" s="90" t="s">
        <v>201</v>
      </c>
      <c r="DW19" s="90" t="s">
        <v>201</v>
      </c>
      <c r="DX19" s="90" t="s">
        <v>201</v>
      </c>
      <c r="DY19" s="90" t="s">
        <v>201</v>
      </c>
      <c r="DZ19" s="90" t="s">
        <v>201</v>
      </c>
      <c r="EA19" s="90"/>
      <c r="EB19" s="90" t="s">
        <v>202</v>
      </c>
      <c r="EC19" s="90" t="s">
        <v>201</v>
      </c>
      <c r="ED19" s="90" t="s">
        <v>201</v>
      </c>
      <c r="EE19" s="90" t="s">
        <v>201</v>
      </c>
      <c r="EF19" s="90" t="s">
        <v>201</v>
      </c>
      <c r="EG19" s="90" t="s">
        <v>201</v>
      </c>
      <c r="EH19" s="102" t="s">
        <v>201</v>
      </c>
    </row>
    <row r="20" spans="1:138" ht="23.25" customHeight="1" x14ac:dyDescent="0.25">
      <c r="A20" s="98" t="s">
        <v>17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195</v>
      </c>
      <c r="H20" s="99" t="s">
        <v>198</v>
      </c>
      <c r="I20" s="99" t="s">
        <v>198</v>
      </c>
      <c r="J20" s="99" t="s">
        <v>195</v>
      </c>
      <c r="K20" s="99" t="s">
        <v>195</v>
      </c>
      <c r="L20" s="99" t="s">
        <v>195</v>
      </c>
      <c r="M20" s="99" t="s">
        <v>30</v>
      </c>
      <c r="N20" s="99" t="s">
        <v>30</v>
      </c>
      <c r="O20" s="99" t="s">
        <v>30</v>
      </c>
      <c r="P20" s="99" t="s">
        <v>195</v>
      </c>
      <c r="Q20" s="99" t="s">
        <v>195</v>
      </c>
      <c r="R20" s="99" t="s">
        <v>195</v>
      </c>
      <c r="S20" s="99" t="s">
        <v>195</v>
      </c>
      <c r="T20" s="99"/>
      <c r="U20" s="99" t="s">
        <v>194</v>
      </c>
      <c r="V20" s="99" t="s">
        <v>198</v>
      </c>
      <c r="W20" s="99" t="s">
        <v>195</v>
      </c>
      <c r="X20" s="99" t="s">
        <v>195</v>
      </c>
      <c r="Y20" s="99" t="s">
        <v>195</v>
      </c>
      <c r="Z20" s="99" t="s">
        <v>208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201</v>
      </c>
      <c r="AF20" s="99" t="s">
        <v>201</v>
      </c>
      <c r="AG20" s="99" t="s">
        <v>201</v>
      </c>
      <c r="AH20" s="99" t="s">
        <v>201</v>
      </c>
      <c r="AI20" s="99" t="s">
        <v>194</v>
      </c>
      <c r="AJ20" s="99" t="s">
        <v>30</v>
      </c>
      <c r="AK20" s="99" t="s">
        <v>30</v>
      </c>
      <c r="AL20" s="99" t="s">
        <v>195</v>
      </c>
      <c r="AM20" s="99"/>
      <c r="AN20" s="99" t="s">
        <v>194</v>
      </c>
      <c r="AO20" s="99" t="s">
        <v>195</v>
      </c>
      <c r="AP20" s="99" t="s">
        <v>198</v>
      </c>
      <c r="AQ20" s="99" t="s">
        <v>195</v>
      </c>
      <c r="AR20" s="99" t="s">
        <v>195</v>
      </c>
      <c r="AS20" s="99" t="s">
        <v>198</v>
      </c>
      <c r="AT20" s="99" t="s">
        <v>198</v>
      </c>
      <c r="AU20" s="99" t="s">
        <v>195</v>
      </c>
      <c r="AV20" s="99" t="s">
        <v>195</v>
      </c>
      <c r="AW20" s="99" t="s">
        <v>195</v>
      </c>
      <c r="AX20" s="99" t="s">
        <v>195</v>
      </c>
      <c r="AY20" s="99"/>
      <c r="AZ20" s="99" t="s">
        <v>194</v>
      </c>
      <c r="BA20" s="99" t="s">
        <v>194</v>
      </c>
      <c r="BB20" s="99" t="s">
        <v>30</v>
      </c>
      <c r="BC20" s="99" t="s">
        <v>195</v>
      </c>
      <c r="BD20" s="99" t="s">
        <v>195</v>
      </c>
      <c r="BE20" s="99" t="s">
        <v>195</v>
      </c>
      <c r="BF20" s="99" t="s">
        <v>195</v>
      </c>
      <c r="BG20" s="99" t="s">
        <v>195</v>
      </c>
      <c r="BH20" s="99" t="s">
        <v>198</v>
      </c>
      <c r="BI20" s="99" t="s">
        <v>195</v>
      </c>
      <c r="BJ20" s="99" t="s">
        <v>30</v>
      </c>
      <c r="BK20" s="99" t="s">
        <v>195</v>
      </c>
      <c r="BL20" s="99" t="s">
        <v>198</v>
      </c>
      <c r="BM20" s="99" t="s">
        <v>198</v>
      </c>
      <c r="BN20" s="99" t="s">
        <v>195</v>
      </c>
      <c r="BO20" s="99" t="s">
        <v>30</v>
      </c>
      <c r="BP20" s="99" t="s">
        <v>195</v>
      </c>
      <c r="BQ20" s="99" t="s">
        <v>198</v>
      </c>
      <c r="BR20" s="99" t="s">
        <v>198</v>
      </c>
      <c r="BS20" s="99" t="s">
        <v>195</v>
      </c>
      <c r="BT20" s="99"/>
      <c r="BU20" s="99" t="s">
        <v>195</v>
      </c>
      <c r="BV20" s="99" t="s">
        <v>195</v>
      </c>
      <c r="BW20" s="99" t="s">
        <v>198</v>
      </c>
      <c r="BX20" s="99" t="s">
        <v>195</v>
      </c>
      <c r="BY20" s="99" t="s">
        <v>195</v>
      </c>
      <c r="BZ20" s="99" t="s">
        <v>195</v>
      </c>
      <c r="CA20" s="99" t="s">
        <v>195</v>
      </c>
      <c r="CB20" s="99"/>
      <c r="CC20" s="99" t="s">
        <v>206</v>
      </c>
      <c r="CD20" s="99"/>
      <c r="CE20" s="99" t="s">
        <v>194</v>
      </c>
      <c r="CF20" s="99"/>
      <c r="CG20" s="99"/>
      <c r="CH20" s="99"/>
      <c r="CI20" s="99" t="s">
        <v>202</v>
      </c>
      <c r="CJ20" s="99" t="s">
        <v>201</v>
      </c>
      <c r="CK20" s="99" t="s">
        <v>201</v>
      </c>
      <c r="CL20" s="99" t="s">
        <v>201</v>
      </c>
      <c r="CM20" s="99" t="s">
        <v>201</v>
      </c>
      <c r="CN20" s="99" t="s">
        <v>201</v>
      </c>
      <c r="CO20" s="99" t="s">
        <v>201</v>
      </c>
      <c r="CP20" s="99" t="s">
        <v>201</v>
      </c>
      <c r="CQ20" s="99" t="s">
        <v>201</v>
      </c>
      <c r="CR20" s="99" t="s">
        <v>201</v>
      </c>
      <c r="CS20" s="99" t="s">
        <v>201</v>
      </c>
      <c r="CT20" s="99" t="s">
        <v>201</v>
      </c>
      <c r="CU20" s="99" t="s">
        <v>201</v>
      </c>
      <c r="CV20" s="99" t="s">
        <v>201</v>
      </c>
      <c r="CW20" s="99" t="s">
        <v>201</v>
      </c>
      <c r="CX20" s="99" t="s">
        <v>201</v>
      </c>
      <c r="CY20" s="99" t="s">
        <v>201</v>
      </c>
      <c r="CZ20" s="99" t="s">
        <v>201</v>
      </c>
      <c r="DA20" s="99" t="s">
        <v>201</v>
      </c>
      <c r="DB20" s="99" t="s">
        <v>201</v>
      </c>
      <c r="DC20" s="99" t="s">
        <v>201</v>
      </c>
      <c r="DD20" s="99" t="s">
        <v>201</v>
      </c>
      <c r="DE20" s="99" t="s">
        <v>201</v>
      </c>
      <c r="DF20" s="99" t="s">
        <v>201</v>
      </c>
      <c r="DG20" s="99" t="s">
        <v>201</v>
      </c>
      <c r="DH20" s="99" t="s">
        <v>201</v>
      </c>
      <c r="DI20" s="99" t="s">
        <v>201</v>
      </c>
      <c r="DJ20" s="99" t="s">
        <v>201</v>
      </c>
      <c r="DK20" s="99"/>
      <c r="DL20" s="99" t="s">
        <v>202</v>
      </c>
      <c r="DM20" s="99" t="s">
        <v>201</v>
      </c>
      <c r="DN20" s="99" t="s">
        <v>201</v>
      </c>
      <c r="DO20" s="99" t="s">
        <v>201</v>
      </c>
      <c r="DP20" s="99" t="s">
        <v>201</v>
      </c>
      <c r="DQ20" s="99" t="s">
        <v>201</v>
      </c>
      <c r="DR20" s="99" t="s">
        <v>201</v>
      </c>
      <c r="DS20" s="99" t="s">
        <v>201</v>
      </c>
      <c r="DT20" s="99" t="s">
        <v>201</v>
      </c>
      <c r="DU20" s="99" t="s">
        <v>201</v>
      </c>
      <c r="DV20" s="99" t="s">
        <v>201</v>
      </c>
      <c r="DW20" s="99" t="s">
        <v>201</v>
      </c>
      <c r="DX20" s="99" t="s">
        <v>201</v>
      </c>
      <c r="DY20" s="99" t="s">
        <v>201</v>
      </c>
      <c r="DZ20" s="99" t="s">
        <v>201</v>
      </c>
      <c r="EA20" s="99"/>
      <c r="EB20" s="99" t="s">
        <v>202</v>
      </c>
      <c r="EC20" s="99" t="s">
        <v>201</v>
      </c>
      <c r="ED20" s="99" t="s">
        <v>201</v>
      </c>
      <c r="EE20" s="99" t="s">
        <v>201</v>
      </c>
      <c r="EF20" s="99" t="s">
        <v>201</v>
      </c>
      <c r="EG20" s="99" t="s">
        <v>201</v>
      </c>
      <c r="EH20" s="100" t="s">
        <v>201</v>
      </c>
    </row>
    <row r="21" spans="1:138" ht="23.25" customHeight="1" x14ac:dyDescent="0.25">
      <c r="A21" s="101" t="s">
        <v>16</v>
      </c>
      <c r="B21" s="90" t="s">
        <v>193</v>
      </c>
      <c r="C21" s="90" t="s">
        <v>202</v>
      </c>
      <c r="D21" s="90" t="s">
        <v>201</v>
      </c>
      <c r="E21" s="90" t="s">
        <v>201</v>
      </c>
      <c r="F21" s="90" t="s">
        <v>201</v>
      </c>
      <c r="G21" s="90" t="s">
        <v>201</v>
      </c>
      <c r="H21" s="90" t="s">
        <v>201</v>
      </c>
      <c r="I21" s="90" t="s">
        <v>201</v>
      </c>
      <c r="J21" s="90" t="s">
        <v>201</v>
      </c>
      <c r="K21" s="90" t="s">
        <v>201</v>
      </c>
      <c r="L21" s="90" t="s">
        <v>201</v>
      </c>
      <c r="M21" s="90" t="s">
        <v>201</v>
      </c>
      <c r="N21" s="90" t="s">
        <v>201</v>
      </c>
      <c r="O21" s="90" t="s">
        <v>201</v>
      </c>
      <c r="P21" s="90" t="s">
        <v>201</v>
      </c>
      <c r="Q21" s="90" t="s">
        <v>201</v>
      </c>
      <c r="R21" s="90" t="s">
        <v>201</v>
      </c>
      <c r="S21" s="90" t="s">
        <v>201</v>
      </c>
      <c r="T21" s="90"/>
      <c r="U21" s="90" t="s">
        <v>202</v>
      </c>
      <c r="V21" s="90" t="s">
        <v>201</v>
      </c>
      <c r="W21" s="90" t="s">
        <v>201</v>
      </c>
      <c r="X21" s="90" t="s">
        <v>201</v>
      </c>
      <c r="Y21" s="90" t="s">
        <v>201</v>
      </c>
      <c r="Z21" s="90" t="s">
        <v>199</v>
      </c>
      <c r="AA21" s="90" t="s">
        <v>201</v>
      </c>
      <c r="AB21" s="90" t="s">
        <v>201</v>
      </c>
      <c r="AC21" s="90" t="s">
        <v>201</v>
      </c>
      <c r="AD21" s="90" t="s">
        <v>201</v>
      </c>
      <c r="AE21" s="90" t="s">
        <v>201</v>
      </c>
      <c r="AF21" s="90" t="s">
        <v>201</v>
      </c>
      <c r="AG21" s="90" t="s">
        <v>201</v>
      </c>
      <c r="AH21" s="90" t="s">
        <v>201</v>
      </c>
      <c r="AI21" s="90" t="s">
        <v>202</v>
      </c>
      <c r="AJ21" s="90" t="s">
        <v>201</v>
      </c>
      <c r="AK21" s="90" t="s">
        <v>201</v>
      </c>
      <c r="AL21" s="90" t="s">
        <v>201</v>
      </c>
      <c r="AM21" s="90"/>
      <c r="AN21" s="90" t="s">
        <v>202</v>
      </c>
      <c r="AO21" s="90" t="s">
        <v>201</v>
      </c>
      <c r="AP21" s="90" t="s">
        <v>201</v>
      </c>
      <c r="AQ21" s="90" t="s">
        <v>201</v>
      </c>
      <c r="AR21" s="90" t="s">
        <v>201</v>
      </c>
      <c r="AS21" s="90" t="s">
        <v>201</v>
      </c>
      <c r="AT21" s="90" t="s">
        <v>201</v>
      </c>
      <c r="AU21" s="90" t="s">
        <v>201</v>
      </c>
      <c r="AV21" s="90" t="s">
        <v>201</v>
      </c>
      <c r="AW21" s="90" t="s">
        <v>201</v>
      </c>
      <c r="AX21" s="90" t="s">
        <v>201</v>
      </c>
      <c r="AY21" s="90"/>
      <c r="AZ21" s="90" t="s">
        <v>202</v>
      </c>
      <c r="BA21" s="90" t="s">
        <v>202</v>
      </c>
      <c r="BB21" s="90" t="s">
        <v>201</v>
      </c>
      <c r="BC21" s="90" t="s">
        <v>201</v>
      </c>
      <c r="BD21" s="90" t="s">
        <v>201</v>
      </c>
      <c r="BE21" s="90" t="s">
        <v>201</v>
      </c>
      <c r="BF21" s="90" t="s">
        <v>201</v>
      </c>
      <c r="BG21" s="90" t="s">
        <v>201</v>
      </c>
      <c r="BH21" s="90" t="s">
        <v>201</v>
      </c>
      <c r="BI21" s="90" t="s">
        <v>201</v>
      </c>
      <c r="BJ21" s="90" t="s">
        <v>201</v>
      </c>
      <c r="BK21" s="90" t="s">
        <v>201</v>
      </c>
      <c r="BL21" s="90" t="s">
        <v>201</v>
      </c>
      <c r="BM21" s="90" t="s">
        <v>201</v>
      </c>
      <c r="BN21" s="90" t="s">
        <v>201</v>
      </c>
      <c r="BO21" s="90" t="s">
        <v>201</v>
      </c>
      <c r="BP21" s="90" t="s">
        <v>201</v>
      </c>
      <c r="BQ21" s="90" t="s">
        <v>201</v>
      </c>
      <c r="BR21" s="90" t="s">
        <v>201</v>
      </c>
      <c r="BS21" s="90" t="s">
        <v>201</v>
      </c>
      <c r="BT21" s="90"/>
      <c r="BU21" s="90" t="s">
        <v>195</v>
      </c>
      <c r="BV21" s="90" t="s">
        <v>30</v>
      </c>
      <c r="BW21" s="90" t="s">
        <v>195</v>
      </c>
      <c r="BX21" s="90" t="s">
        <v>195</v>
      </c>
      <c r="BY21" s="90" t="s">
        <v>195</v>
      </c>
      <c r="BZ21" s="90" t="s">
        <v>195</v>
      </c>
      <c r="CA21" s="90" t="s">
        <v>195</v>
      </c>
      <c r="CB21" s="90"/>
      <c r="CC21" s="90" t="s">
        <v>204</v>
      </c>
      <c r="CD21" s="90"/>
      <c r="CE21" s="90" t="s">
        <v>194</v>
      </c>
      <c r="CF21" s="90"/>
      <c r="CG21" s="90"/>
      <c r="CH21" s="90"/>
      <c r="CI21" s="90" t="s">
        <v>202</v>
      </c>
      <c r="CJ21" s="90" t="s">
        <v>201</v>
      </c>
      <c r="CK21" s="90" t="s">
        <v>201</v>
      </c>
      <c r="CL21" s="90" t="s">
        <v>201</v>
      </c>
      <c r="CM21" s="90" t="s">
        <v>201</v>
      </c>
      <c r="CN21" s="90" t="s">
        <v>201</v>
      </c>
      <c r="CO21" s="90" t="s">
        <v>201</v>
      </c>
      <c r="CP21" s="90" t="s">
        <v>201</v>
      </c>
      <c r="CQ21" s="90" t="s">
        <v>201</v>
      </c>
      <c r="CR21" s="90" t="s">
        <v>201</v>
      </c>
      <c r="CS21" s="90" t="s">
        <v>201</v>
      </c>
      <c r="CT21" s="90" t="s">
        <v>201</v>
      </c>
      <c r="CU21" s="90" t="s">
        <v>201</v>
      </c>
      <c r="CV21" s="90" t="s">
        <v>201</v>
      </c>
      <c r="CW21" s="90" t="s">
        <v>201</v>
      </c>
      <c r="CX21" s="90" t="s">
        <v>201</v>
      </c>
      <c r="CY21" s="90" t="s">
        <v>201</v>
      </c>
      <c r="CZ21" s="90" t="s">
        <v>201</v>
      </c>
      <c r="DA21" s="90" t="s">
        <v>201</v>
      </c>
      <c r="DB21" s="90" t="s">
        <v>201</v>
      </c>
      <c r="DC21" s="90" t="s">
        <v>201</v>
      </c>
      <c r="DD21" s="90" t="s">
        <v>201</v>
      </c>
      <c r="DE21" s="90" t="s">
        <v>201</v>
      </c>
      <c r="DF21" s="90" t="s">
        <v>201</v>
      </c>
      <c r="DG21" s="90" t="s">
        <v>201</v>
      </c>
      <c r="DH21" s="90" t="s">
        <v>201</v>
      </c>
      <c r="DI21" s="90" t="s">
        <v>201</v>
      </c>
      <c r="DJ21" s="90" t="s">
        <v>201</v>
      </c>
      <c r="DK21" s="90"/>
      <c r="DL21" s="90" t="s">
        <v>194</v>
      </c>
      <c r="DM21" s="90" t="s">
        <v>195</v>
      </c>
      <c r="DN21" s="90" t="s">
        <v>195</v>
      </c>
      <c r="DO21" s="90" t="s">
        <v>200</v>
      </c>
      <c r="DP21" s="90" t="s">
        <v>30</v>
      </c>
      <c r="DQ21" s="90" t="s">
        <v>30</v>
      </c>
      <c r="DR21" s="90" t="s">
        <v>30</v>
      </c>
      <c r="DS21" s="90" t="s">
        <v>30</v>
      </c>
      <c r="DT21" s="90" t="s">
        <v>30</v>
      </c>
      <c r="DU21" s="90" t="s">
        <v>30</v>
      </c>
      <c r="DV21" s="90" t="s">
        <v>30</v>
      </c>
      <c r="DW21" s="90" t="s">
        <v>198</v>
      </c>
      <c r="DX21" s="90" t="s">
        <v>30</v>
      </c>
      <c r="DY21" s="90" t="s">
        <v>195</v>
      </c>
      <c r="DZ21" s="90" t="s">
        <v>195</v>
      </c>
      <c r="EA21" s="90"/>
      <c r="EB21" s="90" t="s">
        <v>194</v>
      </c>
      <c r="EC21" s="90" t="s">
        <v>30</v>
      </c>
      <c r="ED21" s="90" t="s">
        <v>30</v>
      </c>
      <c r="EE21" s="90" t="s">
        <v>30</v>
      </c>
      <c r="EF21" s="90" t="s">
        <v>30</v>
      </c>
      <c r="EG21" s="90" t="s">
        <v>30</v>
      </c>
      <c r="EH21" s="102" t="s">
        <v>30</v>
      </c>
    </row>
    <row r="22" spans="1:138" ht="23.25" customHeight="1" x14ac:dyDescent="0.25">
      <c r="A22" s="98" t="s">
        <v>16</v>
      </c>
      <c r="B22" s="99" t="s">
        <v>193</v>
      </c>
      <c r="C22" s="99" t="s">
        <v>202</v>
      </c>
      <c r="D22" s="99" t="s">
        <v>201</v>
      </c>
      <c r="E22" s="99" t="s">
        <v>201</v>
      </c>
      <c r="F22" s="99" t="s">
        <v>201</v>
      </c>
      <c r="G22" s="99" t="s">
        <v>201</v>
      </c>
      <c r="H22" s="99" t="s">
        <v>201</v>
      </c>
      <c r="I22" s="99" t="s">
        <v>201</v>
      </c>
      <c r="J22" s="99" t="s">
        <v>201</v>
      </c>
      <c r="K22" s="99" t="s">
        <v>201</v>
      </c>
      <c r="L22" s="99" t="s">
        <v>201</v>
      </c>
      <c r="M22" s="99" t="s">
        <v>201</v>
      </c>
      <c r="N22" s="99" t="s">
        <v>201</v>
      </c>
      <c r="O22" s="99" t="s">
        <v>201</v>
      </c>
      <c r="P22" s="99" t="s">
        <v>201</v>
      </c>
      <c r="Q22" s="99" t="s">
        <v>201</v>
      </c>
      <c r="R22" s="99" t="s">
        <v>201</v>
      </c>
      <c r="S22" s="99" t="s">
        <v>201</v>
      </c>
      <c r="T22" s="99"/>
      <c r="U22" s="99" t="s">
        <v>202</v>
      </c>
      <c r="V22" s="99" t="s">
        <v>201</v>
      </c>
      <c r="W22" s="99" t="s">
        <v>201</v>
      </c>
      <c r="X22" s="99" t="s">
        <v>201</v>
      </c>
      <c r="Y22" s="99" t="s">
        <v>201</v>
      </c>
      <c r="Z22" s="99" t="s">
        <v>199</v>
      </c>
      <c r="AA22" s="99" t="s">
        <v>201</v>
      </c>
      <c r="AB22" s="99" t="s">
        <v>201</v>
      </c>
      <c r="AC22" s="99" t="s">
        <v>201</v>
      </c>
      <c r="AD22" s="99" t="s">
        <v>201</v>
      </c>
      <c r="AE22" s="99" t="s">
        <v>201</v>
      </c>
      <c r="AF22" s="99" t="s">
        <v>201</v>
      </c>
      <c r="AG22" s="99" t="s">
        <v>201</v>
      </c>
      <c r="AH22" s="99" t="s">
        <v>201</v>
      </c>
      <c r="AI22" s="99" t="s">
        <v>202</v>
      </c>
      <c r="AJ22" s="99" t="s">
        <v>201</v>
      </c>
      <c r="AK22" s="99" t="s">
        <v>201</v>
      </c>
      <c r="AL22" s="99" t="s">
        <v>201</v>
      </c>
      <c r="AM22" s="99"/>
      <c r="AN22" s="99" t="s">
        <v>202</v>
      </c>
      <c r="AO22" s="99" t="s">
        <v>201</v>
      </c>
      <c r="AP22" s="99" t="s">
        <v>201</v>
      </c>
      <c r="AQ22" s="99" t="s">
        <v>201</v>
      </c>
      <c r="AR22" s="99" t="s">
        <v>201</v>
      </c>
      <c r="AS22" s="99" t="s">
        <v>201</v>
      </c>
      <c r="AT22" s="99" t="s">
        <v>201</v>
      </c>
      <c r="AU22" s="99" t="s">
        <v>201</v>
      </c>
      <c r="AV22" s="99" t="s">
        <v>201</v>
      </c>
      <c r="AW22" s="99" t="s">
        <v>201</v>
      </c>
      <c r="AX22" s="99" t="s">
        <v>201</v>
      </c>
      <c r="AY22" s="99"/>
      <c r="AZ22" s="99" t="s">
        <v>202</v>
      </c>
      <c r="BA22" s="99" t="s">
        <v>202</v>
      </c>
      <c r="BB22" s="99" t="s">
        <v>201</v>
      </c>
      <c r="BC22" s="99" t="s">
        <v>201</v>
      </c>
      <c r="BD22" s="99" t="s">
        <v>201</v>
      </c>
      <c r="BE22" s="99" t="s">
        <v>201</v>
      </c>
      <c r="BF22" s="99" t="s">
        <v>201</v>
      </c>
      <c r="BG22" s="99" t="s">
        <v>201</v>
      </c>
      <c r="BH22" s="99" t="s">
        <v>201</v>
      </c>
      <c r="BI22" s="99" t="s">
        <v>201</v>
      </c>
      <c r="BJ22" s="99" t="s">
        <v>201</v>
      </c>
      <c r="BK22" s="99" t="s">
        <v>201</v>
      </c>
      <c r="BL22" s="99" t="s">
        <v>201</v>
      </c>
      <c r="BM22" s="99" t="s">
        <v>201</v>
      </c>
      <c r="BN22" s="99" t="s">
        <v>201</v>
      </c>
      <c r="BO22" s="99" t="s">
        <v>201</v>
      </c>
      <c r="BP22" s="99" t="s">
        <v>201</v>
      </c>
      <c r="BQ22" s="99" t="s">
        <v>201</v>
      </c>
      <c r="BR22" s="99" t="s">
        <v>201</v>
      </c>
      <c r="BS22" s="99" t="s">
        <v>201</v>
      </c>
      <c r="BT22" s="99"/>
      <c r="BU22" s="99" t="s">
        <v>198</v>
      </c>
      <c r="BV22" s="99" t="s">
        <v>198</v>
      </c>
      <c r="BW22" s="99" t="s">
        <v>198</v>
      </c>
      <c r="BX22" s="99" t="s">
        <v>198</v>
      </c>
      <c r="BY22" s="99" t="s">
        <v>198</v>
      </c>
      <c r="BZ22" s="99" t="s">
        <v>198</v>
      </c>
      <c r="CA22" s="99" t="s">
        <v>198</v>
      </c>
      <c r="CB22" s="99"/>
      <c r="CC22" s="99" t="s">
        <v>205</v>
      </c>
      <c r="CD22" s="99"/>
      <c r="CE22" s="99" t="s">
        <v>194</v>
      </c>
      <c r="CF22" s="99"/>
      <c r="CG22" s="99"/>
      <c r="CH22" s="99"/>
      <c r="CI22" s="99" t="s">
        <v>202</v>
      </c>
      <c r="CJ22" s="99" t="s">
        <v>201</v>
      </c>
      <c r="CK22" s="99" t="s">
        <v>201</v>
      </c>
      <c r="CL22" s="99" t="s">
        <v>201</v>
      </c>
      <c r="CM22" s="99" t="s">
        <v>201</v>
      </c>
      <c r="CN22" s="99" t="s">
        <v>201</v>
      </c>
      <c r="CO22" s="99" t="s">
        <v>201</v>
      </c>
      <c r="CP22" s="99" t="s">
        <v>201</v>
      </c>
      <c r="CQ22" s="99" t="s">
        <v>201</v>
      </c>
      <c r="CR22" s="99" t="s">
        <v>201</v>
      </c>
      <c r="CS22" s="99" t="s">
        <v>201</v>
      </c>
      <c r="CT22" s="99" t="s">
        <v>201</v>
      </c>
      <c r="CU22" s="99" t="s">
        <v>201</v>
      </c>
      <c r="CV22" s="99" t="s">
        <v>201</v>
      </c>
      <c r="CW22" s="99" t="s">
        <v>201</v>
      </c>
      <c r="CX22" s="99" t="s">
        <v>201</v>
      </c>
      <c r="CY22" s="99" t="s">
        <v>201</v>
      </c>
      <c r="CZ22" s="99" t="s">
        <v>201</v>
      </c>
      <c r="DA22" s="99" t="s">
        <v>201</v>
      </c>
      <c r="DB22" s="99" t="s">
        <v>201</v>
      </c>
      <c r="DC22" s="99" t="s">
        <v>201</v>
      </c>
      <c r="DD22" s="99" t="s">
        <v>201</v>
      </c>
      <c r="DE22" s="99" t="s">
        <v>201</v>
      </c>
      <c r="DF22" s="99" t="s">
        <v>201</v>
      </c>
      <c r="DG22" s="99" t="s">
        <v>201</v>
      </c>
      <c r="DH22" s="99" t="s">
        <v>201</v>
      </c>
      <c r="DI22" s="99" t="s">
        <v>201</v>
      </c>
      <c r="DJ22" s="99" t="s">
        <v>201</v>
      </c>
      <c r="DK22" s="99"/>
      <c r="DL22" s="99" t="s">
        <v>202</v>
      </c>
      <c r="DM22" s="99" t="s">
        <v>201</v>
      </c>
      <c r="DN22" s="99" t="s">
        <v>201</v>
      </c>
      <c r="DO22" s="99" t="s">
        <v>201</v>
      </c>
      <c r="DP22" s="99" t="s">
        <v>201</v>
      </c>
      <c r="DQ22" s="99" t="s">
        <v>201</v>
      </c>
      <c r="DR22" s="99" t="s">
        <v>201</v>
      </c>
      <c r="DS22" s="99" t="s">
        <v>201</v>
      </c>
      <c r="DT22" s="99" t="s">
        <v>201</v>
      </c>
      <c r="DU22" s="99" t="s">
        <v>201</v>
      </c>
      <c r="DV22" s="99" t="s">
        <v>201</v>
      </c>
      <c r="DW22" s="99" t="s">
        <v>201</v>
      </c>
      <c r="DX22" s="99" t="s">
        <v>201</v>
      </c>
      <c r="DY22" s="99" t="s">
        <v>201</v>
      </c>
      <c r="DZ22" s="99" t="s">
        <v>201</v>
      </c>
      <c r="EA22" s="99"/>
      <c r="EB22" s="99" t="s">
        <v>202</v>
      </c>
      <c r="EC22" s="99" t="s">
        <v>201</v>
      </c>
      <c r="ED22" s="99" t="s">
        <v>201</v>
      </c>
      <c r="EE22" s="99" t="s">
        <v>201</v>
      </c>
      <c r="EF22" s="99" t="s">
        <v>201</v>
      </c>
      <c r="EG22" s="99" t="s">
        <v>201</v>
      </c>
      <c r="EH22" s="100" t="s">
        <v>201</v>
      </c>
    </row>
    <row r="23" spans="1:138" ht="23.25" customHeight="1" x14ac:dyDescent="0.25">
      <c r="A23" s="101" t="s">
        <v>17</v>
      </c>
      <c r="B23" s="90" t="s">
        <v>193</v>
      </c>
      <c r="C23" s="90" t="s">
        <v>194</v>
      </c>
      <c r="D23" s="90" t="s">
        <v>195</v>
      </c>
      <c r="E23" s="90" t="s">
        <v>30</v>
      </c>
      <c r="F23" s="90" t="s">
        <v>196</v>
      </c>
      <c r="G23" s="90" t="s">
        <v>196</v>
      </c>
      <c r="H23" s="90" t="s">
        <v>196</v>
      </c>
      <c r="I23" s="90" t="s">
        <v>30</v>
      </c>
      <c r="J23" s="90" t="s">
        <v>195</v>
      </c>
      <c r="K23" s="90" t="s">
        <v>30</v>
      </c>
      <c r="L23" s="90" t="s">
        <v>196</v>
      </c>
      <c r="M23" s="90" t="s">
        <v>200</v>
      </c>
      <c r="N23" s="90" t="s">
        <v>196</v>
      </c>
      <c r="O23" s="90" t="s">
        <v>195</v>
      </c>
      <c r="P23" s="90" t="s">
        <v>198</v>
      </c>
      <c r="Q23" s="90" t="s">
        <v>30</v>
      </c>
      <c r="R23" s="90" t="s">
        <v>30</v>
      </c>
      <c r="S23" s="90" t="s">
        <v>196</v>
      </c>
      <c r="T23" s="90"/>
      <c r="U23" s="90" t="s">
        <v>194</v>
      </c>
      <c r="V23" s="90" t="s">
        <v>30</v>
      </c>
      <c r="W23" s="90" t="s">
        <v>195</v>
      </c>
      <c r="X23" s="90" t="s">
        <v>195</v>
      </c>
      <c r="Y23" s="90" t="s">
        <v>196</v>
      </c>
      <c r="Z23" s="90" t="s">
        <v>208</v>
      </c>
      <c r="AA23" s="90" t="s">
        <v>30</v>
      </c>
      <c r="AB23" s="90" t="s">
        <v>30</v>
      </c>
      <c r="AC23" s="90" t="s">
        <v>30</v>
      </c>
      <c r="AD23" s="90" t="s">
        <v>30</v>
      </c>
      <c r="AE23" s="90" t="s">
        <v>201</v>
      </c>
      <c r="AF23" s="90" t="s">
        <v>201</v>
      </c>
      <c r="AG23" s="90" t="s">
        <v>201</v>
      </c>
      <c r="AH23" s="90" t="s">
        <v>201</v>
      </c>
      <c r="AI23" s="90" t="s">
        <v>194</v>
      </c>
      <c r="AJ23" s="90" t="s">
        <v>198</v>
      </c>
      <c r="AK23" s="90" t="s">
        <v>198</v>
      </c>
      <c r="AL23" s="90" t="s">
        <v>198</v>
      </c>
      <c r="AM23" s="90"/>
      <c r="AN23" s="90" t="s">
        <v>194</v>
      </c>
      <c r="AO23" s="90" t="s">
        <v>195</v>
      </c>
      <c r="AP23" s="90" t="s">
        <v>195</v>
      </c>
      <c r="AQ23" s="90" t="s">
        <v>30</v>
      </c>
      <c r="AR23" s="90" t="s">
        <v>30</v>
      </c>
      <c r="AS23" s="90" t="s">
        <v>200</v>
      </c>
      <c r="AT23" s="90" t="s">
        <v>195</v>
      </c>
      <c r="AU23" s="90" t="s">
        <v>195</v>
      </c>
      <c r="AV23" s="90" t="s">
        <v>195</v>
      </c>
      <c r="AW23" s="90" t="s">
        <v>195</v>
      </c>
      <c r="AX23" s="90" t="s">
        <v>30</v>
      </c>
      <c r="AY23" s="90"/>
      <c r="AZ23" s="90" t="s">
        <v>194</v>
      </c>
      <c r="BA23" s="90" t="s">
        <v>194</v>
      </c>
      <c r="BB23" s="90" t="s">
        <v>30</v>
      </c>
      <c r="BC23" s="90" t="s">
        <v>30</v>
      </c>
      <c r="BD23" s="90" t="s">
        <v>196</v>
      </c>
      <c r="BE23" s="90" t="s">
        <v>200</v>
      </c>
      <c r="BF23" s="90" t="s">
        <v>196</v>
      </c>
      <c r="BG23" s="90" t="s">
        <v>30</v>
      </c>
      <c r="BH23" s="90" t="s">
        <v>196</v>
      </c>
      <c r="BI23" s="90" t="s">
        <v>200</v>
      </c>
      <c r="BJ23" s="90" t="s">
        <v>30</v>
      </c>
      <c r="BK23" s="90" t="s">
        <v>30</v>
      </c>
      <c r="BL23" s="90" t="s">
        <v>198</v>
      </c>
      <c r="BM23" s="90" t="s">
        <v>198</v>
      </c>
      <c r="BN23" s="90" t="s">
        <v>200</v>
      </c>
      <c r="BO23" s="90" t="s">
        <v>30</v>
      </c>
      <c r="BP23" s="90" t="s">
        <v>30</v>
      </c>
      <c r="BQ23" s="90" t="s">
        <v>200</v>
      </c>
      <c r="BR23" s="90" t="s">
        <v>30</v>
      </c>
      <c r="BS23" s="90" t="s">
        <v>196</v>
      </c>
      <c r="BT23" s="90"/>
      <c r="BU23" s="90" t="s">
        <v>203</v>
      </c>
      <c r="BV23" s="90" t="s">
        <v>203</v>
      </c>
      <c r="BW23" s="90" t="s">
        <v>203</v>
      </c>
      <c r="BX23" s="90" t="s">
        <v>203</v>
      </c>
      <c r="BY23" s="90" t="s">
        <v>203</v>
      </c>
      <c r="BZ23" s="90" t="s">
        <v>203</v>
      </c>
      <c r="CA23" s="90" t="s">
        <v>203</v>
      </c>
      <c r="CB23" s="90"/>
      <c r="CC23" s="90" t="s">
        <v>206</v>
      </c>
      <c r="CD23" s="90"/>
      <c r="CE23" s="90" t="s">
        <v>194</v>
      </c>
      <c r="CF23" s="90"/>
      <c r="CG23" s="90"/>
      <c r="CH23" s="90"/>
      <c r="CI23" s="90" t="s">
        <v>194</v>
      </c>
      <c r="CJ23" s="90" t="s">
        <v>30</v>
      </c>
      <c r="CK23" s="90" t="s">
        <v>195</v>
      </c>
      <c r="CL23" s="90" t="s">
        <v>196</v>
      </c>
      <c r="CM23" s="90" t="s">
        <v>195</v>
      </c>
      <c r="CN23" s="90" t="s">
        <v>195</v>
      </c>
      <c r="CO23" s="90" t="s">
        <v>195</v>
      </c>
      <c r="CP23" s="90" t="s">
        <v>195</v>
      </c>
      <c r="CQ23" s="90" t="s">
        <v>195</v>
      </c>
      <c r="CR23" s="90" t="s">
        <v>196</v>
      </c>
      <c r="CS23" s="90" t="s">
        <v>195</v>
      </c>
      <c r="CT23" s="90" t="s">
        <v>195</v>
      </c>
      <c r="CU23" s="90" t="s">
        <v>195</v>
      </c>
      <c r="CV23" s="90" t="s">
        <v>195</v>
      </c>
      <c r="CW23" s="90" t="s">
        <v>195</v>
      </c>
      <c r="CX23" s="90" t="s">
        <v>195</v>
      </c>
      <c r="CY23" s="90" t="s">
        <v>200</v>
      </c>
      <c r="CZ23" s="90" t="s">
        <v>195</v>
      </c>
      <c r="DA23" s="90" t="s">
        <v>195</v>
      </c>
      <c r="DB23" s="90" t="s">
        <v>197</v>
      </c>
      <c r="DC23" s="90" t="s">
        <v>197</v>
      </c>
      <c r="DD23" s="90" t="s">
        <v>197</v>
      </c>
      <c r="DE23" s="90" t="s">
        <v>197</v>
      </c>
      <c r="DF23" s="90" t="s">
        <v>197</v>
      </c>
      <c r="DG23" s="90" t="s">
        <v>197</v>
      </c>
      <c r="DH23" s="90" t="s">
        <v>197</v>
      </c>
      <c r="DI23" s="90" t="s">
        <v>197</v>
      </c>
      <c r="DJ23" s="90" t="s">
        <v>197</v>
      </c>
      <c r="DK23" s="90"/>
      <c r="DL23" s="90" t="s">
        <v>194</v>
      </c>
      <c r="DM23" s="90" t="s">
        <v>196</v>
      </c>
      <c r="DN23" s="90" t="s">
        <v>197</v>
      </c>
      <c r="DO23" s="90" t="s">
        <v>196</v>
      </c>
      <c r="DP23" s="90" t="s">
        <v>197</v>
      </c>
      <c r="DQ23" s="90" t="s">
        <v>197</v>
      </c>
      <c r="DR23" s="90" t="s">
        <v>197</v>
      </c>
      <c r="DS23" s="90" t="s">
        <v>200</v>
      </c>
      <c r="DT23" s="90" t="s">
        <v>30</v>
      </c>
      <c r="DU23" s="90" t="s">
        <v>30</v>
      </c>
      <c r="DV23" s="90" t="s">
        <v>30</v>
      </c>
      <c r="DW23" s="90" t="s">
        <v>198</v>
      </c>
      <c r="DX23" s="90" t="s">
        <v>30</v>
      </c>
      <c r="DY23" s="90" t="s">
        <v>30</v>
      </c>
      <c r="DZ23" s="90" t="s">
        <v>195</v>
      </c>
      <c r="EA23" s="90"/>
      <c r="EB23" s="90" t="s">
        <v>194</v>
      </c>
      <c r="EC23" s="90" t="s">
        <v>197</v>
      </c>
      <c r="ED23" s="90" t="s">
        <v>200</v>
      </c>
      <c r="EE23" s="90" t="s">
        <v>197</v>
      </c>
      <c r="EF23" s="90" t="s">
        <v>30</v>
      </c>
      <c r="EG23" s="90" t="s">
        <v>196</v>
      </c>
      <c r="EH23" s="102" t="s">
        <v>30</v>
      </c>
    </row>
    <row r="24" spans="1:138" ht="23.25" customHeight="1" x14ac:dyDescent="0.25">
      <c r="A24" s="98" t="s">
        <v>17</v>
      </c>
      <c r="B24" s="99" t="s">
        <v>193</v>
      </c>
      <c r="C24" s="99" t="s">
        <v>194</v>
      </c>
      <c r="D24" s="99" t="s">
        <v>195</v>
      </c>
      <c r="E24" s="99" t="s">
        <v>30</v>
      </c>
      <c r="F24" s="99" t="s">
        <v>195</v>
      </c>
      <c r="G24" s="99" t="s">
        <v>195</v>
      </c>
      <c r="H24" s="99" t="s">
        <v>196</v>
      </c>
      <c r="I24" s="99" t="s">
        <v>196</v>
      </c>
      <c r="J24" s="99" t="s">
        <v>197</v>
      </c>
      <c r="K24" s="99" t="s">
        <v>197</v>
      </c>
      <c r="L24" s="99" t="s">
        <v>196</v>
      </c>
      <c r="M24" s="99" t="s">
        <v>196</v>
      </c>
      <c r="N24" s="99" t="s">
        <v>196</v>
      </c>
      <c r="O24" s="99" t="s">
        <v>195</v>
      </c>
      <c r="P24" s="99" t="s">
        <v>195</v>
      </c>
      <c r="Q24" s="99" t="s">
        <v>30</v>
      </c>
      <c r="R24" s="99" t="s">
        <v>196</v>
      </c>
      <c r="S24" s="99" t="s">
        <v>197</v>
      </c>
      <c r="T24" s="99"/>
      <c r="U24" s="99" t="s">
        <v>194</v>
      </c>
      <c r="V24" s="99" t="s">
        <v>195</v>
      </c>
      <c r="W24" s="99" t="s">
        <v>195</v>
      </c>
      <c r="X24" s="99" t="s">
        <v>30</v>
      </c>
      <c r="Y24" s="99" t="s">
        <v>195</v>
      </c>
      <c r="Z24" s="99" t="s">
        <v>208</v>
      </c>
      <c r="AA24" s="99" t="s">
        <v>30</v>
      </c>
      <c r="AB24" s="99" t="s">
        <v>197</v>
      </c>
      <c r="AC24" s="99" t="s">
        <v>200</v>
      </c>
      <c r="AD24" s="99" t="s">
        <v>197</v>
      </c>
      <c r="AE24" s="99" t="s">
        <v>201</v>
      </c>
      <c r="AF24" s="99" t="s">
        <v>201</v>
      </c>
      <c r="AG24" s="99" t="s">
        <v>201</v>
      </c>
      <c r="AH24" s="99" t="s">
        <v>201</v>
      </c>
      <c r="AI24" s="99" t="s">
        <v>194</v>
      </c>
      <c r="AJ24" s="99" t="s">
        <v>195</v>
      </c>
      <c r="AK24" s="99" t="s">
        <v>30</v>
      </c>
      <c r="AL24" s="99" t="s">
        <v>195</v>
      </c>
      <c r="AM24" s="99"/>
      <c r="AN24" s="99" t="s">
        <v>202</v>
      </c>
      <c r="AO24" s="99" t="s">
        <v>201</v>
      </c>
      <c r="AP24" s="99" t="s">
        <v>201</v>
      </c>
      <c r="AQ24" s="99" t="s">
        <v>201</v>
      </c>
      <c r="AR24" s="99" t="s">
        <v>201</v>
      </c>
      <c r="AS24" s="99" t="s">
        <v>201</v>
      </c>
      <c r="AT24" s="99" t="s">
        <v>201</v>
      </c>
      <c r="AU24" s="99" t="s">
        <v>201</v>
      </c>
      <c r="AV24" s="99" t="s">
        <v>201</v>
      </c>
      <c r="AW24" s="99" t="s">
        <v>201</v>
      </c>
      <c r="AX24" s="99" t="s">
        <v>201</v>
      </c>
      <c r="AY24" s="99"/>
      <c r="AZ24" s="99" t="s">
        <v>202</v>
      </c>
      <c r="BA24" s="99" t="s">
        <v>202</v>
      </c>
      <c r="BB24" s="99" t="s">
        <v>201</v>
      </c>
      <c r="BC24" s="99" t="s">
        <v>201</v>
      </c>
      <c r="BD24" s="99" t="s">
        <v>201</v>
      </c>
      <c r="BE24" s="99" t="s">
        <v>201</v>
      </c>
      <c r="BF24" s="99" t="s">
        <v>201</v>
      </c>
      <c r="BG24" s="99" t="s">
        <v>201</v>
      </c>
      <c r="BH24" s="99" t="s">
        <v>201</v>
      </c>
      <c r="BI24" s="99" t="s">
        <v>201</v>
      </c>
      <c r="BJ24" s="99" t="s">
        <v>201</v>
      </c>
      <c r="BK24" s="99" t="s">
        <v>201</v>
      </c>
      <c r="BL24" s="99" t="s">
        <v>201</v>
      </c>
      <c r="BM24" s="99" t="s">
        <v>201</v>
      </c>
      <c r="BN24" s="99" t="s">
        <v>201</v>
      </c>
      <c r="BO24" s="99" t="s">
        <v>201</v>
      </c>
      <c r="BP24" s="99" t="s">
        <v>201</v>
      </c>
      <c r="BQ24" s="99" t="s">
        <v>201</v>
      </c>
      <c r="BR24" s="99" t="s">
        <v>201</v>
      </c>
      <c r="BS24" s="99" t="s">
        <v>201</v>
      </c>
      <c r="BT24" s="99"/>
      <c r="BU24" s="99" t="s">
        <v>203</v>
      </c>
      <c r="BV24" s="99" t="s">
        <v>203</v>
      </c>
      <c r="BW24" s="99" t="s">
        <v>203</v>
      </c>
      <c r="BX24" s="99" t="s">
        <v>203</v>
      </c>
      <c r="BY24" s="99" t="s">
        <v>203</v>
      </c>
      <c r="BZ24" s="99" t="s">
        <v>203</v>
      </c>
      <c r="CA24" s="99" t="s">
        <v>203</v>
      </c>
      <c r="CB24" s="99"/>
      <c r="CC24" s="99" t="s">
        <v>205</v>
      </c>
      <c r="CD24" s="99"/>
      <c r="CE24" s="99" t="s">
        <v>194</v>
      </c>
      <c r="CF24" s="99"/>
      <c r="CG24" s="99"/>
      <c r="CH24" s="99"/>
      <c r="CI24" s="99" t="s">
        <v>194</v>
      </c>
      <c r="CJ24" s="99" t="s">
        <v>30</v>
      </c>
      <c r="CK24" s="99" t="s">
        <v>195</v>
      </c>
      <c r="CL24" s="99" t="s">
        <v>197</v>
      </c>
      <c r="CM24" s="99" t="s">
        <v>197</v>
      </c>
      <c r="CN24" s="99" t="s">
        <v>197</v>
      </c>
      <c r="CO24" s="99" t="s">
        <v>30</v>
      </c>
      <c r="CP24" s="99" t="s">
        <v>30</v>
      </c>
      <c r="CQ24" s="99" t="s">
        <v>30</v>
      </c>
      <c r="CR24" s="99" t="s">
        <v>30</v>
      </c>
      <c r="CS24" s="99" t="s">
        <v>195</v>
      </c>
      <c r="CT24" s="99" t="s">
        <v>195</v>
      </c>
      <c r="CU24" s="99" t="s">
        <v>198</v>
      </c>
      <c r="CV24" s="99" t="s">
        <v>30</v>
      </c>
      <c r="CW24" s="99" t="s">
        <v>195</v>
      </c>
      <c r="CX24" s="99" t="s">
        <v>196</v>
      </c>
      <c r="CY24" s="99" t="s">
        <v>195</v>
      </c>
      <c r="CZ24" s="99" t="s">
        <v>195</v>
      </c>
      <c r="DA24" s="99" t="s">
        <v>195</v>
      </c>
      <c r="DB24" s="99" t="s">
        <v>30</v>
      </c>
      <c r="DC24" s="99" t="s">
        <v>30</v>
      </c>
      <c r="DD24" s="99" t="s">
        <v>30</v>
      </c>
      <c r="DE24" s="99" t="s">
        <v>30</v>
      </c>
      <c r="DF24" s="99" t="s">
        <v>30</v>
      </c>
      <c r="DG24" s="99" t="s">
        <v>30</v>
      </c>
      <c r="DH24" s="99" t="s">
        <v>195</v>
      </c>
      <c r="DI24" s="99" t="s">
        <v>195</v>
      </c>
      <c r="DJ24" s="99" t="s">
        <v>197</v>
      </c>
      <c r="DK24" s="99"/>
      <c r="DL24" s="99" t="s">
        <v>202</v>
      </c>
      <c r="DM24" s="99" t="s">
        <v>201</v>
      </c>
      <c r="DN24" s="99" t="s">
        <v>201</v>
      </c>
      <c r="DO24" s="99" t="s">
        <v>201</v>
      </c>
      <c r="DP24" s="99" t="s">
        <v>201</v>
      </c>
      <c r="DQ24" s="99" t="s">
        <v>201</v>
      </c>
      <c r="DR24" s="99" t="s">
        <v>201</v>
      </c>
      <c r="DS24" s="99" t="s">
        <v>201</v>
      </c>
      <c r="DT24" s="99" t="s">
        <v>201</v>
      </c>
      <c r="DU24" s="99" t="s">
        <v>201</v>
      </c>
      <c r="DV24" s="99" t="s">
        <v>201</v>
      </c>
      <c r="DW24" s="99" t="s">
        <v>201</v>
      </c>
      <c r="DX24" s="99" t="s">
        <v>201</v>
      </c>
      <c r="DY24" s="99" t="s">
        <v>201</v>
      </c>
      <c r="DZ24" s="99" t="s">
        <v>201</v>
      </c>
      <c r="EA24" s="99"/>
      <c r="EB24" s="99" t="s">
        <v>202</v>
      </c>
      <c r="EC24" s="99" t="s">
        <v>201</v>
      </c>
      <c r="ED24" s="99" t="s">
        <v>201</v>
      </c>
      <c r="EE24" s="99" t="s">
        <v>201</v>
      </c>
      <c r="EF24" s="99" t="s">
        <v>201</v>
      </c>
      <c r="EG24" s="99" t="s">
        <v>201</v>
      </c>
      <c r="EH24" s="100" t="s">
        <v>201</v>
      </c>
    </row>
    <row r="25" spans="1:138" ht="23.25" customHeight="1" x14ac:dyDescent="0.25">
      <c r="A25" s="101" t="s">
        <v>17</v>
      </c>
      <c r="B25" s="90" t="s">
        <v>193</v>
      </c>
      <c r="C25" s="90" t="s">
        <v>194</v>
      </c>
      <c r="D25" s="90" t="s">
        <v>195</v>
      </c>
      <c r="E25" s="90" t="s">
        <v>195</v>
      </c>
      <c r="F25" s="90" t="s">
        <v>195</v>
      </c>
      <c r="G25" s="90" t="s">
        <v>195</v>
      </c>
      <c r="H25" s="90" t="s">
        <v>196</v>
      </c>
      <c r="I25" s="90" t="s">
        <v>196</v>
      </c>
      <c r="J25" s="90" t="s">
        <v>30</v>
      </c>
      <c r="K25" s="90" t="s">
        <v>195</v>
      </c>
      <c r="L25" s="90" t="s">
        <v>195</v>
      </c>
      <c r="M25" s="90" t="s">
        <v>30</v>
      </c>
      <c r="N25" s="90" t="s">
        <v>30</v>
      </c>
      <c r="O25" s="90" t="s">
        <v>195</v>
      </c>
      <c r="P25" s="90" t="s">
        <v>198</v>
      </c>
      <c r="Q25" s="90" t="s">
        <v>198</v>
      </c>
      <c r="R25" s="90" t="s">
        <v>195</v>
      </c>
      <c r="S25" s="90" t="s">
        <v>195</v>
      </c>
      <c r="T25" s="90"/>
      <c r="U25" s="90" t="s">
        <v>194</v>
      </c>
      <c r="V25" s="90" t="s">
        <v>30</v>
      </c>
      <c r="W25" s="90" t="s">
        <v>30</v>
      </c>
      <c r="X25" s="90" t="s">
        <v>30</v>
      </c>
      <c r="Y25" s="90" t="s">
        <v>30</v>
      </c>
      <c r="Z25" s="90" t="s">
        <v>208</v>
      </c>
      <c r="AA25" s="90" t="s">
        <v>195</v>
      </c>
      <c r="AB25" s="90" t="s">
        <v>195</v>
      </c>
      <c r="AC25" s="90" t="s">
        <v>195</v>
      </c>
      <c r="AD25" s="90" t="s">
        <v>195</v>
      </c>
      <c r="AE25" s="90" t="s">
        <v>201</v>
      </c>
      <c r="AF25" s="90" t="s">
        <v>201</v>
      </c>
      <c r="AG25" s="90" t="s">
        <v>201</v>
      </c>
      <c r="AH25" s="90" t="s">
        <v>201</v>
      </c>
      <c r="AI25" s="90" t="s">
        <v>194</v>
      </c>
      <c r="AJ25" s="90" t="s">
        <v>198</v>
      </c>
      <c r="AK25" s="90" t="s">
        <v>30</v>
      </c>
      <c r="AL25" s="90" t="s">
        <v>198</v>
      </c>
      <c r="AM25" s="90"/>
      <c r="AN25" s="90" t="s">
        <v>194</v>
      </c>
      <c r="AO25" s="90" t="s">
        <v>195</v>
      </c>
      <c r="AP25" s="90" t="s">
        <v>195</v>
      </c>
      <c r="AQ25" s="90" t="s">
        <v>195</v>
      </c>
      <c r="AR25" s="90" t="s">
        <v>195</v>
      </c>
      <c r="AS25" s="90" t="s">
        <v>195</v>
      </c>
      <c r="AT25" s="90" t="s">
        <v>195</v>
      </c>
      <c r="AU25" s="90" t="s">
        <v>196</v>
      </c>
      <c r="AV25" s="90" t="s">
        <v>195</v>
      </c>
      <c r="AW25" s="90" t="s">
        <v>30</v>
      </c>
      <c r="AX25" s="90" t="s">
        <v>195</v>
      </c>
      <c r="AY25" s="90"/>
      <c r="AZ25" s="90" t="s">
        <v>202</v>
      </c>
      <c r="BA25" s="90" t="s">
        <v>202</v>
      </c>
      <c r="BB25" s="90" t="s">
        <v>201</v>
      </c>
      <c r="BC25" s="90" t="s">
        <v>201</v>
      </c>
      <c r="BD25" s="90" t="s">
        <v>201</v>
      </c>
      <c r="BE25" s="90" t="s">
        <v>201</v>
      </c>
      <c r="BF25" s="90" t="s">
        <v>201</v>
      </c>
      <c r="BG25" s="90" t="s">
        <v>201</v>
      </c>
      <c r="BH25" s="90" t="s">
        <v>201</v>
      </c>
      <c r="BI25" s="90" t="s">
        <v>201</v>
      </c>
      <c r="BJ25" s="90" t="s">
        <v>201</v>
      </c>
      <c r="BK25" s="90" t="s">
        <v>201</v>
      </c>
      <c r="BL25" s="90" t="s">
        <v>201</v>
      </c>
      <c r="BM25" s="90" t="s">
        <v>201</v>
      </c>
      <c r="BN25" s="90" t="s">
        <v>201</v>
      </c>
      <c r="BO25" s="90" t="s">
        <v>201</v>
      </c>
      <c r="BP25" s="90" t="s">
        <v>201</v>
      </c>
      <c r="BQ25" s="90" t="s">
        <v>201</v>
      </c>
      <c r="BR25" s="90" t="s">
        <v>201</v>
      </c>
      <c r="BS25" s="90" t="s">
        <v>201</v>
      </c>
      <c r="BT25" s="90"/>
      <c r="BU25" s="90" t="s">
        <v>203</v>
      </c>
      <c r="BV25" s="90" t="s">
        <v>203</v>
      </c>
      <c r="BW25" s="90" t="s">
        <v>203</v>
      </c>
      <c r="BX25" s="90" t="s">
        <v>203</v>
      </c>
      <c r="BY25" s="90" t="s">
        <v>203</v>
      </c>
      <c r="BZ25" s="90" t="s">
        <v>203</v>
      </c>
      <c r="CA25" s="90" t="s">
        <v>203</v>
      </c>
      <c r="CB25" s="90"/>
      <c r="CC25" s="90" t="s">
        <v>204</v>
      </c>
      <c r="CD25" s="90"/>
      <c r="CE25" s="90" t="s">
        <v>194</v>
      </c>
      <c r="CF25" s="90"/>
      <c r="CG25" s="90"/>
      <c r="CH25" s="90"/>
      <c r="CI25" s="90" t="s">
        <v>202</v>
      </c>
      <c r="CJ25" s="90" t="s">
        <v>201</v>
      </c>
      <c r="CK25" s="90" t="s">
        <v>201</v>
      </c>
      <c r="CL25" s="90" t="s">
        <v>201</v>
      </c>
      <c r="CM25" s="90" t="s">
        <v>201</v>
      </c>
      <c r="CN25" s="90" t="s">
        <v>201</v>
      </c>
      <c r="CO25" s="90" t="s">
        <v>201</v>
      </c>
      <c r="CP25" s="90" t="s">
        <v>201</v>
      </c>
      <c r="CQ25" s="90" t="s">
        <v>201</v>
      </c>
      <c r="CR25" s="90" t="s">
        <v>201</v>
      </c>
      <c r="CS25" s="90" t="s">
        <v>201</v>
      </c>
      <c r="CT25" s="90" t="s">
        <v>201</v>
      </c>
      <c r="CU25" s="90" t="s">
        <v>201</v>
      </c>
      <c r="CV25" s="90" t="s">
        <v>201</v>
      </c>
      <c r="CW25" s="90" t="s">
        <v>201</v>
      </c>
      <c r="CX25" s="90" t="s">
        <v>201</v>
      </c>
      <c r="CY25" s="90" t="s">
        <v>201</v>
      </c>
      <c r="CZ25" s="90" t="s">
        <v>201</v>
      </c>
      <c r="DA25" s="90" t="s">
        <v>201</v>
      </c>
      <c r="DB25" s="90" t="s">
        <v>201</v>
      </c>
      <c r="DC25" s="90" t="s">
        <v>201</v>
      </c>
      <c r="DD25" s="90" t="s">
        <v>201</v>
      </c>
      <c r="DE25" s="90" t="s">
        <v>201</v>
      </c>
      <c r="DF25" s="90" t="s">
        <v>201</v>
      </c>
      <c r="DG25" s="90" t="s">
        <v>201</v>
      </c>
      <c r="DH25" s="90" t="s">
        <v>201</v>
      </c>
      <c r="DI25" s="90" t="s">
        <v>201</v>
      </c>
      <c r="DJ25" s="90" t="s">
        <v>201</v>
      </c>
      <c r="DK25" s="90"/>
      <c r="DL25" s="90" t="s">
        <v>202</v>
      </c>
      <c r="DM25" s="90" t="s">
        <v>201</v>
      </c>
      <c r="DN25" s="90" t="s">
        <v>201</v>
      </c>
      <c r="DO25" s="90" t="s">
        <v>201</v>
      </c>
      <c r="DP25" s="90" t="s">
        <v>201</v>
      </c>
      <c r="DQ25" s="90" t="s">
        <v>201</v>
      </c>
      <c r="DR25" s="90" t="s">
        <v>201</v>
      </c>
      <c r="DS25" s="90" t="s">
        <v>201</v>
      </c>
      <c r="DT25" s="90" t="s">
        <v>201</v>
      </c>
      <c r="DU25" s="90" t="s">
        <v>201</v>
      </c>
      <c r="DV25" s="90" t="s">
        <v>201</v>
      </c>
      <c r="DW25" s="90" t="s">
        <v>201</v>
      </c>
      <c r="DX25" s="90" t="s">
        <v>201</v>
      </c>
      <c r="DY25" s="90" t="s">
        <v>201</v>
      </c>
      <c r="DZ25" s="90" t="s">
        <v>201</v>
      </c>
      <c r="EA25" s="90"/>
      <c r="EB25" s="90" t="s">
        <v>194</v>
      </c>
      <c r="EC25" s="90" t="s">
        <v>197</v>
      </c>
      <c r="ED25" s="90" t="s">
        <v>196</v>
      </c>
      <c r="EE25" s="90" t="s">
        <v>197</v>
      </c>
      <c r="EF25" s="90" t="s">
        <v>196</v>
      </c>
      <c r="EG25" s="90" t="s">
        <v>196</v>
      </c>
      <c r="EH25" s="102" t="s">
        <v>196</v>
      </c>
    </row>
    <row r="26" spans="1:138" ht="23.25" customHeight="1" x14ac:dyDescent="0.25">
      <c r="A26" s="98" t="s">
        <v>17</v>
      </c>
      <c r="B26" s="99" t="s">
        <v>193</v>
      </c>
      <c r="C26" s="99" t="s">
        <v>194</v>
      </c>
      <c r="D26" s="99" t="s">
        <v>195</v>
      </c>
      <c r="E26" s="99" t="s">
        <v>30</v>
      </c>
      <c r="F26" s="99" t="s">
        <v>195</v>
      </c>
      <c r="G26" s="99" t="s">
        <v>197</v>
      </c>
      <c r="H26" s="99" t="s">
        <v>197</v>
      </c>
      <c r="I26" s="99" t="s">
        <v>196</v>
      </c>
      <c r="J26" s="99" t="s">
        <v>195</v>
      </c>
      <c r="K26" s="99" t="s">
        <v>197</v>
      </c>
      <c r="L26" s="99" t="s">
        <v>30</v>
      </c>
      <c r="M26" s="99" t="s">
        <v>197</v>
      </c>
      <c r="N26" s="99" t="s">
        <v>197</v>
      </c>
      <c r="O26" s="99" t="s">
        <v>197</v>
      </c>
      <c r="P26" s="99" t="s">
        <v>195</v>
      </c>
      <c r="Q26" s="99" t="s">
        <v>195</v>
      </c>
      <c r="R26" s="99" t="s">
        <v>30</v>
      </c>
      <c r="S26" s="99" t="s">
        <v>195</v>
      </c>
      <c r="T26" s="99"/>
      <c r="U26" s="99" t="s">
        <v>202</v>
      </c>
      <c r="V26" s="99" t="s">
        <v>201</v>
      </c>
      <c r="W26" s="99" t="s">
        <v>201</v>
      </c>
      <c r="X26" s="99" t="s">
        <v>201</v>
      </c>
      <c r="Y26" s="99" t="s">
        <v>201</v>
      </c>
      <c r="Z26" s="99" t="s">
        <v>17</v>
      </c>
      <c r="AA26" s="99" t="s">
        <v>201</v>
      </c>
      <c r="AB26" s="99" t="s">
        <v>201</v>
      </c>
      <c r="AC26" s="99" t="s">
        <v>201</v>
      </c>
      <c r="AD26" s="99" t="s">
        <v>201</v>
      </c>
      <c r="AE26" s="99" t="s">
        <v>201</v>
      </c>
      <c r="AF26" s="99" t="s">
        <v>201</v>
      </c>
      <c r="AG26" s="99" t="s">
        <v>201</v>
      </c>
      <c r="AH26" s="99" t="s">
        <v>201</v>
      </c>
      <c r="AI26" s="99" t="s">
        <v>202</v>
      </c>
      <c r="AJ26" s="99" t="s">
        <v>201</v>
      </c>
      <c r="AK26" s="99" t="s">
        <v>201</v>
      </c>
      <c r="AL26" s="99" t="s">
        <v>201</v>
      </c>
      <c r="AM26" s="99"/>
      <c r="AN26" s="99" t="s">
        <v>202</v>
      </c>
      <c r="AO26" s="99" t="s">
        <v>201</v>
      </c>
      <c r="AP26" s="99" t="s">
        <v>201</v>
      </c>
      <c r="AQ26" s="99" t="s">
        <v>201</v>
      </c>
      <c r="AR26" s="99" t="s">
        <v>201</v>
      </c>
      <c r="AS26" s="99" t="s">
        <v>201</v>
      </c>
      <c r="AT26" s="99" t="s">
        <v>201</v>
      </c>
      <c r="AU26" s="99" t="s">
        <v>201</v>
      </c>
      <c r="AV26" s="99" t="s">
        <v>201</v>
      </c>
      <c r="AW26" s="99" t="s">
        <v>201</v>
      </c>
      <c r="AX26" s="99" t="s">
        <v>201</v>
      </c>
      <c r="AY26" s="99"/>
      <c r="AZ26" s="99" t="s">
        <v>194</v>
      </c>
      <c r="BA26" s="99" t="s">
        <v>194</v>
      </c>
      <c r="BB26" s="99" t="s">
        <v>195</v>
      </c>
      <c r="BC26" s="99" t="s">
        <v>196</v>
      </c>
      <c r="BD26" s="99" t="s">
        <v>30</v>
      </c>
      <c r="BE26" s="99" t="s">
        <v>195</v>
      </c>
      <c r="BF26" s="99" t="s">
        <v>195</v>
      </c>
      <c r="BG26" s="99" t="s">
        <v>197</v>
      </c>
      <c r="BH26" s="99" t="s">
        <v>200</v>
      </c>
      <c r="BI26" s="99" t="s">
        <v>198</v>
      </c>
      <c r="BJ26" s="99" t="s">
        <v>195</v>
      </c>
      <c r="BK26" s="99" t="s">
        <v>30</v>
      </c>
      <c r="BL26" s="99" t="s">
        <v>195</v>
      </c>
      <c r="BM26" s="99" t="s">
        <v>195</v>
      </c>
      <c r="BN26" s="99" t="s">
        <v>196</v>
      </c>
      <c r="BO26" s="99" t="s">
        <v>196</v>
      </c>
      <c r="BP26" s="99" t="s">
        <v>30</v>
      </c>
      <c r="BQ26" s="99" t="s">
        <v>196</v>
      </c>
      <c r="BR26" s="99" t="s">
        <v>30</v>
      </c>
      <c r="BS26" s="99" t="s">
        <v>196</v>
      </c>
      <c r="BT26" s="99"/>
      <c r="BU26" s="99" t="s">
        <v>203</v>
      </c>
      <c r="BV26" s="99" t="s">
        <v>203</v>
      </c>
      <c r="BW26" s="99" t="s">
        <v>203</v>
      </c>
      <c r="BX26" s="99" t="s">
        <v>203</v>
      </c>
      <c r="BY26" s="99" t="s">
        <v>203</v>
      </c>
      <c r="BZ26" s="99" t="s">
        <v>203</v>
      </c>
      <c r="CA26" s="99" t="s">
        <v>203</v>
      </c>
      <c r="CB26" s="99"/>
      <c r="CC26" s="99" t="s">
        <v>206</v>
      </c>
      <c r="CD26" s="99"/>
      <c r="CE26" s="99" t="s">
        <v>194</v>
      </c>
      <c r="CF26" s="99"/>
      <c r="CG26" s="99"/>
      <c r="CH26" s="99"/>
      <c r="CI26" s="99" t="s">
        <v>202</v>
      </c>
      <c r="CJ26" s="99" t="s">
        <v>201</v>
      </c>
      <c r="CK26" s="99" t="s">
        <v>201</v>
      </c>
      <c r="CL26" s="99" t="s">
        <v>201</v>
      </c>
      <c r="CM26" s="99" t="s">
        <v>201</v>
      </c>
      <c r="CN26" s="99" t="s">
        <v>201</v>
      </c>
      <c r="CO26" s="99" t="s">
        <v>201</v>
      </c>
      <c r="CP26" s="99" t="s">
        <v>201</v>
      </c>
      <c r="CQ26" s="99" t="s">
        <v>201</v>
      </c>
      <c r="CR26" s="99" t="s">
        <v>201</v>
      </c>
      <c r="CS26" s="99" t="s">
        <v>201</v>
      </c>
      <c r="CT26" s="99" t="s">
        <v>201</v>
      </c>
      <c r="CU26" s="99" t="s">
        <v>201</v>
      </c>
      <c r="CV26" s="99" t="s">
        <v>201</v>
      </c>
      <c r="CW26" s="99" t="s">
        <v>201</v>
      </c>
      <c r="CX26" s="99" t="s">
        <v>201</v>
      </c>
      <c r="CY26" s="99" t="s">
        <v>201</v>
      </c>
      <c r="CZ26" s="99" t="s">
        <v>201</v>
      </c>
      <c r="DA26" s="99" t="s">
        <v>201</v>
      </c>
      <c r="DB26" s="99" t="s">
        <v>201</v>
      </c>
      <c r="DC26" s="99" t="s">
        <v>201</v>
      </c>
      <c r="DD26" s="99" t="s">
        <v>201</v>
      </c>
      <c r="DE26" s="99" t="s">
        <v>201</v>
      </c>
      <c r="DF26" s="99" t="s">
        <v>201</v>
      </c>
      <c r="DG26" s="99" t="s">
        <v>201</v>
      </c>
      <c r="DH26" s="99" t="s">
        <v>201</v>
      </c>
      <c r="DI26" s="99" t="s">
        <v>201</v>
      </c>
      <c r="DJ26" s="99" t="s">
        <v>201</v>
      </c>
      <c r="DK26" s="99"/>
      <c r="DL26" s="99" t="s">
        <v>202</v>
      </c>
      <c r="DM26" s="99" t="s">
        <v>201</v>
      </c>
      <c r="DN26" s="99" t="s">
        <v>201</v>
      </c>
      <c r="DO26" s="99" t="s">
        <v>201</v>
      </c>
      <c r="DP26" s="99" t="s">
        <v>201</v>
      </c>
      <c r="DQ26" s="99" t="s">
        <v>201</v>
      </c>
      <c r="DR26" s="99" t="s">
        <v>201</v>
      </c>
      <c r="DS26" s="99" t="s">
        <v>201</v>
      </c>
      <c r="DT26" s="99" t="s">
        <v>201</v>
      </c>
      <c r="DU26" s="99" t="s">
        <v>201</v>
      </c>
      <c r="DV26" s="99" t="s">
        <v>201</v>
      </c>
      <c r="DW26" s="99" t="s">
        <v>201</v>
      </c>
      <c r="DX26" s="99" t="s">
        <v>201</v>
      </c>
      <c r="DY26" s="99" t="s">
        <v>201</v>
      </c>
      <c r="DZ26" s="99" t="s">
        <v>201</v>
      </c>
      <c r="EA26" s="99"/>
      <c r="EB26" s="99" t="s">
        <v>202</v>
      </c>
      <c r="EC26" s="99" t="s">
        <v>201</v>
      </c>
      <c r="ED26" s="99" t="s">
        <v>201</v>
      </c>
      <c r="EE26" s="99" t="s">
        <v>201</v>
      </c>
      <c r="EF26" s="99" t="s">
        <v>201</v>
      </c>
      <c r="EG26" s="99" t="s">
        <v>201</v>
      </c>
      <c r="EH26" s="100" t="s">
        <v>201</v>
      </c>
    </row>
    <row r="27" spans="1:138" ht="23.25" customHeight="1" x14ac:dyDescent="0.25">
      <c r="A27" s="101" t="s">
        <v>17</v>
      </c>
      <c r="B27" s="90" t="s">
        <v>193</v>
      </c>
      <c r="C27" s="90" t="s">
        <v>194</v>
      </c>
      <c r="D27" s="90" t="s">
        <v>30</v>
      </c>
      <c r="E27" s="90" t="s">
        <v>195</v>
      </c>
      <c r="F27" s="90" t="s">
        <v>30</v>
      </c>
      <c r="G27" s="90" t="s">
        <v>30</v>
      </c>
      <c r="H27" s="90" t="s">
        <v>197</v>
      </c>
      <c r="I27" s="90" t="s">
        <v>195</v>
      </c>
      <c r="J27" s="90" t="s">
        <v>30</v>
      </c>
      <c r="K27" s="90" t="s">
        <v>30</v>
      </c>
      <c r="L27" s="90" t="s">
        <v>195</v>
      </c>
      <c r="M27" s="90" t="s">
        <v>30</v>
      </c>
      <c r="N27" s="90" t="s">
        <v>196</v>
      </c>
      <c r="O27" s="90" t="s">
        <v>197</v>
      </c>
      <c r="P27" s="90" t="s">
        <v>198</v>
      </c>
      <c r="Q27" s="90" t="s">
        <v>198</v>
      </c>
      <c r="R27" s="90" t="s">
        <v>198</v>
      </c>
      <c r="S27" s="90" t="s">
        <v>30</v>
      </c>
      <c r="T27" s="90"/>
      <c r="U27" s="90" t="s">
        <v>194</v>
      </c>
      <c r="V27" s="90" t="s">
        <v>196</v>
      </c>
      <c r="W27" s="90" t="s">
        <v>30</v>
      </c>
      <c r="X27" s="90" t="s">
        <v>30</v>
      </c>
      <c r="Y27" s="90" t="s">
        <v>30</v>
      </c>
      <c r="Z27" s="90" t="s">
        <v>208</v>
      </c>
      <c r="AA27" s="90" t="s">
        <v>196</v>
      </c>
      <c r="AB27" s="90" t="s">
        <v>196</v>
      </c>
      <c r="AC27" s="90" t="s">
        <v>197</v>
      </c>
      <c r="AD27" s="90" t="s">
        <v>197</v>
      </c>
      <c r="AE27" s="90" t="s">
        <v>201</v>
      </c>
      <c r="AF27" s="90" t="s">
        <v>201</v>
      </c>
      <c r="AG27" s="90" t="s">
        <v>201</v>
      </c>
      <c r="AH27" s="90" t="s">
        <v>201</v>
      </c>
      <c r="AI27" s="90" t="s">
        <v>194</v>
      </c>
      <c r="AJ27" s="90" t="s">
        <v>195</v>
      </c>
      <c r="AK27" s="90" t="s">
        <v>30</v>
      </c>
      <c r="AL27" s="90" t="s">
        <v>30</v>
      </c>
      <c r="AM27" s="90"/>
      <c r="AN27" s="90" t="s">
        <v>194</v>
      </c>
      <c r="AO27" s="90" t="s">
        <v>195</v>
      </c>
      <c r="AP27" s="90" t="s">
        <v>195</v>
      </c>
      <c r="AQ27" s="90" t="s">
        <v>195</v>
      </c>
      <c r="AR27" s="90" t="s">
        <v>198</v>
      </c>
      <c r="AS27" s="90" t="s">
        <v>198</v>
      </c>
      <c r="AT27" s="90" t="s">
        <v>195</v>
      </c>
      <c r="AU27" s="90" t="s">
        <v>195</v>
      </c>
      <c r="AV27" s="90" t="s">
        <v>195</v>
      </c>
      <c r="AW27" s="90" t="s">
        <v>195</v>
      </c>
      <c r="AX27" s="90" t="s">
        <v>195</v>
      </c>
      <c r="AY27" s="90"/>
      <c r="AZ27" s="90" t="s">
        <v>202</v>
      </c>
      <c r="BA27" s="90" t="s">
        <v>202</v>
      </c>
      <c r="BB27" s="90" t="s">
        <v>201</v>
      </c>
      <c r="BC27" s="90" t="s">
        <v>201</v>
      </c>
      <c r="BD27" s="90" t="s">
        <v>201</v>
      </c>
      <c r="BE27" s="90" t="s">
        <v>201</v>
      </c>
      <c r="BF27" s="90" t="s">
        <v>201</v>
      </c>
      <c r="BG27" s="90" t="s">
        <v>201</v>
      </c>
      <c r="BH27" s="90" t="s">
        <v>201</v>
      </c>
      <c r="BI27" s="90" t="s">
        <v>201</v>
      </c>
      <c r="BJ27" s="90" t="s">
        <v>201</v>
      </c>
      <c r="BK27" s="90" t="s">
        <v>201</v>
      </c>
      <c r="BL27" s="90" t="s">
        <v>201</v>
      </c>
      <c r="BM27" s="90" t="s">
        <v>201</v>
      </c>
      <c r="BN27" s="90" t="s">
        <v>201</v>
      </c>
      <c r="BO27" s="90" t="s">
        <v>201</v>
      </c>
      <c r="BP27" s="90" t="s">
        <v>201</v>
      </c>
      <c r="BQ27" s="90" t="s">
        <v>201</v>
      </c>
      <c r="BR27" s="90" t="s">
        <v>201</v>
      </c>
      <c r="BS27" s="90" t="s">
        <v>201</v>
      </c>
      <c r="BT27" s="90"/>
      <c r="BU27" s="90" t="s">
        <v>203</v>
      </c>
      <c r="BV27" s="90" t="s">
        <v>203</v>
      </c>
      <c r="BW27" s="90" t="s">
        <v>203</v>
      </c>
      <c r="BX27" s="90" t="s">
        <v>203</v>
      </c>
      <c r="BY27" s="90" t="s">
        <v>203</v>
      </c>
      <c r="BZ27" s="90" t="s">
        <v>203</v>
      </c>
      <c r="CA27" s="90" t="s">
        <v>203</v>
      </c>
      <c r="CB27" s="90"/>
      <c r="CC27" s="90" t="s">
        <v>205</v>
      </c>
      <c r="CD27" s="90"/>
      <c r="CE27" s="90" t="s">
        <v>194</v>
      </c>
      <c r="CF27" s="90"/>
      <c r="CG27" s="90"/>
      <c r="CH27" s="90"/>
      <c r="CI27" s="90" t="s">
        <v>194</v>
      </c>
      <c r="CJ27" s="90" t="s">
        <v>195</v>
      </c>
      <c r="CK27" s="90" t="s">
        <v>195</v>
      </c>
      <c r="CL27" s="90" t="s">
        <v>195</v>
      </c>
      <c r="CM27" s="90" t="s">
        <v>195</v>
      </c>
      <c r="CN27" s="90" t="s">
        <v>195</v>
      </c>
      <c r="CO27" s="90" t="s">
        <v>195</v>
      </c>
      <c r="CP27" s="90" t="s">
        <v>195</v>
      </c>
      <c r="CQ27" s="90" t="s">
        <v>198</v>
      </c>
      <c r="CR27" s="90" t="s">
        <v>30</v>
      </c>
      <c r="CS27" s="90" t="s">
        <v>195</v>
      </c>
      <c r="CT27" s="90" t="s">
        <v>198</v>
      </c>
      <c r="CU27" s="90" t="s">
        <v>198</v>
      </c>
      <c r="CV27" s="90" t="s">
        <v>195</v>
      </c>
      <c r="CW27" s="90" t="s">
        <v>195</v>
      </c>
      <c r="CX27" s="90" t="s">
        <v>195</v>
      </c>
      <c r="CY27" s="90" t="s">
        <v>30</v>
      </c>
      <c r="CZ27" s="90" t="s">
        <v>195</v>
      </c>
      <c r="DA27" s="90" t="s">
        <v>195</v>
      </c>
      <c r="DB27" s="90" t="s">
        <v>195</v>
      </c>
      <c r="DC27" s="90" t="s">
        <v>195</v>
      </c>
      <c r="DD27" s="90" t="s">
        <v>195</v>
      </c>
      <c r="DE27" s="90" t="s">
        <v>195</v>
      </c>
      <c r="DF27" s="90" t="s">
        <v>195</v>
      </c>
      <c r="DG27" s="90" t="s">
        <v>195</v>
      </c>
      <c r="DH27" s="90" t="s">
        <v>195</v>
      </c>
      <c r="DI27" s="90" t="s">
        <v>195</v>
      </c>
      <c r="DJ27" s="90" t="s">
        <v>195</v>
      </c>
      <c r="DK27" s="90"/>
      <c r="DL27" s="90" t="s">
        <v>202</v>
      </c>
      <c r="DM27" s="90" t="s">
        <v>201</v>
      </c>
      <c r="DN27" s="90" t="s">
        <v>201</v>
      </c>
      <c r="DO27" s="90" t="s">
        <v>201</v>
      </c>
      <c r="DP27" s="90" t="s">
        <v>201</v>
      </c>
      <c r="DQ27" s="90" t="s">
        <v>201</v>
      </c>
      <c r="DR27" s="90" t="s">
        <v>201</v>
      </c>
      <c r="DS27" s="90" t="s">
        <v>201</v>
      </c>
      <c r="DT27" s="90" t="s">
        <v>201</v>
      </c>
      <c r="DU27" s="90" t="s">
        <v>201</v>
      </c>
      <c r="DV27" s="90" t="s">
        <v>201</v>
      </c>
      <c r="DW27" s="90" t="s">
        <v>201</v>
      </c>
      <c r="DX27" s="90" t="s">
        <v>201</v>
      </c>
      <c r="DY27" s="90" t="s">
        <v>201</v>
      </c>
      <c r="DZ27" s="90" t="s">
        <v>201</v>
      </c>
      <c r="EA27" s="90"/>
      <c r="EB27" s="90" t="s">
        <v>194</v>
      </c>
      <c r="EC27" s="90" t="s">
        <v>30</v>
      </c>
      <c r="ED27" s="90" t="s">
        <v>30</v>
      </c>
      <c r="EE27" s="90" t="s">
        <v>197</v>
      </c>
      <c r="EF27" s="90" t="s">
        <v>30</v>
      </c>
      <c r="EG27" s="90" t="s">
        <v>30</v>
      </c>
      <c r="EH27" s="102" t="s">
        <v>30</v>
      </c>
    </row>
    <row r="28" spans="1:138" ht="23.25" customHeight="1" x14ac:dyDescent="0.25">
      <c r="A28" s="98" t="s">
        <v>17</v>
      </c>
      <c r="B28" s="99" t="s">
        <v>193</v>
      </c>
      <c r="C28" s="99" t="s">
        <v>194</v>
      </c>
      <c r="D28" s="99" t="s">
        <v>195</v>
      </c>
      <c r="E28" s="99" t="s">
        <v>195</v>
      </c>
      <c r="F28" s="99" t="s">
        <v>30</v>
      </c>
      <c r="G28" s="99" t="s">
        <v>195</v>
      </c>
      <c r="H28" s="99" t="s">
        <v>197</v>
      </c>
      <c r="I28" s="99" t="s">
        <v>195</v>
      </c>
      <c r="J28" s="99" t="s">
        <v>195</v>
      </c>
      <c r="K28" s="99" t="s">
        <v>30</v>
      </c>
      <c r="L28" s="99" t="s">
        <v>30</v>
      </c>
      <c r="M28" s="99" t="s">
        <v>196</v>
      </c>
      <c r="N28" s="99" t="s">
        <v>200</v>
      </c>
      <c r="O28" s="99" t="s">
        <v>195</v>
      </c>
      <c r="P28" s="99" t="s">
        <v>30</v>
      </c>
      <c r="Q28" s="99" t="s">
        <v>30</v>
      </c>
      <c r="R28" s="99" t="s">
        <v>195</v>
      </c>
      <c r="S28" s="99" t="s">
        <v>195</v>
      </c>
      <c r="T28" s="99"/>
      <c r="U28" s="99" t="s">
        <v>194</v>
      </c>
      <c r="V28" s="99" t="s">
        <v>195</v>
      </c>
      <c r="W28" s="99" t="s">
        <v>195</v>
      </c>
      <c r="X28" s="99" t="s">
        <v>30</v>
      </c>
      <c r="Y28" s="99" t="s">
        <v>195</v>
      </c>
      <c r="Z28" s="99" t="s">
        <v>208</v>
      </c>
      <c r="AA28" s="99" t="s">
        <v>196</v>
      </c>
      <c r="AB28" s="99" t="s">
        <v>196</v>
      </c>
      <c r="AC28" s="99" t="s">
        <v>195</v>
      </c>
      <c r="AD28" s="99" t="s">
        <v>195</v>
      </c>
      <c r="AE28" s="99" t="s">
        <v>201</v>
      </c>
      <c r="AF28" s="99" t="s">
        <v>201</v>
      </c>
      <c r="AG28" s="99" t="s">
        <v>201</v>
      </c>
      <c r="AH28" s="99" t="s">
        <v>201</v>
      </c>
      <c r="AI28" s="99" t="s">
        <v>194</v>
      </c>
      <c r="AJ28" s="99" t="s">
        <v>195</v>
      </c>
      <c r="AK28" s="99" t="s">
        <v>195</v>
      </c>
      <c r="AL28" s="99" t="s">
        <v>195</v>
      </c>
      <c r="AM28" s="99"/>
      <c r="AN28" s="99" t="s">
        <v>194</v>
      </c>
      <c r="AO28" s="99" t="s">
        <v>195</v>
      </c>
      <c r="AP28" s="99" t="s">
        <v>195</v>
      </c>
      <c r="AQ28" s="99" t="s">
        <v>195</v>
      </c>
      <c r="AR28" s="99" t="s">
        <v>195</v>
      </c>
      <c r="AS28" s="99" t="s">
        <v>195</v>
      </c>
      <c r="AT28" s="99" t="s">
        <v>195</v>
      </c>
      <c r="AU28" s="99" t="s">
        <v>195</v>
      </c>
      <c r="AV28" s="99" t="s">
        <v>195</v>
      </c>
      <c r="AW28" s="99" t="s">
        <v>195</v>
      </c>
      <c r="AX28" s="99" t="s">
        <v>195</v>
      </c>
      <c r="AY28" s="99"/>
      <c r="AZ28" s="99" t="s">
        <v>202</v>
      </c>
      <c r="BA28" s="99" t="s">
        <v>202</v>
      </c>
      <c r="BB28" s="99" t="s">
        <v>201</v>
      </c>
      <c r="BC28" s="99" t="s">
        <v>201</v>
      </c>
      <c r="BD28" s="99" t="s">
        <v>201</v>
      </c>
      <c r="BE28" s="99" t="s">
        <v>201</v>
      </c>
      <c r="BF28" s="99" t="s">
        <v>201</v>
      </c>
      <c r="BG28" s="99" t="s">
        <v>201</v>
      </c>
      <c r="BH28" s="99" t="s">
        <v>201</v>
      </c>
      <c r="BI28" s="99" t="s">
        <v>201</v>
      </c>
      <c r="BJ28" s="99" t="s">
        <v>201</v>
      </c>
      <c r="BK28" s="99" t="s">
        <v>201</v>
      </c>
      <c r="BL28" s="99" t="s">
        <v>201</v>
      </c>
      <c r="BM28" s="99" t="s">
        <v>201</v>
      </c>
      <c r="BN28" s="99" t="s">
        <v>201</v>
      </c>
      <c r="BO28" s="99" t="s">
        <v>201</v>
      </c>
      <c r="BP28" s="99" t="s">
        <v>201</v>
      </c>
      <c r="BQ28" s="99" t="s">
        <v>201</v>
      </c>
      <c r="BR28" s="99" t="s">
        <v>201</v>
      </c>
      <c r="BS28" s="99" t="s">
        <v>201</v>
      </c>
      <c r="BT28" s="99"/>
      <c r="BU28" s="99" t="s">
        <v>201</v>
      </c>
      <c r="BV28" s="99" t="s">
        <v>195</v>
      </c>
      <c r="BW28" s="99" t="s">
        <v>30</v>
      </c>
      <c r="BX28" s="99" t="s">
        <v>201</v>
      </c>
      <c r="BY28" s="99" t="s">
        <v>201</v>
      </c>
      <c r="BZ28" s="99" t="s">
        <v>201</v>
      </c>
      <c r="CA28" s="99" t="s">
        <v>198</v>
      </c>
      <c r="CB28" s="99"/>
      <c r="CC28" s="99" t="s">
        <v>205</v>
      </c>
      <c r="CD28" s="99"/>
      <c r="CE28" s="99" t="s">
        <v>194</v>
      </c>
      <c r="CF28" s="99"/>
      <c r="CG28" s="99"/>
      <c r="CH28" s="99"/>
      <c r="CI28" s="99" t="s">
        <v>202</v>
      </c>
      <c r="CJ28" s="99" t="s">
        <v>201</v>
      </c>
      <c r="CK28" s="99" t="s">
        <v>201</v>
      </c>
      <c r="CL28" s="99" t="s">
        <v>201</v>
      </c>
      <c r="CM28" s="99" t="s">
        <v>201</v>
      </c>
      <c r="CN28" s="99" t="s">
        <v>201</v>
      </c>
      <c r="CO28" s="99" t="s">
        <v>201</v>
      </c>
      <c r="CP28" s="99" t="s">
        <v>201</v>
      </c>
      <c r="CQ28" s="99" t="s">
        <v>201</v>
      </c>
      <c r="CR28" s="99" t="s">
        <v>201</v>
      </c>
      <c r="CS28" s="99" t="s">
        <v>201</v>
      </c>
      <c r="CT28" s="99" t="s">
        <v>201</v>
      </c>
      <c r="CU28" s="99" t="s">
        <v>201</v>
      </c>
      <c r="CV28" s="99" t="s">
        <v>201</v>
      </c>
      <c r="CW28" s="99" t="s">
        <v>201</v>
      </c>
      <c r="CX28" s="99" t="s">
        <v>201</v>
      </c>
      <c r="CY28" s="99" t="s">
        <v>201</v>
      </c>
      <c r="CZ28" s="99" t="s">
        <v>201</v>
      </c>
      <c r="DA28" s="99" t="s">
        <v>201</v>
      </c>
      <c r="DB28" s="99" t="s">
        <v>201</v>
      </c>
      <c r="DC28" s="99" t="s">
        <v>201</v>
      </c>
      <c r="DD28" s="99" t="s">
        <v>201</v>
      </c>
      <c r="DE28" s="99" t="s">
        <v>201</v>
      </c>
      <c r="DF28" s="99" t="s">
        <v>201</v>
      </c>
      <c r="DG28" s="99" t="s">
        <v>201</v>
      </c>
      <c r="DH28" s="99" t="s">
        <v>201</v>
      </c>
      <c r="DI28" s="99" t="s">
        <v>201</v>
      </c>
      <c r="DJ28" s="99" t="s">
        <v>201</v>
      </c>
      <c r="DK28" s="99"/>
      <c r="DL28" s="99" t="s">
        <v>202</v>
      </c>
      <c r="DM28" s="99" t="s">
        <v>201</v>
      </c>
      <c r="DN28" s="99" t="s">
        <v>201</v>
      </c>
      <c r="DO28" s="99" t="s">
        <v>201</v>
      </c>
      <c r="DP28" s="99" t="s">
        <v>201</v>
      </c>
      <c r="DQ28" s="99" t="s">
        <v>201</v>
      </c>
      <c r="DR28" s="99" t="s">
        <v>201</v>
      </c>
      <c r="DS28" s="99" t="s">
        <v>201</v>
      </c>
      <c r="DT28" s="99" t="s">
        <v>201</v>
      </c>
      <c r="DU28" s="99" t="s">
        <v>201</v>
      </c>
      <c r="DV28" s="99" t="s">
        <v>201</v>
      </c>
      <c r="DW28" s="99" t="s">
        <v>201</v>
      </c>
      <c r="DX28" s="99" t="s">
        <v>201</v>
      </c>
      <c r="DY28" s="99" t="s">
        <v>201</v>
      </c>
      <c r="DZ28" s="99" t="s">
        <v>201</v>
      </c>
      <c r="EA28" s="99"/>
      <c r="EB28" s="99" t="s">
        <v>202</v>
      </c>
      <c r="EC28" s="99" t="s">
        <v>201</v>
      </c>
      <c r="ED28" s="99" t="s">
        <v>201</v>
      </c>
      <c r="EE28" s="99" t="s">
        <v>201</v>
      </c>
      <c r="EF28" s="99" t="s">
        <v>201</v>
      </c>
      <c r="EG28" s="99" t="s">
        <v>201</v>
      </c>
      <c r="EH28" s="100" t="s">
        <v>201</v>
      </c>
    </row>
    <row r="29" spans="1:138" ht="23.25" customHeight="1" x14ac:dyDescent="0.25">
      <c r="A29" s="101" t="s">
        <v>16</v>
      </c>
      <c r="B29" s="90" t="s">
        <v>193</v>
      </c>
      <c r="C29" s="90" t="s">
        <v>202</v>
      </c>
      <c r="D29" s="90" t="s">
        <v>201</v>
      </c>
      <c r="E29" s="90" t="s">
        <v>201</v>
      </c>
      <c r="F29" s="90" t="s">
        <v>201</v>
      </c>
      <c r="G29" s="90" t="s">
        <v>201</v>
      </c>
      <c r="H29" s="90" t="s">
        <v>201</v>
      </c>
      <c r="I29" s="90" t="s">
        <v>201</v>
      </c>
      <c r="J29" s="90" t="s">
        <v>201</v>
      </c>
      <c r="K29" s="90" t="s">
        <v>201</v>
      </c>
      <c r="L29" s="90" t="s">
        <v>201</v>
      </c>
      <c r="M29" s="90" t="s">
        <v>201</v>
      </c>
      <c r="N29" s="90" t="s">
        <v>201</v>
      </c>
      <c r="O29" s="90" t="s">
        <v>201</v>
      </c>
      <c r="P29" s="90" t="s">
        <v>201</v>
      </c>
      <c r="Q29" s="90" t="s">
        <v>201</v>
      </c>
      <c r="R29" s="90" t="s">
        <v>201</v>
      </c>
      <c r="S29" s="90" t="s">
        <v>201</v>
      </c>
      <c r="T29" s="90"/>
      <c r="U29" s="90" t="s">
        <v>194</v>
      </c>
      <c r="V29" s="90" t="s">
        <v>195</v>
      </c>
      <c r="W29" s="90" t="s">
        <v>195</v>
      </c>
      <c r="X29" s="90" t="s">
        <v>195</v>
      </c>
      <c r="Y29" s="90" t="s">
        <v>30</v>
      </c>
      <c r="Z29" s="90" t="s">
        <v>199</v>
      </c>
      <c r="AA29" s="90" t="s">
        <v>201</v>
      </c>
      <c r="AB29" s="90" t="s">
        <v>201</v>
      </c>
      <c r="AC29" s="90" t="s">
        <v>201</v>
      </c>
      <c r="AD29" s="90" t="s">
        <v>201</v>
      </c>
      <c r="AE29" s="90" t="s">
        <v>30</v>
      </c>
      <c r="AF29" s="90" t="s">
        <v>30</v>
      </c>
      <c r="AG29" s="90" t="s">
        <v>30</v>
      </c>
      <c r="AH29" s="90" t="s">
        <v>30</v>
      </c>
      <c r="AI29" s="90" t="s">
        <v>202</v>
      </c>
      <c r="AJ29" s="90" t="s">
        <v>201</v>
      </c>
      <c r="AK29" s="90" t="s">
        <v>201</v>
      </c>
      <c r="AL29" s="90" t="s">
        <v>201</v>
      </c>
      <c r="AM29" s="90"/>
      <c r="AN29" s="90" t="s">
        <v>202</v>
      </c>
      <c r="AO29" s="90" t="s">
        <v>201</v>
      </c>
      <c r="AP29" s="90" t="s">
        <v>201</v>
      </c>
      <c r="AQ29" s="90" t="s">
        <v>201</v>
      </c>
      <c r="AR29" s="90" t="s">
        <v>201</v>
      </c>
      <c r="AS29" s="90" t="s">
        <v>201</v>
      </c>
      <c r="AT29" s="90" t="s">
        <v>201</v>
      </c>
      <c r="AU29" s="90" t="s">
        <v>201</v>
      </c>
      <c r="AV29" s="90" t="s">
        <v>201</v>
      </c>
      <c r="AW29" s="90" t="s">
        <v>201</v>
      </c>
      <c r="AX29" s="90" t="s">
        <v>201</v>
      </c>
      <c r="AY29" s="90"/>
      <c r="AZ29" s="90" t="s">
        <v>202</v>
      </c>
      <c r="BA29" s="90" t="s">
        <v>202</v>
      </c>
      <c r="BB29" s="90" t="s">
        <v>201</v>
      </c>
      <c r="BC29" s="90" t="s">
        <v>201</v>
      </c>
      <c r="BD29" s="90" t="s">
        <v>201</v>
      </c>
      <c r="BE29" s="90" t="s">
        <v>201</v>
      </c>
      <c r="BF29" s="90" t="s">
        <v>201</v>
      </c>
      <c r="BG29" s="90" t="s">
        <v>201</v>
      </c>
      <c r="BH29" s="90" t="s">
        <v>201</v>
      </c>
      <c r="BI29" s="90" t="s">
        <v>201</v>
      </c>
      <c r="BJ29" s="90" t="s">
        <v>201</v>
      </c>
      <c r="BK29" s="90" t="s">
        <v>201</v>
      </c>
      <c r="BL29" s="90" t="s">
        <v>201</v>
      </c>
      <c r="BM29" s="90" t="s">
        <v>201</v>
      </c>
      <c r="BN29" s="90" t="s">
        <v>201</v>
      </c>
      <c r="BO29" s="90" t="s">
        <v>201</v>
      </c>
      <c r="BP29" s="90" t="s">
        <v>201</v>
      </c>
      <c r="BQ29" s="90" t="s">
        <v>201</v>
      </c>
      <c r="BR29" s="90" t="s">
        <v>201</v>
      </c>
      <c r="BS29" s="90" t="s">
        <v>201</v>
      </c>
      <c r="BT29" s="90"/>
      <c r="BU29" s="90" t="s">
        <v>203</v>
      </c>
      <c r="BV29" s="90" t="s">
        <v>203</v>
      </c>
      <c r="BW29" s="90" t="s">
        <v>203</v>
      </c>
      <c r="BX29" s="90" t="s">
        <v>203</v>
      </c>
      <c r="BY29" s="90" t="s">
        <v>203</v>
      </c>
      <c r="BZ29" s="90" t="s">
        <v>203</v>
      </c>
      <c r="CA29" s="90" t="s">
        <v>203</v>
      </c>
      <c r="CB29" s="90"/>
      <c r="CC29" s="90" t="s">
        <v>207</v>
      </c>
      <c r="CD29" s="90"/>
      <c r="CE29" s="90" t="s">
        <v>194</v>
      </c>
      <c r="CF29" s="90"/>
      <c r="CG29" s="90"/>
      <c r="CH29" s="90"/>
      <c r="CI29" s="90" t="s">
        <v>202</v>
      </c>
      <c r="CJ29" s="90" t="s">
        <v>201</v>
      </c>
      <c r="CK29" s="90" t="s">
        <v>201</v>
      </c>
      <c r="CL29" s="90" t="s">
        <v>201</v>
      </c>
      <c r="CM29" s="90" t="s">
        <v>201</v>
      </c>
      <c r="CN29" s="90" t="s">
        <v>201</v>
      </c>
      <c r="CO29" s="90" t="s">
        <v>201</v>
      </c>
      <c r="CP29" s="90" t="s">
        <v>201</v>
      </c>
      <c r="CQ29" s="90" t="s">
        <v>201</v>
      </c>
      <c r="CR29" s="90" t="s">
        <v>201</v>
      </c>
      <c r="CS29" s="90" t="s">
        <v>201</v>
      </c>
      <c r="CT29" s="90" t="s">
        <v>201</v>
      </c>
      <c r="CU29" s="90" t="s">
        <v>201</v>
      </c>
      <c r="CV29" s="90" t="s">
        <v>201</v>
      </c>
      <c r="CW29" s="90" t="s">
        <v>201</v>
      </c>
      <c r="CX29" s="90" t="s">
        <v>201</v>
      </c>
      <c r="CY29" s="90" t="s">
        <v>201</v>
      </c>
      <c r="CZ29" s="90" t="s">
        <v>201</v>
      </c>
      <c r="DA29" s="90" t="s">
        <v>201</v>
      </c>
      <c r="DB29" s="90" t="s">
        <v>201</v>
      </c>
      <c r="DC29" s="90" t="s">
        <v>201</v>
      </c>
      <c r="DD29" s="90" t="s">
        <v>201</v>
      </c>
      <c r="DE29" s="90" t="s">
        <v>201</v>
      </c>
      <c r="DF29" s="90" t="s">
        <v>201</v>
      </c>
      <c r="DG29" s="90" t="s">
        <v>201</v>
      </c>
      <c r="DH29" s="90" t="s">
        <v>201</v>
      </c>
      <c r="DI29" s="90" t="s">
        <v>201</v>
      </c>
      <c r="DJ29" s="90" t="s">
        <v>201</v>
      </c>
      <c r="DK29" s="90"/>
      <c r="DL29" s="90" t="s">
        <v>202</v>
      </c>
      <c r="DM29" s="90" t="s">
        <v>201</v>
      </c>
      <c r="DN29" s="90" t="s">
        <v>201</v>
      </c>
      <c r="DO29" s="90" t="s">
        <v>201</v>
      </c>
      <c r="DP29" s="90" t="s">
        <v>201</v>
      </c>
      <c r="DQ29" s="90" t="s">
        <v>201</v>
      </c>
      <c r="DR29" s="90" t="s">
        <v>201</v>
      </c>
      <c r="DS29" s="90" t="s">
        <v>201</v>
      </c>
      <c r="DT29" s="90" t="s">
        <v>201</v>
      </c>
      <c r="DU29" s="90" t="s">
        <v>201</v>
      </c>
      <c r="DV29" s="90" t="s">
        <v>201</v>
      </c>
      <c r="DW29" s="90" t="s">
        <v>201</v>
      </c>
      <c r="DX29" s="90" t="s">
        <v>201</v>
      </c>
      <c r="DY29" s="90" t="s">
        <v>201</v>
      </c>
      <c r="DZ29" s="90" t="s">
        <v>201</v>
      </c>
      <c r="EA29" s="90"/>
      <c r="EB29" s="90" t="s">
        <v>202</v>
      </c>
      <c r="EC29" s="90" t="s">
        <v>201</v>
      </c>
      <c r="ED29" s="90" t="s">
        <v>201</v>
      </c>
      <c r="EE29" s="90" t="s">
        <v>201</v>
      </c>
      <c r="EF29" s="90" t="s">
        <v>201</v>
      </c>
      <c r="EG29" s="90" t="s">
        <v>201</v>
      </c>
      <c r="EH29" s="102" t="s">
        <v>201</v>
      </c>
    </row>
    <row r="30" spans="1:138" ht="23.25" customHeight="1" x14ac:dyDescent="0.25">
      <c r="A30" s="98" t="s">
        <v>17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198</v>
      </c>
      <c r="G30" s="99" t="s">
        <v>195</v>
      </c>
      <c r="H30" s="99" t="s">
        <v>197</v>
      </c>
      <c r="I30" s="99" t="s">
        <v>197</v>
      </c>
      <c r="J30" s="99" t="s">
        <v>197</v>
      </c>
      <c r="K30" s="99" t="s">
        <v>198</v>
      </c>
      <c r="L30" s="99" t="s">
        <v>195</v>
      </c>
      <c r="M30" s="99" t="s">
        <v>195</v>
      </c>
      <c r="N30" s="99" t="s">
        <v>195</v>
      </c>
      <c r="O30" s="99" t="s">
        <v>198</v>
      </c>
      <c r="P30" s="99" t="s">
        <v>198</v>
      </c>
      <c r="Q30" s="99" t="s">
        <v>195</v>
      </c>
      <c r="R30" s="99" t="s">
        <v>195</v>
      </c>
      <c r="S30" s="99" t="s">
        <v>198</v>
      </c>
      <c r="T30" s="99"/>
      <c r="U30" s="99" t="s">
        <v>194</v>
      </c>
      <c r="V30" s="99" t="s">
        <v>195</v>
      </c>
      <c r="W30" s="99" t="s">
        <v>195</v>
      </c>
      <c r="X30" s="99" t="s">
        <v>195</v>
      </c>
      <c r="Y30" s="99" t="s">
        <v>195</v>
      </c>
      <c r="Z30" s="99" t="s">
        <v>208</v>
      </c>
      <c r="AA30" s="99" t="s">
        <v>197</v>
      </c>
      <c r="AB30" s="99" t="s">
        <v>197</v>
      </c>
      <c r="AC30" s="99" t="s">
        <v>197</v>
      </c>
      <c r="AD30" s="99" t="s">
        <v>197</v>
      </c>
      <c r="AE30" s="99" t="s">
        <v>201</v>
      </c>
      <c r="AF30" s="99" t="s">
        <v>201</v>
      </c>
      <c r="AG30" s="99" t="s">
        <v>201</v>
      </c>
      <c r="AH30" s="99" t="s">
        <v>201</v>
      </c>
      <c r="AI30" s="99" t="s">
        <v>194</v>
      </c>
      <c r="AJ30" s="99" t="s">
        <v>195</v>
      </c>
      <c r="AK30" s="99" t="s">
        <v>195</v>
      </c>
      <c r="AL30" s="99" t="s">
        <v>195</v>
      </c>
      <c r="AM30" s="99"/>
      <c r="AN30" s="99" t="s">
        <v>202</v>
      </c>
      <c r="AO30" s="99" t="s">
        <v>201</v>
      </c>
      <c r="AP30" s="99" t="s">
        <v>201</v>
      </c>
      <c r="AQ30" s="99" t="s">
        <v>201</v>
      </c>
      <c r="AR30" s="99" t="s">
        <v>201</v>
      </c>
      <c r="AS30" s="99" t="s">
        <v>201</v>
      </c>
      <c r="AT30" s="99" t="s">
        <v>201</v>
      </c>
      <c r="AU30" s="99" t="s">
        <v>201</v>
      </c>
      <c r="AV30" s="99" t="s">
        <v>201</v>
      </c>
      <c r="AW30" s="99" t="s">
        <v>201</v>
      </c>
      <c r="AX30" s="99" t="s">
        <v>201</v>
      </c>
      <c r="AY30" s="99"/>
      <c r="AZ30" s="99" t="s">
        <v>202</v>
      </c>
      <c r="BA30" s="99" t="s">
        <v>202</v>
      </c>
      <c r="BB30" s="99" t="s">
        <v>201</v>
      </c>
      <c r="BC30" s="99" t="s">
        <v>201</v>
      </c>
      <c r="BD30" s="99" t="s">
        <v>201</v>
      </c>
      <c r="BE30" s="99" t="s">
        <v>201</v>
      </c>
      <c r="BF30" s="99" t="s">
        <v>201</v>
      </c>
      <c r="BG30" s="99" t="s">
        <v>201</v>
      </c>
      <c r="BH30" s="99" t="s">
        <v>201</v>
      </c>
      <c r="BI30" s="99" t="s">
        <v>201</v>
      </c>
      <c r="BJ30" s="99" t="s">
        <v>201</v>
      </c>
      <c r="BK30" s="99" t="s">
        <v>201</v>
      </c>
      <c r="BL30" s="99" t="s">
        <v>201</v>
      </c>
      <c r="BM30" s="99" t="s">
        <v>201</v>
      </c>
      <c r="BN30" s="99" t="s">
        <v>201</v>
      </c>
      <c r="BO30" s="99" t="s">
        <v>201</v>
      </c>
      <c r="BP30" s="99" t="s">
        <v>201</v>
      </c>
      <c r="BQ30" s="99" t="s">
        <v>201</v>
      </c>
      <c r="BR30" s="99" t="s">
        <v>201</v>
      </c>
      <c r="BS30" s="99" t="s">
        <v>201</v>
      </c>
      <c r="BT30" s="99"/>
      <c r="BU30" s="99" t="s">
        <v>203</v>
      </c>
      <c r="BV30" s="99" t="s">
        <v>203</v>
      </c>
      <c r="BW30" s="99" t="s">
        <v>203</v>
      </c>
      <c r="BX30" s="99" t="s">
        <v>203</v>
      </c>
      <c r="BY30" s="99" t="s">
        <v>203</v>
      </c>
      <c r="BZ30" s="99" t="s">
        <v>203</v>
      </c>
      <c r="CA30" s="99" t="s">
        <v>203</v>
      </c>
      <c r="CB30" s="99"/>
      <c r="CC30" s="99" t="s">
        <v>204</v>
      </c>
      <c r="CD30" s="99"/>
      <c r="CE30" s="99" t="s">
        <v>194</v>
      </c>
      <c r="CF30" s="99"/>
      <c r="CG30" s="99"/>
      <c r="CH30" s="99"/>
      <c r="CI30" s="99" t="s">
        <v>202</v>
      </c>
      <c r="CJ30" s="99" t="s">
        <v>201</v>
      </c>
      <c r="CK30" s="99" t="s">
        <v>201</v>
      </c>
      <c r="CL30" s="99" t="s">
        <v>201</v>
      </c>
      <c r="CM30" s="99" t="s">
        <v>201</v>
      </c>
      <c r="CN30" s="99" t="s">
        <v>201</v>
      </c>
      <c r="CO30" s="99" t="s">
        <v>201</v>
      </c>
      <c r="CP30" s="99" t="s">
        <v>201</v>
      </c>
      <c r="CQ30" s="99" t="s">
        <v>201</v>
      </c>
      <c r="CR30" s="99" t="s">
        <v>201</v>
      </c>
      <c r="CS30" s="99" t="s">
        <v>201</v>
      </c>
      <c r="CT30" s="99" t="s">
        <v>201</v>
      </c>
      <c r="CU30" s="99" t="s">
        <v>201</v>
      </c>
      <c r="CV30" s="99" t="s">
        <v>201</v>
      </c>
      <c r="CW30" s="99" t="s">
        <v>201</v>
      </c>
      <c r="CX30" s="99" t="s">
        <v>201</v>
      </c>
      <c r="CY30" s="99" t="s">
        <v>201</v>
      </c>
      <c r="CZ30" s="99" t="s">
        <v>201</v>
      </c>
      <c r="DA30" s="99" t="s">
        <v>201</v>
      </c>
      <c r="DB30" s="99" t="s">
        <v>201</v>
      </c>
      <c r="DC30" s="99" t="s">
        <v>201</v>
      </c>
      <c r="DD30" s="99" t="s">
        <v>201</v>
      </c>
      <c r="DE30" s="99" t="s">
        <v>201</v>
      </c>
      <c r="DF30" s="99" t="s">
        <v>201</v>
      </c>
      <c r="DG30" s="99" t="s">
        <v>201</v>
      </c>
      <c r="DH30" s="99" t="s">
        <v>201</v>
      </c>
      <c r="DI30" s="99" t="s">
        <v>201</v>
      </c>
      <c r="DJ30" s="99" t="s">
        <v>201</v>
      </c>
      <c r="DK30" s="99"/>
      <c r="DL30" s="99" t="s">
        <v>202</v>
      </c>
      <c r="DM30" s="99" t="s">
        <v>201</v>
      </c>
      <c r="DN30" s="99" t="s">
        <v>201</v>
      </c>
      <c r="DO30" s="99" t="s">
        <v>201</v>
      </c>
      <c r="DP30" s="99" t="s">
        <v>201</v>
      </c>
      <c r="DQ30" s="99" t="s">
        <v>201</v>
      </c>
      <c r="DR30" s="99" t="s">
        <v>201</v>
      </c>
      <c r="DS30" s="99" t="s">
        <v>201</v>
      </c>
      <c r="DT30" s="99" t="s">
        <v>201</v>
      </c>
      <c r="DU30" s="99" t="s">
        <v>201</v>
      </c>
      <c r="DV30" s="99" t="s">
        <v>201</v>
      </c>
      <c r="DW30" s="99" t="s">
        <v>201</v>
      </c>
      <c r="DX30" s="99" t="s">
        <v>201</v>
      </c>
      <c r="DY30" s="99" t="s">
        <v>201</v>
      </c>
      <c r="DZ30" s="99" t="s">
        <v>201</v>
      </c>
      <c r="EA30" s="99"/>
      <c r="EB30" s="99" t="s">
        <v>202</v>
      </c>
      <c r="EC30" s="99" t="s">
        <v>201</v>
      </c>
      <c r="ED30" s="99" t="s">
        <v>201</v>
      </c>
      <c r="EE30" s="99" t="s">
        <v>201</v>
      </c>
      <c r="EF30" s="99" t="s">
        <v>201</v>
      </c>
      <c r="EG30" s="99" t="s">
        <v>201</v>
      </c>
      <c r="EH30" s="100" t="s">
        <v>201</v>
      </c>
    </row>
    <row r="31" spans="1:138" ht="23.25" customHeight="1" x14ac:dyDescent="0.25">
      <c r="A31" s="101" t="s">
        <v>17</v>
      </c>
      <c r="B31" s="90" t="s">
        <v>193</v>
      </c>
      <c r="C31" s="90" t="s">
        <v>202</v>
      </c>
      <c r="D31" s="90" t="s">
        <v>201</v>
      </c>
      <c r="E31" s="90" t="s">
        <v>201</v>
      </c>
      <c r="F31" s="90" t="s">
        <v>201</v>
      </c>
      <c r="G31" s="90" t="s">
        <v>201</v>
      </c>
      <c r="H31" s="90" t="s">
        <v>201</v>
      </c>
      <c r="I31" s="90" t="s">
        <v>201</v>
      </c>
      <c r="J31" s="90" t="s">
        <v>201</v>
      </c>
      <c r="K31" s="90" t="s">
        <v>201</v>
      </c>
      <c r="L31" s="90" t="s">
        <v>201</v>
      </c>
      <c r="M31" s="90" t="s">
        <v>201</v>
      </c>
      <c r="N31" s="90" t="s">
        <v>201</v>
      </c>
      <c r="O31" s="90" t="s">
        <v>201</v>
      </c>
      <c r="P31" s="90" t="s">
        <v>201</v>
      </c>
      <c r="Q31" s="90" t="s">
        <v>201</v>
      </c>
      <c r="R31" s="90" t="s">
        <v>201</v>
      </c>
      <c r="S31" s="90" t="s">
        <v>201</v>
      </c>
      <c r="T31" s="90"/>
      <c r="U31" s="90" t="s">
        <v>194</v>
      </c>
      <c r="V31" s="90" t="s">
        <v>195</v>
      </c>
      <c r="W31" s="90" t="s">
        <v>195</v>
      </c>
      <c r="X31" s="90" t="s">
        <v>195</v>
      </c>
      <c r="Y31" s="90" t="s">
        <v>195</v>
      </c>
      <c r="Z31" s="90" t="s">
        <v>208</v>
      </c>
      <c r="AA31" s="90" t="s">
        <v>195</v>
      </c>
      <c r="AB31" s="90" t="s">
        <v>195</v>
      </c>
      <c r="AC31" s="90" t="s">
        <v>195</v>
      </c>
      <c r="AD31" s="90" t="s">
        <v>195</v>
      </c>
      <c r="AE31" s="90" t="s">
        <v>201</v>
      </c>
      <c r="AF31" s="90" t="s">
        <v>201</v>
      </c>
      <c r="AG31" s="90" t="s">
        <v>201</v>
      </c>
      <c r="AH31" s="90" t="s">
        <v>201</v>
      </c>
      <c r="AI31" s="90" t="s">
        <v>194</v>
      </c>
      <c r="AJ31" s="90" t="s">
        <v>195</v>
      </c>
      <c r="AK31" s="90" t="s">
        <v>195</v>
      </c>
      <c r="AL31" s="90" t="s">
        <v>195</v>
      </c>
      <c r="AM31" s="90"/>
      <c r="AN31" s="90" t="s">
        <v>194</v>
      </c>
      <c r="AO31" s="90" t="s">
        <v>195</v>
      </c>
      <c r="AP31" s="90" t="s">
        <v>195</v>
      </c>
      <c r="AQ31" s="90" t="s">
        <v>195</v>
      </c>
      <c r="AR31" s="90" t="s">
        <v>195</v>
      </c>
      <c r="AS31" s="90" t="s">
        <v>30</v>
      </c>
      <c r="AT31" s="90" t="s">
        <v>195</v>
      </c>
      <c r="AU31" s="90" t="s">
        <v>195</v>
      </c>
      <c r="AV31" s="90" t="s">
        <v>195</v>
      </c>
      <c r="AW31" s="90" t="s">
        <v>195</v>
      </c>
      <c r="AX31" s="90" t="s">
        <v>195</v>
      </c>
      <c r="AY31" s="90"/>
      <c r="AZ31" s="90" t="s">
        <v>202</v>
      </c>
      <c r="BA31" s="90" t="s">
        <v>202</v>
      </c>
      <c r="BB31" s="90" t="s">
        <v>201</v>
      </c>
      <c r="BC31" s="90" t="s">
        <v>201</v>
      </c>
      <c r="BD31" s="90" t="s">
        <v>201</v>
      </c>
      <c r="BE31" s="90" t="s">
        <v>201</v>
      </c>
      <c r="BF31" s="90" t="s">
        <v>201</v>
      </c>
      <c r="BG31" s="90" t="s">
        <v>201</v>
      </c>
      <c r="BH31" s="90" t="s">
        <v>201</v>
      </c>
      <c r="BI31" s="90" t="s">
        <v>201</v>
      </c>
      <c r="BJ31" s="90" t="s">
        <v>201</v>
      </c>
      <c r="BK31" s="90" t="s">
        <v>201</v>
      </c>
      <c r="BL31" s="90" t="s">
        <v>201</v>
      </c>
      <c r="BM31" s="90" t="s">
        <v>201</v>
      </c>
      <c r="BN31" s="90" t="s">
        <v>201</v>
      </c>
      <c r="BO31" s="90" t="s">
        <v>201</v>
      </c>
      <c r="BP31" s="90" t="s">
        <v>201</v>
      </c>
      <c r="BQ31" s="90" t="s">
        <v>201</v>
      </c>
      <c r="BR31" s="90" t="s">
        <v>201</v>
      </c>
      <c r="BS31" s="90" t="s">
        <v>201</v>
      </c>
      <c r="BT31" s="90"/>
      <c r="BU31" s="90" t="s">
        <v>195</v>
      </c>
      <c r="BV31" s="90" t="s">
        <v>195</v>
      </c>
      <c r="BW31" s="90" t="s">
        <v>201</v>
      </c>
      <c r="BX31" s="90" t="s">
        <v>201</v>
      </c>
      <c r="BY31" s="90" t="s">
        <v>201</v>
      </c>
      <c r="BZ31" s="90" t="s">
        <v>201</v>
      </c>
      <c r="CA31" s="90" t="s">
        <v>201</v>
      </c>
      <c r="CB31" s="90"/>
      <c r="CC31" s="90" t="s">
        <v>204</v>
      </c>
      <c r="CD31" s="90"/>
      <c r="CE31" s="90" t="s">
        <v>194</v>
      </c>
      <c r="CF31" s="90"/>
      <c r="CG31" s="90"/>
      <c r="CH31" s="90"/>
      <c r="CI31" s="90" t="s">
        <v>194</v>
      </c>
      <c r="CJ31" s="90" t="s">
        <v>195</v>
      </c>
      <c r="CK31" s="90" t="s">
        <v>195</v>
      </c>
      <c r="CL31" s="90" t="s">
        <v>195</v>
      </c>
      <c r="CM31" s="90" t="s">
        <v>195</v>
      </c>
      <c r="CN31" s="90" t="s">
        <v>195</v>
      </c>
      <c r="CO31" s="90" t="s">
        <v>195</v>
      </c>
      <c r="CP31" s="90" t="s">
        <v>195</v>
      </c>
      <c r="CQ31" s="90" t="s">
        <v>195</v>
      </c>
      <c r="CR31" s="90" t="s">
        <v>30</v>
      </c>
      <c r="CS31" s="90" t="s">
        <v>195</v>
      </c>
      <c r="CT31" s="90" t="s">
        <v>195</v>
      </c>
      <c r="CU31" s="90" t="s">
        <v>195</v>
      </c>
      <c r="CV31" s="90" t="s">
        <v>195</v>
      </c>
      <c r="CW31" s="90" t="s">
        <v>195</v>
      </c>
      <c r="CX31" s="90" t="s">
        <v>195</v>
      </c>
      <c r="CY31" s="90" t="s">
        <v>195</v>
      </c>
      <c r="CZ31" s="90" t="s">
        <v>195</v>
      </c>
      <c r="DA31" s="90" t="s">
        <v>195</v>
      </c>
      <c r="DB31" s="90" t="s">
        <v>195</v>
      </c>
      <c r="DC31" s="90" t="s">
        <v>195</v>
      </c>
      <c r="DD31" s="90" t="s">
        <v>195</v>
      </c>
      <c r="DE31" s="90" t="s">
        <v>195</v>
      </c>
      <c r="DF31" s="90" t="s">
        <v>195</v>
      </c>
      <c r="DG31" s="90" t="s">
        <v>195</v>
      </c>
      <c r="DH31" s="90" t="s">
        <v>195</v>
      </c>
      <c r="DI31" s="90" t="s">
        <v>195</v>
      </c>
      <c r="DJ31" s="90" t="s">
        <v>195</v>
      </c>
      <c r="DK31" s="90"/>
      <c r="DL31" s="90" t="s">
        <v>194</v>
      </c>
      <c r="DM31" s="90" t="s">
        <v>195</v>
      </c>
      <c r="DN31" s="90" t="s">
        <v>195</v>
      </c>
      <c r="DO31" s="90" t="s">
        <v>195</v>
      </c>
      <c r="DP31" s="90" t="s">
        <v>195</v>
      </c>
      <c r="DQ31" s="90" t="s">
        <v>195</v>
      </c>
      <c r="DR31" s="90" t="s">
        <v>195</v>
      </c>
      <c r="DS31" s="90" t="s">
        <v>195</v>
      </c>
      <c r="DT31" s="90" t="s">
        <v>195</v>
      </c>
      <c r="DU31" s="90" t="s">
        <v>195</v>
      </c>
      <c r="DV31" s="90" t="s">
        <v>195</v>
      </c>
      <c r="DW31" s="90" t="s">
        <v>195</v>
      </c>
      <c r="DX31" s="90" t="s">
        <v>195</v>
      </c>
      <c r="DY31" s="90" t="s">
        <v>195</v>
      </c>
      <c r="DZ31" s="90" t="s">
        <v>195</v>
      </c>
      <c r="EA31" s="90"/>
      <c r="EB31" s="90" t="s">
        <v>202</v>
      </c>
      <c r="EC31" s="90" t="s">
        <v>201</v>
      </c>
      <c r="ED31" s="90" t="s">
        <v>201</v>
      </c>
      <c r="EE31" s="90" t="s">
        <v>201</v>
      </c>
      <c r="EF31" s="90" t="s">
        <v>201</v>
      </c>
      <c r="EG31" s="90" t="s">
        <v>201</v>
      </c>
      <c r="EH31" s="102" t="s">
        <v>201</v>
      </c>
    </row>
    <row r="32" spans="1:138" ht="23.25" customHeight="1" x14ac:dyDescent="0.25">
      <c r="A32" s="98" t="s">
        <v>16</v>
      </c>
      <c r="B32" s="99" t="s">
        <v>193</v>
      </c>
      <c r="C32" s="99" t="s">
        <v>194</v>
      </c>
      <c r="D32" s="99" t="s">
        <v>198</v>
      </c>
      <c r="E32" s="99" t="s">
        <v>198</v>
      </c>
      <c r="F32" s="99" t="s">
        <v>198</v>
      </c>
      <c r="G32" s="99" t="s">
        <v>198</v>
      </c>
      <c r="H32" s="99" t="s">
        <v>198</v>
      </c>
      <c r="I32" s="99" t="s">
        <v>198</v>
      </c>
      <c r="J32" s="99" t="s">
        <v>198</v>
      </c>
      <c r="K32" s="99" t="s">
        <v>198</v>
      </c>
      <c r="L32" s="99" t="s">
        <v>198</v>
      </c>
      <c r="M32" s="99" t="s">
        <v>198</v>
      </c>
      <c r="N32" s="99" t="s">
        <v>198</v>
      </c>
      <c r="O32" s="99" t="s">
        <v>198</v>
      </c>
      <c r="P32" s="99" t="s">
        <v>198</v>
      </c>
      <c r="Q32" s="99" t="s">
        <v>198</v>
      </c>
      <c r="R32" s="99" t="s">
        <v>198</v>
      </c>
      <c r="S32" s="99" t="s">
        <v>198</v>
      </c>
      <c r="T32" s="99"/>
      <c r="U32" s="99" t="s">
        <v>194</v>
      </c>
      <c r="V32" s="99" t="s">
        <v>198</v>
      </c>
      <c r="W32" s="99" t="s">
        <v>198</v>
      </c>
      <c r="X32" s="99" t="s">
        <v>198</v>
      </c>
      <c r="Y32" s="99" t="s">
        <v>198</v>
      </c>
      <c r="Z32" s="99" t="s">
        <v>199</v>
      </c>
      <c r="AA32" s="99" t="s">
        <v>201</v>
      </c>
      <c r="AB32" s="99" t="s">
        <v>201</v>
      </c>
      <c r="AC32" s="99" t="s">
        <v>201</v>
      </c>
      <c r="AD32" s="99" t="s">
        <v>201</v>
      </c>
      <c r="AE32" s="99" t="s">
        <v>198</v>
      </c>
      <c r="AF32" s="99" t="s">
        <v>198</v>
      </c>
      <c r="AG32" s="99" t="s">
        <v>198</v>
      </c>
      <c r="AH32" s="99" t="s">
        <v>198</v>
      </c>
      <c r="AI32" s="99" t="s">
        <v>194</v>
      </c>
      <c r="AJ32" s="99" t="s">
        <v>198</v>
      </c>
      <c r="AK32" s="99" t="s">
        <v>198</v>
      </c>
      <c r="AL32" s="99" t="s">
        <v>198</v>
      </c>
      <c r="AM32" s="99"/>
      <c r="AN32" s="99" t="s">
        <v>202</v>
      </c>
      <c r="AO32" s="99" t="s">
        <v>201</v>
      </c>
      <c r="AP32" s="99" t="s">
        <v>201</v>
      </c>
      <c r="AQ32" s="99" t="s">
        <v>201</v>
      </c>
      <c r="AR32" s="99" t="s">
        <v>201</v>
      </c>
      <c r="AS32" s="99" t="s">
        <v>201</v>
      </c>
      <c r="AT32" s="99" t="s">
        <v>201</v>
      </c>
      <c r="AU32" s="99" t="s">
        <v>201</v>
      </c>
      <c r="AV32" s="99" t="s">
        <v>201</v>
      </c>
      <c r="AW32" s="99" t="s">
        <v>201</v>
      </c>
      <c r="AX32" s="99" t="s">
        <v>201</v>
      </c>
      <c r="AY32" s="99"/>
      <c r="AZ32" s="99" t="s">
        <v>202</v>
      </c>
      <c r="BA32" s="99" t="s">
        <v>202</v>
      </c>
      <c r="BB32" s="99" t="s">
        <v>201</v>
      </c>
      <c r="BC32" s="99" t="s">
        <v>201</v>
      </c>
      <c r="BD32" s="99" t="s">
        <v>201</v>
      </c>
      <c r="BE32" s="99" t="s">
        <v>201</v>
      </c>
      <c r="BF32" s="99" t="s">
        <v>201</v>
      </c>
      <c r="BG32" s="99" t="s">
        <v>201</v>
      </c>
      <c r="BH32" s="99" t="s">
        <v>201</v>
      </c>
      <c r="BI32" s="99" t="s">
        <v>201</v>
      </c>
      <c r="BJ32" s="99" t="s">
        <v>201</v>
      </c>
      <c r="BK32" s="99" t="s">
        <v>201</v>
      </c>
      <c r="BL32" s="99" t="s">
        <v>201</v>
      </c>
      <c r="BM32" s="99" t="s">
        <v>201</v>
      </c>
      <c r="BN32" s="99" t="s">
        <v>201</v>
      </c>
      <c r="BO32" s="99" t="s">
        <v>201</v>
      </c>
      <c r="BP32" s="99" t="s">
        <v>201</v>
      </c>
      <c r="BQ32" s="99" t="s">
        <v>201</v>
      </c>
      <c r="BR32" s="99" t="s">
        <v>201</v>
      </c>
      <c r="BS32" s="99" t="s">
        <v>201</v>
      </c>
      <c r="BT32" s="99"/>
      <c r="BU32" s="99" t="s">
        <v>198</v>
      </c>
      <c r="BV32" s="99" t="s">
        <v>198</v>
      </c>
      <c r="BW32" s="99" t="s">
        <v>198</v>
      </c>
      <c r="BX32" s="99" t="s">
        <v>198</v>
      </c>
      <c r="BY32" s="99" t="s">
        <v>198</v>
      </c>
      <c r="BZ32" s="99" t="s">
        <v>198</v>
      </c>
      <c r="CA32" s="99" t="s">
        <v>198</v>
      </c>
      <c r="CB32" s="99"/>
      <c r="CC32" s="99" t="s">
        <v>204</v>
      </c>
      <c r="CD32" s="99"/>
      <c r="CE32" s="99" t="s">
        <v>194</v>
      </c>
      <c r="CF32" s="99"/>
      <c r="CG32" s="99"/>
      <c r="CH32" s="99"/>
      <c r="CI32" s="99" t="s">
        <v>194</v>
      </c>
      <c r="CJ32" s="99" t="s">
        <v>198</v>
      </c>
      <c r="CK32" s="99" t="s">
        <v>198</v>
      </c>
      <c r="CL32" s="99" t="s">
        <v>198</v>
      </c>
      <c r="CM32" s="99" t="s">
        <v>198</v>
      </c>
      <c r="CN32" s="99" t="s">
        <v>198</v>
      </c>
      <c r="CO32" s="99" t="s">
        <v>198</v>
      </c>
      <c r="CP32" s="99" t="s">
        <v>198</v>
      </c>
      <c r="CQ32" s="99" t="s">
        <v>198</v>
      </c>
      <c r="CR32" s="99" t="s">
        <v>198</v>
      </c>
      <c r="CS32" s="99" t="s">
        <v>198</v>
      </c>
      <c r="CT32" s="99" t="s">
        <v>198</v>
      </c>
      <c r="CU32" s="99" t="s">
        <v>198</v>
      </c>
      <c r="CV32" s="99" t="s">
        <v>198</v>
      </c>
      <c r="CW32" s="99" t="s">
        <v>198</v>
      </c>
      <c r="CX32" s="99" t="s">
        <v>198</v>
      </c>
      <c r="CY32" s="99" t="s">
        <v>198</v>
      </c>
      <c r="CZ32" s="99" t="s">
        <v>198</v>
      </c>
      <c r="DA32" s="99" t="s">
        <v>198</v>
      </c>
      <c r="DB32" s="99" t="s">
        <v>198</v>
      </c>
      <c r="DC32" s="99" t="s">
        <v>198</v>
      </c>
      <c r="DD32" s="99" t="s">
        <v>198</v>
      </c>
      <c r="DE32" s="99" t="s">
        <v>198</v>
      </c>
      <c r="DF32" s="99" t="s">
        <v>198</v>
      </c>
      <c r="DG32" s="99" t="s">
        <v>198</v>
      </c>
      <c r="DH32" s="99" t="s">
        <v>198</v>
      </c>
      <c r="DI32" s="99" t="s">
        <v>198</v>
      </c>
      <c r="DJ32" s="99" t="s">
        <v>198</v>
      </c>
      <c r="DK32" s="99"/>
      <c r="DL32" s="99" t="s">
        <v>194</v>
      </c>
      <c r="DM32" s="99" t="s">
        <v>198</v>
      </c>
      <c r="DN32" s="99" t="s">
        <v>198</v>
      </c>
      <c r="DO32" s="99" t="s">
        <v>198</v>
      </c>
      <c r="DP32" s="99" t="s">
        <v>198</v>
      </c>
      <c r="DQ32" s="99" t="s">
        <v>198</v>
      </c>
      <c r="DR32" s="99" t="s">
        <v>198</v>
      </c>
      <c r="DS32" s="99" t="s">
        <v>198</v>
      </c>
      <c r="DT32" s="99" t="s">
        <v>198</v>
      </c>
      <c r="DU32" s="99" t="s">
        <v>198</v>
      </c>
      <c r="DV32" s="99" t="s">
        <v>198</v>
      </c>
      <c r="DW32" s="99" t="s">
        <v>198</v>
      </c>
      <c r="DX32" s="99" t="s">
        <v>198</v>
      </c>
      <c r="DY32" s="99" t="s">
        <v>198</v>
      </c>
      <c r="DZ32" s="99" t="s">
        <v>198</v>
      </c>
      <c r="EA32" s="99"/>
      <c r="EB32" s="99" t="s">
        <v>202</v>
      </c>
      <c r="EC32" s="99" t="s">
        <v>201</v>
      </c>
      <c r="ED32" s="99" t="s">
        <v>201</v>
      </c>
      <c r="EE32" s="99" t="s">
        <v>201</v>
      </c>
      <c r="EF32" s="99" t="s">
        <v>201</v>
      </c>
      <c r="EG32" s="99" t="s">
        <v>201</v>
      </c>
      <c r="EH32" s="100" t="s">
        <v>201</v>
      </c>
    </row>
    <row r="33" spans="1:138" ht="23.25" customHeight="1" x14ac:dyDescent="0.25">
      <c r="A33" s="101" t="s">
        <v>16</v>
      </c>
      <c r="B33" s="90" t="s">
        <v>193</v>
      </c>
      <c r="C33" s="90" t="s">
        <v>202</v>
      </c>
      <c r="D33" s="90" t="s">
        <v>201</v>
      </c>
      <c r="E33" s="90" t="s">
        <v>201</v>
      </c>
      <c r="F33" s="90" t="s">
        <v>201</v>
      </c>
      <c r="G33" s="90" t="s">
        <v>201</v>
      </c>
      <c r="H33" s="90" t="s">
        <v>201</v>
      </c>
      <c r="I33" s="90" t="s">
        <v>201</v>
      </c>
      <c r="J33" s="90" t="s">
        <v>201</v>
      </c>
      <c r="K33" s="90" t="s">
        <v>201</v>
      </c>
      <c r="L33" s="90" t="s">
        <v>201</v>
      </c>
      <c r="M33" s="90" t="s">
        <v>201</v>
      </c>
      <c r="N33" s="90" t="s">
        <v>201</v>
      </c>
      <c r="O33" s="90" t="s">
        <v>201</v>
      </c>
      <c r="P33" s="90" t="s">
        <v>201</v>
      </c>
      <c r="Q33" s="90" t="s">
        <v>201</v>
      </c>
      <c r="R33" s="90" t="s">
        <v>201</v>
      </c>
      <c r="S33" s="90" t="s">
        <v>201</v>
      </c>
      <c r="T33" s="90"/>
      <c r="U33" s="90" t="s">
        <v>202</v>
      </c>
      <c r="V33" s="90" t="s">
        <v>201</v>
      </c>
      <c r="W33" s="90" t="s">
        <v>201</v>
      </c>
      <c r="X33" s="90" t="s">
        <v>201</v>
      </c>
      <c r="Y33" s="90" t="s">
        <v>201</v>
      </c>
      <c r="Z33" s="90" t="s">
        <v>199</v>
      </c>
      <c r="AA33" s="90" t="s">
        <v>201</v>
      </c>
      <c r="AB33" s="90" t="s">
        <v>201</v>
      </c>
      <c r="AC33" s="90" t="s">
        <v>201</v>
      </c>
      <c r="AD33" s="90" t="s">
        <v>201</v>
      </c>
      <c r="AE33" s="90" t="s">
        <v>201</v>
      </c>
      <c r="AF33" s="90" t="s">
        <v>201</v>
      </c>
      <c r="AG33" s="90" t="s">
        <v>201</v>
      </c>
      <c r="AH33" s="90" t="s">
        <v>201</v>
      </c>
      <c r="AI33" s="90" t="s">
        <v>202</v>
      </c>
      <c r="AJ33" s="90" t="s">
        <v>201</v>
      </c>
      <c r="AK33" s="90" t="s">
        <v>201</v>
      </c>
      <c r="AL33" s="90" t="s">
        <v>201</v>
      </c>
      <c r="AM33" s="90"/>
      <c r="AN33" s="90" t="s">
        <v>202</v>
      </c>
      <c r="AO33" s="90" t="s">
        <v>201</v>
      </c>
      <c r="AP33" s="90" t="s">
        <v>201</v>
      </c>
      <c r="AQ33" s="90" t="s">
        <v>201</v>
      </c>
      <c r="AR33" s="90" t="s">
        <v>201</v>
      </c>
      <c r="AS33" s="90" t="s">
        <v>201</v>
      </c>
      <c r="AT33" s="90" t="s">
        <v>201</v>
      </c>
      <c r="AU33" s="90" t="s">
        <v>201</v>
      </c>
      <c r="AV33" s="90" t="s">
        <v>201</v>
      </c>
      <c r="AW33" s="90" t="s">
        <v>201</v>
      </c>
      <c r="AX33" s="90" t="s">
        <v>201</v>
      </c>
      <c r="AY33" s="90"/>
      <c r="AZ33" s="90" t="s">
        <v>202</v>
      </c>
      <c r="BA33" s="90" t="s">
        <v>202</v>
      </c>
      <c r="BB33" s="90" t="s">
        <v>201</v>
      </c>
      <c r="BC33" s="90" t="s">
        <v>201</v>
      </c>
      <c r="BD33" s="90" t="s">
        <v>201</v>
      </c>
      <c r="BE33" s="90" t="s">
        <v>201</v>
      </c>
      <c r="BF33" s="90" t="s">
        <v>201</v>
      </c>
      <c r="BG33" s="90" t="s">
        <v>201</v>
      </c>
      <c r="BH33" s="90" t="s">
        <v>201</v>
      </c>
      <c r="BI33" s="90" t="s">
        <v>201</v>
      </c>
      <c r="BJ33" s="90" t="s">
        <v>201</v>
      </c>
      <c r="BK33" s="90" t="s">
        <v>201</v>
      </c>
      <c r="BL33" s="90" t="s">
        <v>201</v>
      </c>
      <c r="BM33" s="90" t="s">
        <v>201</v>
      </c>
      <c r="BN33" s="90" t="s">
        <v>201</v>
      </c>
      <c r="BO33" s="90" t="s">
        <v>201</v>
      </c>
      <c r="BP33" s="90" t="s">
        <v>201</v>
      </c>
      <c r="BQ33" s="90" t="s">
        <v>201</v>
      </c>
      <c r="BR33" s="90" t="s">
        <v>201</v>
      </c>
      <c r="BS33" s="90" t="s">
        <v>201</v>
      </c>
      <c r="BT33" s="90"/>
      <c r="BU33" s="90" t="s">
        <v>203</v>
      </c>
      <c r="BV33" s="90" t="s">
        <v>203</v>
      </c>
      <c r="BW33" s="90" t="s">
        <v>203</v>
      </c>
      <c r="BX33" s="90" t="s">
        <v>203</v>
      </c>
      <c r="BY33" s="90" t="s">
        <v>203</v>
      </c>
      <c r="BZ33" s="90" t="s">
        <v>203</v>
      </c>
      <c r="CA33" s="90" t="s">
        <v>203</v>
      </c>
      <c r="CB33" s="90"/>
      <c r="CC33" s="90" t="s">
        <v>206</v>
      </c>
      <c r="CD33" s="90"/>
      <c r="CE33" s="90" t="s">
        <v>194</v>
      </c>
      <c r="CF33" s="90"/>
      <c r="CG33" s="90"/>
      <c r="CH33" s="90"/>
      <c r="CI33" s="90" t="s">
        <v>202</v>
      </c>
      <c r="CJ33" s="90" t="s">
        <v>201</v>
      </c>
      <c r="CK33" s="90" t="s">
        <v>201</v>
      </c>
      <c r="CL33" s="90" t="s">
        <v>201</v>
      </c>
      <c r="CM33" s="90" t="s">
        <v>201</v>
      </c>
      <c r="CN33" s="90" t="s">
        <v>201</v>
      </c>
      <c r="CO33" s="90" t="s">
        <v>201</v>
      </c>
      <c r="CP33" s="90" t="s">
        <v>201</v>
      </c>
      <c r="CQ33" s="90" t="s">
        <v>201</v>
      </c>
      <c r="CR33" s="90" t="s">
        <v>201</v>
      </c>
      <c r="CS33" s="90" t="s">
        <v>201</v>
      </c>
      <c r="CT33" s="90" t="s">
        <v>201</v>
      </c>
      <c r="CU33" s="90" t="s">
        <v>201</v>
      </c>
      <c r="CV33" s="90" t="s">
        <v>201</v>
      </c>
      <c r="CW33" s="90" t="s">
        <v>201</v>
      </c>
      <c r="CX33" s="90" t="s">
        <v>201</v>
      </c>
      <c r="CY33" s="90" t="s">
        <v>201</v>
      </c>
      <c r="CZ33" s="90" t="s">
        <v>201</v>
      </c>
      <c r="DA33" s="90" t="s">
        <v>201</v>
      </c>
      <c r="DB33" s="90" t="s">
        <v>201</v>
      </c>
      <c r="DC33" s="90" t="s">
        <v>201</v>
      </c>
      <c r="DD33" s="90" t="s">
        <v>201</v>
      </c>
      <c r="DE33" s="90" t="s">
        <v>201</v>
      </c>
      <c r="DF33" s="90" t="s">
        <v>201</v>
      </c>
      <c r="DG33" s="90" t="s">
        <v>201</v>
      </c>
      <c r="DH33" s="90" t="s">
        <v>201</v>
      </c>
      <c r="DI33" s="90" t="s">
        <v>201</v>
      </c>
      <c r="DJ33" s="90" t="s">
        <v>201</v>
      </c>
      <c r="DK33" s="90"/>
      <c r="DL33" s="90" t="s">
        <v>202</v>
      </c>
      <c r="DM33" s="90" t="s">
        <v>201</v>
      </c>
      <c r="DN33" s="90" t="s">
        <v>201</v>
      </c>
      <c r="DO33" s="90" t="s">
        <v>201</v>
      </c>
      <c r="DP33" s="90" t="s">
        <v>201</v>
      </c>
      <c r="DQ33" s="90" t="s">
        <v>201</v>
      </c>
      <c r="DR33" s="90" t="s">
        <v>201</v>
      </c>
      <c r="DS33" s="90" t="s">
        <v>201</v>
      </c>
      <c r="DT33" s="90" t="s">
        <v>201</v>
      </c>
      <c r="DU33" s="90" t="s">
        <v>201</v>
      </c>
      <c r="DV33" s="90" t="s">
        <v>201</v>
      </c>
      <c r="DW33" s="90" t="s">
        <v>201</v>
      </c>
      <c r="DX33" s="90" t="s">
        <v>201</v>
      </c>
      <c r="DY33" s="90" t="s">
        <v>201</v>
      </c>
      <c r="DZ33" s="90" t="s">
        <v>201</v>
      </c>
      <c r="EA33" s="90"/>
      <c r="EB33" s="90" t="s">
        <v>202</v>
      </c>
      <c r="EC33" s="90" t="s">
        <v>201</v>
      </c>
      <c r="ED33" s="90" t="s">
        <v>201</v>
      </c>
      <c r="EE33" s="90" t="s">
        <v>201</v>
      </c>
      <c r="EF33" s="90" t="s">
        <v>201</v>
      </c>
      <c r="EG33" s="90" t="s">
        <v>201</v>
      </c>
      <c r="EH33" s="102" t="s">
        <v>201</v>
      </c>
    </row>
    <row r="34" spans="1:138" ht="23.25" customHeight="1" x14ac:dyDescent="0.25">
      <c r="A34" s="98" t="s">
        <v>17</v>
      </c>
      <c r="B34" s="99" t="s">
        <v>193</v>
      </c>
      <c r="C34" s="99" t="s">
        <v>202</v>
      </c>
      <c r="D34" s="99" t="s">
        <v>201</v>
      </c>
      <c r="E34" s="99" t="s">
        <v>201</v>
      </c>
      <c r="F34" s="99" t="s">
        <v>201</v>
      </c>
      <c r="G34" s="99" t="s">
        <v>201</v>
      </c>
      <c r="H34" s="99" t="s">
        <v>201</v>
      </c>
      <c r="I34" s="99" t="s">
        <v>201</v>
      </c>
      <c r="J34" s="99" t="s">
        <v>201</v>
      </c>
      <c r="K34" s="99" t="s">
        <v>201</v>
      </c>
      <c r="L34" s="99" t="s">
        <v>201</v>
      </c>
      <c r="M34" s="99" t="s">
        <v>201</v>
      </c>
      <c r="N34" s="99" t="s">
        <v>201</v>
      </c>
      <c r="O34" s="99" t="s">
        <v>201</v>
      </c>
      <c r="P34" s="99" t="s">
        <v>201</v>
      </c>
      <c r="Q34" s="99" t="s">
        <v>201</v>
      </c>
      <c r="R34" s="99" t="s">
        <v>201</v>
      </c>
      <c r="S34" s="99" t="s">
        <v>201</v>
      </c>
      <c r="T34" s="99"/>
      <c r="U34" s="99" t="s">
        <v>202</v>
      </c>
      <c r="V34" s="99" t="s">
        <v>201</v>
      </c>
      <c r="W34" s="99" t="s">
        <v>201</v>
      </c>
      <c r="X34" s="99" t="s">
        <v>201</v>
      </c>
      <c r="Y34" s="99" t="s">
        <v>201</v>
      </c>
      <c r="Z34" s="99" t="s">
        <v>17</v>
      </c>
      <c r="AA34" s="99" t="s">
        <v>201</v>
      </c>
      <c r="AB34" s="99" t="s">
        <v>201</v>
      </c>
      <c r="AC34" s="99" t="s">
        <v>201</v>
      </c>
      <c r="AD34" s="99" t="s">
        <v>201</v>
      </c>
      <c r="AE34" s="99" t="s">
        <v>201</v>
      </c>
      <c r="AF34" s="99" t="s">
        <v>201</v>
      </c>
      <c r="AG34" s="99" t="s">
        <v>201</v>
      </c>
      <c r="AH34" s="99" t="s">
        <v>201</v>
      </c>
      <c r="AI34" s="99" t="s">
        <v>202</v>
      </c>
      <c r="AJ34" s="99" t="s">
        <v>201</v>
      </c>
      <c r="AK34" s="99" t="s">
        <v>201</v>
      </c>
      <c r="AL34" s="99" t="s">
        <v>201</v>
      </c>
      <c r="AM34" s="99"/>
      <c r="AN34" s="99" t="s">
        <v>194</v>
      </c>
      <c r="AO34" s="99" t="s">
        <v>195</v>
      </c>
      <c r="AP34" s="99" t="s">
        <v>195</v>
      </c>
      <c r="AQ34" s="99" t="s">
        <v>195</v>
      </c>
      <c r="AR34" s="99" t="s">
        <v>195</v>
      </c>
      <c r="AS34" s="99" t="s">
        <v>195</v>
      </c>
      <c r="AT34" s="99" t="s">
        <v>195</v>
      </c>
      <c r="AU34" s="99" t="s">
        <v>195</v>
      </c>
      <c r="AV34" s="99" t="s">
        <v>195</v>
      </c>
      <c r="AW34" s="99" t="s">
        <v>195</v>
      </c>
      <c r="AX34" s="99" t="s">
        <v>195</v>
      </c>
      <c r="AY34" s="99"/>
      <c r="AZ34" s="99" t="s">
        <v>194</v>
      </c>
      <c r="BA34" s="99" t="s">
        <v>194</v>
      </c>
      <c r="BB34" s="99" t="s">
        <v>196</v>
      </c>
      <c r="BC34" s="99" t="s">
        <v>195</v>
      </c>
      <c r="BD34" s="99" t="s">
        <v>195</v>
      </c>
      <c r="BE34" s="99" t="s">
        <v>195</v>
      </c>
      <c r="BF34" s="99" t="s">
        <v>195</v>
      </c>
      <c r="BG34" s="99" t="s">
        <v>195</v>
      </c>
      <c r="BH34" s="99" t="s">
        <v>195</v>
      </c>
      <c r="BI34" s="99" t="s">
        <v>195</v>
      </c>
      <c r="BJ34" s="99" t="s">
        <v>196</v>
      </c>
      <c r="BK34" s="99" t="s">
        <v>195</v>
      </c>
      <c r="BL34" s="99" t="s">
        <v>198</v>
      </c>
      <c r="BM34" s="99" t="s">
        <v>198</v>
      </c>
      <c r="BN34" s="99" t="s">
        <v>195</v>
      </c>
      <c r="BO34" s="99" t="s">
        <v>195</v>
      </c>
      <c r="BP34" s="99" t="s">
        <v>195</v>
      </c>
      <c r="BQ34" s="99" t="s">
        <v>195</v>
      </c>
      <c r="BR34" s="99" t="s">
        <v>195</v>
      </c>
      <c r="BS34" s="99" t="s">
        <v>195</v>
      </c>
      <c r="BT34" s="99"/>
      <c r="BU34" s="99" t="s">
        <v>203</v>
      </c>
      <c r="BV34" s="99" t="s">
        <v>203</v>
      </c>
      <c r="BW34" s="99" t="s">
        <v>203</v>
      </c>
      <c r="BX34" s="99" t="s">
        <v>203</v>
      </c>
      <c r="BY34" s="99" t="s">
        <v>203</v>
      </c>
      <c r="BZ34" s="99" t="s">
        <v>203</v>
      </c>
      <c r="CA34" s="99" t="s">
        <v>203</v>
      </c>
      <c r="CB34" s="99"/>
      <c r="CC34" s="99" t="s">
        <v>205</v>
      </c>
      <c r="CD34" s="99"/>
      <c r="CE34" s="99" t="s">
        <v>194</v>
      </c>
      <c r="CF34" s="99"/>
      <c r="CG34" s="99"/>
      <c r="CH34" s="99"/>
      <c r="CI34" s="99" t="s">
        <v>202</v>
      </c>
      <c r="CJ34" s="99" t="s">
        <v>201</v>
      </c>
      <c r="CK34" s="99" t="s">
        <v>201</v>
      </c>
      <c r="CL34" s="99" t="s">
        <v>201</v>
      </c>
      <c r="CM34" s="99" t="s">
        <v>201</v>
      </c>
      <c r="CN34" s="99" t="s">
        <v>201</v>
      </c>
      <c r="CO34" s="99" t="s">
        <v>201</v>
      </c>
      <c r="CP34" s="99" t="s">
        <v>201</v>
      </c>
      <c r="CQ34" s="99" t="s">
        <v>201</v>
      </c>
      <c r="CR34" s="99" t="s">
        <v>201</v>
      </c>
      <c r="CS34" s="99" t="s">
        <v>201</v>
      </c>
      <c r="CT34" s="99" t="s">
        <v>201</v>
      </c>
      <c r="CU34" s="99" t="s">
        <v>201</v>
      </c>
      <c r="CV34" s="99" t="s">
        <v>201</v>
      </c>
      <c r="CW34" s="99" t="s">
        <v>201</v>
      </c>
      <c r="CX34" s="99" t="s">
        <v>201</v>
      </c>
      <c r="CY34" s="99" t="s">
        <v>201</v>
      </c>
      <c r="CZ34" s="99" t="s">
        <v>201</v>
      </c>
      <c r="DA34" s="99" t="s">
        <v>201</v>
      </c>
      <c r="DB34" s="99" t="s">
        <v>201</v>
      </c>
      <c r="DC34" s="99" t="s">
        <v>201</v>
      </c>
      <c r="DD34" s="99" t="s">
        <v>201</v>
      </c>
      <c r="DE34" s="99" t="s">
        <v>201</v>
      </c>
      <c r="DF34" s="99" t="s">
        <v>201</v>
      </c>
      <c r="DG34" s="99" t="s">
        <v>201</v>
      </c>
      <c r="DH34" s="99" t="s">
        <v>201</v>
      </c>
      <c r="DI34" s="99" t="s">
        <v>201</v>
      </c>
      <c r="DJ34" s="99" t="s">
        <v>201</v>
      </c>
      <c r="DK34" s="99"/>
      <c r="DL34" s="99" t="s">
        <v>202</v>
      </c>
      <c r="DM34" s="99" t="s">
        <v>201</v>
      </c>
      <c r="DN34" s="99" t="s">
        <v>201</v>
      </c>
      <c r="DO34" s="99" t="s">
        <v>201</v>
      </c>
      <c r="DP34" s="99" t="s">
        <v>201</v>
      </c>
      <c r="DQ34" s="99" t="s">
        <v>201</v>
      </c>
      <c r="DR34" s="99" t="s">
        <v>201</v>
      </c>
      <c r="DS34" s="99" t="s">
        <v>201</v>
      </c>
      <c r="DT34" s="99" t="s">
        <v>201</v>
      </c>
      <c r="DU34" s="99" t="s">
        <v>201</v>
      </c>
      <c r="DV34" s="99" t="s">
        <v>201</v>
      </c>
      <c r="DW34" s="99" t="s">
        <v>201</v>
      </c>
      <c r="DX34" s="99" t="s">
        <v>201</v>
      </c>
      <c r="DY34" s="99" t="s">
        <v>201</v>
      </c>
      <c r="DZ34" s="99" t="s">
        <v>201</v>
      </c>
      <c r="EA34" s="99"/>
      <c r="EB34" s="99" t="s">
        <v>202</v>
      </c>
      <c r="EC34" s="99" t="s">
        <v>201</v>
      </c>
      <c r="ED34" s="99" t="s">
        <v>201</v>
      </c>
      <c r="EE34" s="99" t="s">
        <v>201</v>
      </c>
      <c r="EF34" s="99" t="s">
        <v>201</v>
      </c>
      <c r="EG34" s="99" t="s">
        <v>201</v>
      </c>
      <c r="EH34" s="100" t="s">
        <v>201</v>
      </c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1</v>
      </c>
      <c r="E10" s="4">
        <f>COUNTIF(Resp4[4.14],B10)</f>
        <v>1</v>
      </c>
      <c r="F10" s="4">
        <f t="shared" si="0"/>
        <v>3.03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COUNTIFS(Resp4[Vínculo],"tecnico",Resp4[4.14],B11)</f>
        <v>1</v>
      </c>
      <c r="D11" s="4">
        <f>COUNTIFS(Resp4[Vínculo],"docente",Resp4[4.14],B11)</f>
        <v>8</v>
      </c>
      <c r="E11" s="4">
        <f>COUNTIF(Resp4[4.14],B11)</f>
        <v>9</v>
      </c>
      <c r="F11" s="4">
        <f t="shared" si="0"/>
        <v>27.27</v>
      </c>
      <c r="G11" s="3">
        <f t="shared" si="1"/>
        <v>47.368000000000002</v>
      </c>
    </row>
    <row r="12" spans="1:7" x14ac:dyDescent="0.25">
      <c r="B12" s="7" t="s">
        <v>198</v>
      </c>
      <c r="C12" s="4">
        <f>COUNTIFS(Resp4[Vínculo],"tecnico",Resp4[4.14],B12)</f>
        <v>2</v>
      </c>
      <c r="D12" s="4">
        <f>COUNTIFS(Resp4[Vínculo],"docente",Resp4[4.14],B12)</f>
        <v>7</v>
      </c>
      <c r="E12" s="4">
        <f>COUNTIF(Resp4[4.14],B12)</f>
        <v>9</v>
      </c>
      <c r="F12" s="22">
        <f t="shared" si="0"/>
        <v>27.27</v>
      </c>
      <c r="G12" s="3">
        <f t="shared" si="1"/>
        <v>47.368000000000002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93.75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COUNTIFS(Resp4[Vínculo],"tecnico",Resp4[4.15],B7)</f>
        <v>0</v>
      </c>
      <c r="D7" s="4">
        <f>COUNTIFS(Resp4[Vínculo],"docente",Resp4[4.15],B7)</f>
        <v>0</v>
      </c>
      <c r="E7" s="4">
        <f>COUNTIF(Resp4[4.15],B7)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COUNTIFS(Resp4[Vínculo],"tecnico",Resp4[4.15],B8)</f>
        <v>0</v>
      </c>
      <c r="D8" s="4">
        <f>COUNTIFS(Resp4[Vínculo],"docente",Resp4[4.15],B8)</f>
        <v>1</v>
      </c>
      <c r="E8" s="4">
        <f>COUNTIF(Resp4[4.15],B8)</f>
        <v>1</v>
      </c>
      <c r="F8" s="4">
        <f t="shared" si="0"/>
        <v>3.03</v>
      </c>
      <c r="G8" s="3">
        <f t="shared" si="1"/>
        <v>5.2629999999999999</v>
      </c>
    </row>
    <row r="9" spans="1:7" x14ac:dyDescent="0.25">
      <c r="B9" s="2" t="s">
        <v>196</v>
      </c>
      <c r="C9" s="4">
        <f>COUNTIFS(Resp4[Vínculo],"tecnico",Resp4[4.15],B9)</f>
        <v>0</v>
      </c>
      <c r="D9" s="4">
        <f>COUNTIFS(Resp4[Vínculo],"docente",Resp4[4.15],B9)</f>
        <v>1</v>
      </c>
      <c r="E9" s="4">
        <f>COUNTIF(Resp4[4.15],B9)</f>
        <v>1</v>
      </c>
      <c r="F9" s="4">
        <f t="shared" si="0"/>
        <v>3.03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4</v>
      </c>
      <c r="E10" s="4">
        <f>COUNTIF(Resp4[4.15],B10)</f>
        <v>4</v>
      </c>
      <c r="F10" s="4">
        <f t="shared" si="0"/>
        <v>12.12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COUNTIFS(Resp4[Vínculo],"tecnico",Resp4[4.15],B11)</f>
        <v>1</v>
      </c>
      <c r="D11" s="4">
        <f>COUNTIFS(Resp4[Vínculo],"docente",Resp4[4.15],B11)</f>
        <v>6</v>
      </c>
      <c r="E11" s="4">
        <f>COUNTIF(Resp4[4.15],B11)</f>
        <v>7</v>
      </c>
      <c r="F11" s="4">
        <f t="shared" si="0"/>
        <v>21.21</v>
      </c>
      <c r="G11" s="3">
        <f t="shared" si="1"/>
        <v>36.841999999999999</v>
      </c>
    </row>
    <row r="12" spans="1:7" x14ac:dyDescent="0.25">
      <c r="B12" s="7" t="s">
        <v>198</v>
      </c>
      <c r="C12" s="4">
        <f>COUNTIFS(Resp4[Vínculo],"tecnico",Resp4[4.15],B12)</f>
        <v>2</v>
      </c>
      <c r="D12" s="4">
        <f>COUNTIFS(Resp4[Vínculo],"docente",Resp4[4.15],B12)</f>
        <v>4</v>
      </c>
      <c r="E12" s="4">
        <f>COUNTIF(Resp4[4.15],B12)</f>
        <v>6</v>
      </c>
      <c r="F12" s="22">
        <f t="shared" si="0"/>
        <v>18.18</v>
      </c>
      <c r="G12" s="3">
        <f t="shared" si="1"/>
        <v>31.579000000000001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COUNTIFS(Resp4[Vínculo],"tecnico",Resp4[4.16],B7)</f>
        <v>0</v>
      </c>
      <c r="D7" s="4">
        <f>COUNTIFS(Resp4[Vínculo],"docente",Resp4[4.16],B7)</f>
        <v>0</v>
      </c>
      <c r="E7" s="4">
        <f>COUNTIF(Resp4[4.16],B7)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COUNTIFS(Resp4[Vínculo],"tecnico",Resp4[4.16],B9)</f>
        <v>0</v>
      </c>
      <c r="D9" s="4">
        <f>COUNTIFS(Resp4[Vínculo],"docente",Resp4[4.16],B9)</f>
        <v>2</v>
      </c>
      <c r="E9" s="4">
        <f>COUNTIF(Resp4[4.16],B9)</f>
        <v>2</v>
      </c>
      <c r="F9" s="4">
        <f t="shared" si="0"/>
        <v>6.06</v>
      </c>
      <c r="G9" s="3">
        <f t="shared" si="1"/>
        <v>10.526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7</v>
      </c>
      <c r="E10" s="4">
        <f>COUNTIF(Resp4[4.16],B10)</f>
        <v>7</v>
      </c>
      <c r="F10" s="4">
        <f t="shared" si="0"/>
        <v>21.21</v>
      </c>
      <c r="G10" s="3">
        <f t="shared" si="1"/>
        <v>36.841999999999999</v>
      </c>
    </row>
    <row r="11" spans="1:7" x14ac:dyDescent="0.25">
      <c r="B11" s="2" t="s">
        <v>195</v>
      </c>
      <c r="C11" s="4">
        <f>COUNTIFS(Resp4[Vínculo],"tecnico",Resp4[4.16],B11)</f>
        <v>1</v>
      </c>
      <c r="D11" s="4">
        <f>COUNTIFS(Resp4[Vínculo],"docente",Resp4[4.16],B11)</f>
        <v>5</v>
      </c>
      <c r="E11" s="4">
        <f>COUNTIF(Resp4[4.16],B11)</f>
        <v>6</v>
      </c>
      <c r="F11" s="4">
        <f t="shared" si="0"/>
        <v>18.18</v>
      </c>
      <c r="G11" s="3">
        <f t="shared" si="1"/>
        <v>31.579000000000001</v>
      </c>
    </row>
    <row r="12" spans="1:7" x14ac:dyDescent="0.25">
      <c r="B12" s="7" t="s">
        <v>198</v>
      </c>
      <c r="C12" s="4">
        <f>COUNTIFS(Resp4[Vínculo],"tecnico",Resp4[4.16],B12)</f>
        <v>2</v>
      </c>
      <c r="D12" s="4">
        <f>COUNTIFS(Resp4[Vínculo],"docente",Resp4[4.16],B12)</f>
        <v>2</v>
      </c>
      <c r="E12" s="4">
        <f>COUNTIF(Resp4[4.16],B12)</f>
        <v>4</v>
      </c>
      <c r="F12" s="22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43.75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42.42</v>
      </c>
    </row>
    <row r="7" spans="1:7" x14ac:dyDescent="0.25">
      <c r="B7" s="2" t="s">
        <v>197</v>
      </c>
      <c r="C7" s="4">
        <f>COUNTIFS(Resp4[Vínculo],"tecnico",Resp4[4.17],B7)</f>
        <v>0</v>
      </c>
      <c r="D7" s="4">
        <f>COUNTIFS(Resp4[Vínculo],"docente",Resp4[4.17],B7)</f>
        <v>1</v>
      </c>
      <c r="E7" s="4">
        <f>COUNTIF(Resp4[4.17],B7)</f>
        <v>1</v>
      </c>
      <c r="F7" s="4">
        <f t="shared" ref="F7:F13" si="0">ROUND($E7/E$13*100,2)</f>
        <v>3.03</v>
      </c>
      <c r="G7" s="3">
        <f t="shared" ref="G7:G12" si="1">ROUND($E7/SUM($E$7:$E$12)*100,3)</f>
        <v>5.2629999999999999</v>
      </c>
    </row>
    <row r="8" spans="1:7" x14ac:dyDescent="0.25">
      <c r="B8" s="2" t="s">
        <v>200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COUNTIFS(Resp4[Vínculo],"tecnico",Resp4[4.17],B9)</f>
        <v>0</v>
      </c>
      <c r="D9" s="4">
        <f>COUNTIFS(Resp4[Vínculo],"docente",Resp4[4.17],B9)</f>
        <v>3</v>
      </c>
      <c r="E9" s="4">
        <f>COUNTIF(Resp4[4.17],B9)</f>
        <v>3</v>
      </c>
      <c r="F9" s="4">
        <f t="shared" si="0"/>
        <v>9.09</v>
      </c>
      <c r="G9" s="3">
        <f t="shared" si="1"/>
        <v>15.789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3</v>
      </c>
      <c r="E10" s="4">
        <f>COUNTIF(Resp4[4.17],B10)</f>
        <v>3</v>
      </c>
      <c r="F10" s="4">
        <f t="shared" si="0"/>
        <v>9.09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COUNTIFS(Resp4[Vínculo],"tecnico",Resp4[4.17],B11)</f>
        <v>1</v>
      </c>
      <c r="D11" s="4">
        <f>COUNTIFS(Resp4[Vínculo],"docente",Resp4[4.17],B11)</f>
        <v>5</v>
      </c>
      <c r="E11" s="4">
        <f>COUNTIF(Resp4[4.17],B11)</f>
        <v>6</v>
      </c>
      <c r="F11" s="4">
        <f t="shared" si="0"/>
        <v>18.18</v>
      </c>
      <c r="G11" s="3">
        <f t="shared" si="1"/>
        <v>31.579000000000001</v>
      </c>
    </row>
    <row r="12" spans="1:7" x14ac:dyDescent="0.25">
      <c r="B12" s="7" t="s">
        <v>198</v>
      </c>
      <c r="C12" s="4">
        <f>COUNTIFS(Resp4[Vínculo],"tecnico",Resp4[4.17],B12)</f>
        <v>2</v>
      </c>
      <c r="D12" s="4">
        <f>COUNTIFS(Resp4[Vínculo],"docente",Resp4[4.17],B12)</f>
        <v>4</v>
      </c>
      <c r="E12" s="4">
        <f>COUNTIF(Resp4[4.17],B12)</f>
        <v>6</v>
      </c>
      <c r="F12" s="22">
        <f t="shared" si="0"/>
        <v>18.18</v>
      </c>
      <c r="G12" s="3">
        <f t="shared" si="1"/>
        <v>31.579000000000001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18.75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56.25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3</v>
      </c>
      <c r="D7" s="4">
        <f>COUNTIFS(Resp4[Vínculo],"docente",Resp4[4.19],B7)</f>
        <v>18</v>
      </c>
      <c r="E7" s="2">
        <f>COUNTIF(Resp4[4.19],B7)</f>
        <v>21</v>
      </c>
      <c r="F7" s="4">
        <f t="shared" ref="F7:F9" si="0">ROUND($E7/E$9*100,2)</f>
        <v>63.64</v>
      </c>
      <c r="G7" s="4">
        <f>ROUND($E7/SUM($E$7:$E$8)*100,2)</f>
        <v>63.64</v>
      </c>
      <c r="H7" s="2"/>
    </row>
    <row r="8" spans="1:8" x14ac:dyDescent="0.25">
      <c r="A8" s="2"/>
      <c r="B8" s="2" t="s">
        <v>202</v>
      </c>
      <c r="C8" s="4">
        <f>COUNTIFS(Resp4[Vínculo],"tecnico",Resp4[4.19],B8)</f>
        <v>10</v>
      </c>
      <c r="D8" s="4">
        <f>COUNTIFS(Resp4[Vínculo],"docente",Resp4[4.19],B8)</f>
        <v>2</v>
      </c>
      <c r="E8" s="2">
        <f>COUNTIF(Resp4[4.19],B8)</f>
        <v>12</v>
      </c>
      <c r="F8" s="22">
        <f t="shared" si="0"/>
        <v>36.36</v>
      </c>
      <c r="G8" s="4">
        <f>ROUND($E8/SUM($E$7:$E$8)*100,2)</f>
        <v>36.36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</v>
      </c>
      <c r="E6" s="4">
        <f>E13-SUM(E7:E12)</f>
        <v>12</v>
      </c>
      <c r="F6" s="4">
        <f>ROUND($E6/E$13*100,2)</f>
        <v>36.36</v>
      </c>
    </row>
    <row r="7" spans="1:7" x14ac:dyDescent="0.25">
      <c r="B7" s="2" t="s">
        <v>197</v>
      </c>
      <c r="C7" s="4">
        <f>COUNTIFS(Resp4[Vínculo],"tecnico",Resp4[4.20],B7)</f>
        <v>0</v>
      </c>
      <c r="D7" s="4">
        <f>COUNTIFS(Resp4[Vínculo],"docente",Resp4[4.20],B7)</f>
        <v>1</v>
      </c>
      <c r="E7" s="4">
        <f>COUNTIF(Resp4[4.20],B7)</f>
        <v>1</v>
      </c>
      <c r="F7" s="4">
        <f t="shared" ref="F7:F13" si="0">ROUND($E7/E$13*100,2)</f>
        <v>3.03</v>
      </c>
      <c r="G7" s="3">
        <f t="shared" ref="G7:G12" si="1">ROUND($E7/SUM($E$7:$E$12)*100,3)</f>
        <v>4.7619999999999996</v>
      </c>
    </row>
    <row r="8" spans="1:7" x14ac:dyDescent="0.25">
      <c r="B8" s="2" t="s">
        <v>200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COUNTIFS(Resp4[Vínculo],"tecnico",Resp4[4.20],B9)</f>
        <v>0</v>
      </c>
      <c r="D9" s="4">
        <f>COUNTIFS(Resp4[Vínculo],"docente",Resp4[4.20],B9)</f>
        <v>2</v>
      </c>
      <c r="E9" s="4">
        <f>COUNTIF(Resp4[4.20],B9)</f>
        <v>2</v>
      </c>
      <c r="F9" s="4">
        <f t="shared" si="0"/>
        <v>6.06</v>
      </c>
      <c r="G9" s="3">
        <f t="shared" si="1"/>
        <v>9.5239999999999991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6</v>
      </c>
      <c r="E10" s="4">
        <f>COUNTIF(Resp4[4.20],B10)</f>
        <v>6</v>
      </c>
      <c r="F10" s="4">
        <f t="shared" si="0"/>
        <v>18.18</v>
      </c>
      <c r="G10" s="3">
        <f t="shared" si="1"/>
        <v>28.571000000000002</v>
      </c>
    </row>
    <row r="11" spans="1:7" x14ac:dyDescent="0.25">
      <c r="B11" s="2" t="s">
        <v>195</v>
      </c>
      <c r="C11" s="4">
        <f>COUNTIFS(Resp4[Vínculo],"tecnico",Resp4[4.20],B11)</f>
        <v>1</v>
      </c>
      <c r="D11" s="4">
        <f>COUNTIFS(Resp4[Vínculo],"docente",Resp4[4.20],B11)</f>
        <v>8</v>
      </c>
      <c r="E11" s="4">
        <f>COUNTIF(Resp4[4.20],B11)</f>
        <v>9</v>
      </c>
      <c r="F11" s="4">
        <f t="shared" si="0"/>
        <v>27.27</v>
      </c>
      <c r="G11" s="3">
        <f t="shared" si="1"/>
        <v>42.856999999999999</v>
      </c>
    </row>
    <row r="12" spans="1:7" x14ac:dyDescent="0.25">
      <c r="B12" s="7" t="s">
        <v>198</v>
      </c>
      <c r="C12" s="4">
        <f>COUNTIFS(Resp4[Vínculo],"tecnico",Resp4[4.20],B12)</f>
        <v>2</v>
      </c>
      <c r="D12" s="4">
        <f>COUNTIFS(Resp4[Vínculo],"docente",Resp4[4.20],B12)</f>
        <v>1</v>
      </c>
      <c r="E12" s="4">
        <f>COUNTIF(Resp4[4.20],B12)</f>
        <v>3</v>
      </c>
      <c r="F12" s="22">
        <f t="shared" si="0"/>
        <v>9.09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</v>
      </c>
      <c r="E6" s="4">
        <f>E13-SUM(E7:E12)</f>
        <v>12</v>
      </c>
      <c r="F6" s="4">
        <f>ROUND($E6/E$13*100,2)</f>
        <v>36.36</v>
      </c>
    </row>
    <row r="7" spans="1:7" x14ac:dyDescent="0.25">
      <c r="B7" s="2" t="s">
        <v>197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COUNTIFS(Resp4[Vínculo],"tecnico",Resp4[4.21],B9)</f>
        <v>0</v>
      </c>
      <c r="D9" s="4">
        <f>COUNTIFS(Resp4[Vínculo],"docente",Resp4[4.21],B9)</f>
        <v>2</v>
      </c>
      <c r="E9" s="4">
        <f>COUNTIF(Resp4[4.21],B9)</f>
        <v>2</v>
      </c>
      <c r="F9" s="4">
        <f t="shared" si="0"/>
        <v>6.06</v>
      </c>
      <c r="G9" s="3">
        <f t="shared" si="1"/>
        <v>9.5239999999999991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2</v>
      </c>
      <c r="E10" s="4">
        <f>COUNTIF(Resp4[4.21],B10)</f>
        <v>2</v>
      </c>
      <c r="F10" s="4">
        <f t="shared" si="0"/>
        <v>6.06</v>
      </c>
      <c r="G10" s="3">
        <f t="shared" si="1"/>
        <v>9.5239999999999991</v>
      </c>
    </row>
    <row r="11" spans="1:7" x14ac:dyDescent="0.25">
      <c r="B11" s="2" t="s">
        <v>195</v>
      </c>
      <c r="C11" s="4">
        <f>COUNTIFS(Resp4[Vínculo],"tecnico",Resp4[4.21],B11)</f>
        <v>1</v>
      </c>
      <c r="D11" s="4">
        <f>COUNTIFS(Resp4[Vínculo],"docente",Resp4[4.21],B11)</f>
        <v>13</v>
      </c>
      <c r="E11" s="4">
        <f>COUNTIF(Resp4[4.21],B11)</f>
        <v>14</v>
      </c>
      <c r="F11" s="4">
        <f t="shared" si="0"/>
        <v>42.42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COUNTIFS(Resp4[Vínculo],"tecnico",Resp4[4.21],B12)</f>
        <v>2</v>
      </c>
      <c r="D12" s="4">
        <f>COUNTIFS(Resp4[Vínculo],"docente",Resp4[4.21],B12)</f>
        <v>1</v>
      </c>
      <c r="E12" s="4">
        <f>COUNTIF(Resp4[4.21],B12)</f>
        <v>3</v>
      </c>
      <c r="F12" s="22">
        <f t="shared" si="0"/>
        <v>9.09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</v>
      </c>
      <c r="E6" s="4">
        <f>E13-SUM(E7:E12)</f>
        <v>12</v>
      </c>
      <c r="F6" s="4">
        <f>ROUND($E6/E$13*100,2)</f>
        <v>36.36</v>
      </c>
    </row>
    <row r="7" spans="1:7" x14ac:dyDescent="0.25">
      <c r="B7" s="2" t="s">
        <v>197</v>
      </c>
      <c r="C7" s="4">
        <f>COUNTIFS(Resp4[Vínculo],"tecnico",Resp4[4.22],B7)</f>
        <v>0</v>
      </c>
      <c r="D7" s="4">
        <f>COUNTIFS(Resp4[Vínculo],"docente",Resp4[4.22],B7)</f>
        <v>0</v>
      </c>
      <c r="E7" s="4">
        <f>COUNTIF(Resp4[4.22],B7)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COUNTIFS(Resp4[Vínculo],"tecnico",Resp4[4.22],B8)</f>
        <v>0</v>
      </c>
      <c r="D8" s="4">
        <f>COUNTIFS(Resp4[Vínculo],"docente",Resp4[4.22],B8)</f>
        <v>1</v>
      </c>
      <c r="E8" s="4">
        <f>COUNTIF(Resp4[4.22],B8)</f>
        <v>1</v>
      </c>
      <c r="F8" s="4">
        <f t="shared" si="0"/>
        <v>3.03</v>
      </c>
      <c r="G8" s="3">
        <f t="shared" si="1"/>
        <v>4.7619999999999996</v>
      </c>
    </row>
    <row r="9" spans="1:7" x14ac:dyDescent="0.25">
      <c r="B9" s="2" t="s">
        <v>196</v>
      </c>
      <c r="C9" s="4">
        <f>COUNTIFS(Resp4[Vínculo],"tecnico",Resp4[4.22],B9)</f>
        <v>0</v>
      </c>
      <c r="D9" s="4">
        <f>COUNTIFS(Resp4[Vínculo],"docente",Resp4[4.22],B9)</f>
        <v>3</v>
      </c>
      <c r="E9" s="4">
        <f>COUNTIF(Resp4[4.22],B9)</f>
        <v>3</v>
      </c>
      <c r="F9" s="4">
        <f t="shared" si="0"/>
        <v>9.09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7</v>
      </c>
      <c r="E10" s="4">
        <f>COUNTIF(Resp4[4.22],B10)</f>
        <v>7</v>
      </c>
      <c r="F10" s="4">
        <f t="shared" si="0"/>
        <v>21.21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COUNTIFS(Resp4[Vínculo],"tecnico",Resp4[4.22],B11)</f>
        <v>1</v>
      </c>
      <c r="D11" s="4">
        <f>COUNTIFS(Resp4[Vínculo],"docente",Resp4[4.22],B11)</f>
        <v>7</v>
      </c>
      <c r="E11" s="4">
        <f>COUNTIF(Resp4[4.22],B11)</f>
        <v>8</v>
      </c>
      <c r="F11" s="4">
        <f t="shared" si="0"/>
        <v>24.24</v>
      </c>
      <c r="G11" s="3">
        <f t="shared" si="1"/>
        <v>38.094999999999999</v>
      </c>
    </row>
    <row r="12" spans="1:7" x14ac:dyDescent="0.25">
      <c r="B12" s="7" t="s">
        <v>198</v>
      </c>
      <c r="C12" s="4">
        <f>COUNTIFS(Resp4[Vínculo],"tecnico",Resp4[4.22],B12)</f>
        <v>2</v>
      </c>
      <c r="D12" s="4">
        <f>COUNTIFS(Resp4[Vínculo],"docente",Resp4[4.22],B12)</f>
        <v>0</v>
      </c>
      <c r="E12" s="4">
        <f>COUNTIF(Resp4[4.22],B12)</f>
        <v>2</v>
      </c>
      <c r="F12" s="22">
        <f t="shared" si="0"/>
        <v>6.06</v>
      </c>
      <c r="G12" s="3">
        <f t="shared" si="1"/>
        <v>9.5239999999999991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</v>
      </c>
      <c r="E6" s="4">
        <f>E13-SUM(E7:E12)</f>
        <v>12</v>
      </c>
      <c r="F6" s="4">
        <f>ROUND($E6/E$13*100,2)</f>
        <v>36.36</v>
      </c>
    </row>
    <row r="7" spans="1:7" x14ac:dyDescent="0.25">
      <c r="B7" s="2" t="s">
        <v>197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COUNTIFS(Resp4[Vínculo],"tecnico",Resp4[4.23],B9)</f>
        <v>0</v>
      </c>
      <c r="D9" s="4">
        <f>COUNTIFS(Resp4[Vínculo],"docente",Resp4[4.23],B9)</f>
        <v>2</v>
      </c>
      <c r="E9" s="4">
        <f>COUNTIF(Resp4[4.23],B9)</f>
        <v>2</v>
      </c>
      <c r="F9" s="4">
        <f t="shared" si="0"/>
        <v>6.06</v>
      </c>
      <c r="G9" s="3">
        <f t="shared" si="1"/>
        <v>9.5239999999999991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5</v>
      </c>
      <c r="E10" s="4">
        <f>COUNTIF(Resp4[4.23],B10)</f>
        <v>6</v>
      </c>
      <c r="F10" s="4">
        <f t="shared" si="0"/>
        <v>18.18</v>
      </c>
      <c r="G10" s="3">
        <f t="shared" si="1"/>
        <v>28.571000000000002</v>
      </c>
    </row>
    <row r="11" spans="1:7" x14ac:dyDescent="0.25">
      <c r="B11" s="2" t="s">
        <v>195</v>
      </c>
      <c r="C11" s="4">
        <f>COUNTIFS(Resp4[Vínculo],"tecnico",Resp4[4.23],B11)</f>
        <v>0</v>
      </c>
      <c r="D11" s="4">
        <f>COUNTIFS(Resp4[Vínculo],"docente",Resp4[4.23],B11)</f>
        <v>10</v>
      </c>
      <c r="E11" s="4">
        <f>COUNTIF(Resp4[4.23],B11)</f>
        <v>10</v>
      </c>
      <c r="F11" s="4">
        <f t="shared" si="0"/>
        <v>30.3</v>
      </c>
      <c r="G11" s="3">
        <f t="shared" si="1"/>
        <v>47.619</v>
      </c>
    </row>
    <row r="12" spans="1:7" x14ac:dyDescent="0.25">
      <c r="B12" s="7" t="s">
        <v>198</v>
      </c>
      <c r="C12" s="4">
        <f>COUNTIFS(Resp4[Vínculo],"tecnico",Resp4[4.23],B12)</f>
        <v>2</v>
      </c>
      <c r="D12" s="4">
        <f>COUNTIFS(Resp4[Vínculo],"docente",Resp4[4.23],B12)</f>
        <v>1</v>
      </c>
      <c r="E12" s="4">
        <f>COUNTIF(Resp4[4.23],B12)</f>
        <v>3</v>
      </c>
      <c r="F12" s="22">
        <f t="shared" si="0"/>
        <v>9.09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61.110999999999997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199</v>
      </c>
      <c r="C7" s="4">
        <f>COUNTIFS(Resp4[Vínculo],"tecnico",Resp4[4.24],B7)</f>
        <v>13</v>
      </c>
      <c r="D7" s="4">
        <f>COUNTIFS(Resp4[Vínculo],"docente",Resp4[4.24],B7)</f>
        <v>6</v>
      </c>
      <c r="E7" s="2">
        <f>COUNTIF(Resp4[4.24],B7)</f>
        <v>19</v>
      </c>
      <c r="F7" s="4">
        <f t="shared" ref="F7:F9" si="0">ROUND($E7/E$9*100,2)</f>
        <v>57.58</v>
      </c>
      <c r="G7" s="4">
        <f>ROUND($E7/SUM($E$7:$E$8)*100,2)</f>
        <v>57.58</v>
      </c>
    </row>
    <row r="8" spans="1:7" x14ac:dyDescent="0.25">
      <c r="B8" s="7" t="s">
        <v>208</v>
      </c>
      <c r="C8" s="22">
        <f>COUNTIFS(Resp4[Vínculo],"tecnico",Resp4[4.24],B8)</f>
        <v>0</v>
      </c>
      <c r="D8" s="22">
        <f>COUNTIFS(Resp4[Vínculo],"docente",Resp4[4.24],B8)</f>
        <v>14</v>
      </c>
      <c r="E8" s="7">
        <f>COUNTIF(Resp4[4.24],B8)</f>
        <v>14</v>
      </c>
      <c r="F8" s="22">
        <f t="shared" si="0"/>
        <v>42.42</v>
      </c>
      <c r="G8" s="22">
        <f>ROUND($E8/SUM($E$7:$E$8)*100,2)</f>
        <v>42.42</v>
      </c>
    </row>
    <row r="9" spans="1:7" x14ac:dyDescent="0.25">
      <c r="B9" t="s">
        <v>502</v>
      </c>
      <c r="C9">
        <f>SUM(C6:C8)</f>
        <v>13</v>
      </c>
      <c r="D9">
        <f>SUM(D6:D8)</f>
        <v>20</v>
      </c>
      <c r="E9">
        <f>C9+D9</f>
        <v>33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2</v>
      </c>
      <c r="E6" s="4">
        <f>E13-SUM(E7:E12)</f>
        <v>15</v>
      </c>
      <c r="F6" s="4">
        <f>ROUND($E6/E$13*100,2)</f>
        <v>45.45</v>
      </c>
    </row>
    <row r="7" spans="1:7" x14ac:dyDescent="0.25">
      <c r="B7" s="2" t="s">
        <v>197</v>
      </c>
      <c r="C7" s="4">
        <f>COUNTIFS(Resp4[Vínculo],"tecnico",Resp4[4.25],B7)</f>
        <v>0</v>
      </c>
      <c r="D7" s="4">
        <f>COUNTIFS(Resp4[Vínculo],"docente",Resp4[4.25],B7)</f>
        <v>1</v>
      </c>
      <c r="E7" s="4">
        <f>COUNTIF(Resp4[4.25],B7)</f>
        <v>1</v>
      </c>
      <c r="F7" s="4">
        <f t="shared" ref="F7:F13" si="0">ROUND($E7/E$13*100,2)</f>
        <v>3.03</v>
      </c>
      <c r="G7" s="3">
        <f t="shared" ref="G7:G12" si="1">ROUND($E7/SUM($E$7:$E$12)*100,3)</f>
        <v>5.556</v>
      </c>
    </row>
    <row r="8" spans="1:7" x14ac:dyDescent="0.25">
      <c r="B8" s="2" t="s">
        <v>200</v>
      </c>
      <c r="C8" s="4">
        <f>COUNTIFS(Resp4[Vínculo],"tecnico",Resp4[4.25],B8)</f>
        <v>0</v>
      </c>
      <c r="D8" s="4">
        <f>COUNTIFS(Resp4[Vínculo],"docente",Resp4[4.25],B8)</f>
        <v>4</v>
      </c>
      <c r="E8" s="4">
        <f>COUNTIF(Resp4[4.25],B8)</f>
        <v>4</v>
      </c>
      <c r="F8" s="4">
        <f t="shared" si="0"/>
        <v>12.12</v>
      </c>
      <c r="G8" s="3">
        <f t="shared" si="1"/>
        <v>22.222000000000001</v>
      </c>
    </row>
    <row r="9" spans="1:7" x14ac:dyDescent="0.25">
      <c r="B9" s="2" t="s">
        <v>196</v>
      </c>
      <c r="C9" s="4">
        <f>COUNTIFS(Resp4[Vínculo],"tecnico",Resp4[4.25],B9)</f>
        <v>0</v>
      </c>
      <c r="D9" s="4">
        <f>COUNTIFS(Resp4[Vínculo],"docente",Resp4[4.25],B9)</f>
        <v>3</v>
      </c>
      <c r="E9" s="4">
        <f>COUNTIF(Resp4[4.25],B9)</f>
        <v>3</v>
      </c>
      <c r="F9" s="4">
        <f t="shared" si="0"/>
        <v>9.09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4</v>
      </c>
      <c r="E10" s="4">
        <f>COUNTIF(Resp4[4.25],B10)</f>
        <v>4</v>
      </c>
      <c r="F10" s="4">
        <f t="shared" si="0"/>
        <v>12.12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COUNTIFS(Resp4[Vínculo],"tecnico",Resp4[4.25],B11)</f>
        <v>0</v>
      </c>
      <c r="D11" s="4">
        <f>COUNTIFS(Resp4[Vínculo],"docente",Resp4[4.25],B11)</f>
        <v>5</v>
      </c>
      <c r="E11" s="4">
        <f>COUNTIF(Resp4[4.25],B11)</f>
        <v>5</v>
      </c>
      <c r="F11" s="4">
        <f t="shared" si="0"/>
        <v>15.15</v>
      </c>
      <c r="G11" s="3">
        <f t="shared" si="1"/>
        <v>27.777999999999999</v>
      </c>
    </row>
    <row r="12" spans="1:7" x14ac:dyDescent="0.25">
      <c r="B12" s="7" t="s">
        <v>198</v>
      </c>
      <c r="C12" s="4">
        <f>COUNTIFS(Resp4[Vínculo],"tecnico",Resp4[4.25],B12)</f>
        <v>0</v>
      </c>
      <c r="D12" s="4">
        <f>COUNTIFS(Resp4[Vínculo],"docente",Resp4[4.25],B12)</f>
        <v>1</v>
      </c>
      <c r="E12" s="4">
        <f>COUNTIF(Resp4[4.25],B12)</f>
        <v>1</v>
      </c>
      <c r="F12" s="22">
        <f t="shared" si="0"/>
        <v>3.03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38.889000000000003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2</v>
      </c>
      <c r="E6" s="4">
        <f>E13-SUM(E7:E12)</f>
        <v>15</v>
      </c>
      <c r="F6" s="4">
        <f>ROUND($E6/E$13*100,2)</f>
        <v>45.45</v>
      </c>
    </row>
    <row r="7" spans="1:7" x14ac:dyDescent="0.25">
      <c r="B7" s="2" t="s">
        <v>197</v>
      </c>
      <c r="C7" s="4">
        <f>COUNTIFS(Resp4[Vínculo],"tecnico",Resp4[4.26],B7)</f>
        <v>0</v>
      </c>
      <c r="D7" s="4">
        <f>COUNTIFS(Resp4[Vínculo],"docente",Resp4[4.26],B7)</f>
        <v>3</v>
      </c>
      <c r="E7" s="4">
        <f>COUNTIF(Resp4[4.26],B7)</f>
        <v>3</v>
      </c>
      <c r="F7" s="4">
        <f t="shared" ref="F7:F13" si="0">ROUND($E7/E$13*100,2)</f>
        <v>9.09</v>
      </c>
      <c r="G7" s="3">
        <f t="shared" ref="G7:G12" si="1">ROUND($E7/SUM($E$7:$E$12)*100,3)</f>
        <v>16.667000000000002</v>
      </c>
    </row>
    <row r="8" spans="1:7" x14ac:dyDescent="0.25">
      <c r="B8" s="2" t="s">
        <v>200</v>
      </c>
      <c r="C8" s="4">
        <f>COUNTIFS(Resp4[Vínculo],"tecnico",Resp4[4.26],B8)</f>
        <v>0</v>
      </c>
      <c r="D8" s="4">
        <f>COUNTIFS(Resp4[Vínculo],"docente",Resp4[4.26],B8)</f>
        <v>2</v>
      </c>
      <c r="E8" s="4">
        <f>COUNTIF(Resp4[4.26],B8)</f>
        <v>2</v>
      </c>
      <c r="F8" s="4">
        <f t="shared" si="0"/>
        <v>6.06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COUNTIFS(Resp4[Vínculo],"tecnico",Resp4[4.26],B9)</f>
        <v>0</v>
      </c>
      <c r="D9" s="4">
        <f>COUNTIFS(Resp4[Vínculo],"docente",Resp4[4.26],B9)</f>
        <v>4</v>
      </c>
      <c r="E9" s="4">
        <f>COUNTIF(Resp4[4.26],B9)</f>
        <v>4</v>
      </c>
      <c r="F9" s="4">
        <f t="shared" si="0"/>
        <v>12.12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3</v>
      </c>
      <c r="E10" s="4">
        <f>COUNTIF(Resp4[4.26],B10)</f>
        <v>3</v>
      </c>
      <c r="F10" s="4">
        <f t="shared" si="0"/>
        <v>9.09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COUNTIFS(Resp4[Vínculo],"tecnico",Resp4[4.26],B11)</f>
        <v>0</v>
      </c>
      <c r="D11" s="4">
        <f>COUNTIFS(Resp4[Vínculo],"docente",Resp4[4.26],B11)</f>
        <v>5</v>
      </c>
      <c r="E11" s="4">
        <f>COUNTIF(Resp4[4.26],B11)</f>
        <v>5</v>
      </c>
      <c r="F11" s="4">
        <f t="shared" si="0"/>
        <v>15.15</v>
      </c>
      <c r="G11" s="3">
        <f t="shared" si="1"/>
        <v>27.777999999999999</v>
      </c>
    </row>
    <row r="12" spans="1:7" x14ac:dyDescent="0.25">
      <c r="B12" s="7" t="s">
        <v>198</v>
      </c>
      <c r="C12" s="4">
        <f>COUNTIFS(Resp4[Vínculo],"tecnico",Resp4[4.26],B12)</f>
        <v>0</v>
      </c>
      <c r="D12" s="4">
        <f>COUNTIFS(Resp4[Vínculo],"docente",Resp4[4.26],B12)</f>
        <v>1</v>
      </c>
      <c r="E12" s="4">
        <f>COUNTIF(Resp4[4.26],B12)</f>
        <v>1</v>
      </c>
      <c r="F12" s="22">
        <f t="shared" si="0"/>
        <v>3.03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33.332999999999998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2</v>
      </c>
      <c r="E6" s="4">
        <f>E13-SUM(E7:E12)</f>
        <v>15</v>
      </c>
      <c r="F6" s="4">
        <f>ROUND($E6/E$13*100,2)</f>
        <v>45.45</v>
      </c>
    </row>
    <row r="7" spans="1:7" x14ac:dyDescent="0.25">
      <c r="B7" s="2" t="s">
        <v>197</v>
      </c>
      <c r="C7" s="4">
        <f>COUNTIFS(Resp4[Vínculo],"tecnico",Resp4[4.27],B7)</f>
        <v>0</v>
      </c>
      <c r="D7" s="4">
        <f>COUNTIFS(Resp4[Vínculo],"docente",Resp4[4.27],B7)</f>
        <v>3</v>
      </c>
      <c r="E7" s="4">
        <f>COUNTIF(Resp4[4.27],B7)</f>
        <v>3</v>
      </c>
      <c r="F7" s="4">
        <f t="shared" ref="F7:F13" si="0">ROUND($E7/E$13*100,2)</f>
        <v>9.09</v>
      </c>
      <c r="G7" s="3">
        <f t="shared" ref="G7:G12" si="1">ROUND($E7/SUM($E$7:$E$12)*100,3)</f>
        <v>16.667000000000002</v>
      </c>
    </row>
    <row r="8" spans="1:7" x14ac:dyDescent="0.25">
      <c r="B8" s="2" t="s">
        <v>200</v>
      </c>
      <c r="C8" s="4">
        <f>COUNTIFS(Resp4[Vínculo],"tecnico",Resp4[4.27],B8)</f>
        <v>0</v>
      </c>
      <c r="D8" s="4">
        <f>COUNTIFS(Resp4[Vínculo],"docente",Resp4[4.27],B8)</f>
        <v>2</v>
      </c>
      <c r="E8" s="4">
        <f>COUNTIF(Resp4[4.27],B8)</f>
        <v>2</v>
      </c>
      <c r="F8" s="4">
        <f t="shared" si="0"/>
        <v>6.06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COUNTIFS(Resp4[Vínculo],"tecnico",Resp4[4.27],B9)</f>
        <v>0</v>
      </c>
      <c r="D9" s="4">
        <f>COUNTIFS(Resp4[Vínculo],"docente",Resp4[4.27],B9)</f>
        <v>3</v>
      </c>
      <c r="E9" s="4">
        <f>COUNTIF(Resp4[4.27],B9)</f>
        <v>3</v>
      </c>
      <c r="F9" s="4">
        <f t="shared" si="0"/>
        <v>9.09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3</v>
      </c>
      <c r="E10" s="4">
        <f>COUNTIF(Resp4[4.27],B10)</f>
        <v>3</v>
      </c>
      <c r="F10" s="4">
        <f t="shared" si="0"/>
        <v>9.09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COUNTIFS(Resp4[Vínculo],"tecnico",Resp4[4.27],B11)</f>
        <v>0</v>
      </c>
      <c r="D11" s="4">
        <f>COUNTIFS(Resp4[Vínculo],"docente",Resp4[4.27],B11)</f>
        <v>7</v>
      </c>
      <c r="E11" s="4">
        <f>COUNTIF(Resp4[4.27],B11)</f>
        <v>7</v>
      </c>
      <c r="F11" s="4">
        <f t="shared" si="0"/>
        <v>21.21</v>
      </c>
      <c r="G11" s="3">
        <f t="shared" si="1"/>
        <v>38.889000000000003</v>
      </c>
    </row>
    <row r="12" spans="1:7" x14ac:dyDescent="0.25">
      <c r="B12" s="7" t="s">
        <v>198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27.777999999999999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2</v>
      </c>
      <c r="E6" s="4">
        <f>E13-SUM(E7:E12)</f>
        <v>15</v>
      </c>
      <c r="F6" s="4">
        <f>ROUND($E6/E$13*100,2)</f>
        <v>45.45</v>
      </c>
    </row>
    <row r="7" spans="1:7" x14ac:dyDescent="0.25">
      <c r="B7" s="2" t="s">
        <v>197</v>
      </c>
      <c r="C7" s="4">
        <f>COUNTIFS(Resp4[Vínculo],"tecnico",Resp4[4.28],B7)</f>
        <v>0</v>
      </c>
      <c r="D7" s="4">
        <f>COUNTIFS(Resp4[Vínculo],"docente",Resp4[4.28],B7)</f>
        <v>4</v>
      </c>
      <c r="E7" s="4">
        <f>COUNTIF(Resp4[4.28],B7)</f>
        <v>4</v>
      </c>
      <c r="F7" s="4">
        <f t="shared" ref="F7:F13" si="0">ROUND($E7/E$13*100,2)</f>
        <v>12.12</v>
      </c>
      <c r="G7" s="3">
        <f t="shared" ref="G7:G12" si="1">ROUND($E7/SUM($E$7:$E$12)*100,3)</f>
        <v>22.222000000000001</v>
      </c>
    </row>
    <row r="8" spans="1:7" x14ac:dyDescent="0.25">
      <c r="B8" s="2" t="s">
        <v>200</v>
      </c>
      <c r="C8" s="4">
        <f>COUNTIFS(Resp4[Vínculo],"tecnico",Resp4[4.28],B8)</f>
        <v>0</v>
      </c>
      <c r="D8" s="4">
        <f>COUNTIFS(Resp4[Vínculo],"docente",Resp4[4.28],B8)</f>
        <v>1</v>
      </c>
      <c r="E8" s="4">
        <f>COUNTIF(Resp4[4.28],B8)</f>
        <v>1</v>
      </c>
      <c r="F8" s="4">
        <f t="shared" si="0"/>
        <v>3.03</v>
      </c>
      <c r="G8" s="3">
        <f t="shared" si="1"/>
        <v>5.556</v>
      </c>
    </row>
    <row r="9" spans="1:7" x14ac:dyDescent="0.25">
      <c r="B9" s="2" t="s">
        <v>196</v>
      </c>
      <c r="C9" s="4">
        <f>COUNTIFS(Resp4[Vínculo],"tecnico",Resp4[4.28],B9)</f>
        <v>0</v>
      </c>
      <c r="D9" s="4">
        <f>COUNTIFS(Resp4[Vínculo],"docente",Resp4[4.28],B9)</f>
        <v>3</v>
      </c>
      <c r="E9" s="4">
        <f>COUNTIF(Resp4[4.28],B9)</f>
        <v>3</v>
      </c>
      <c r="F9" s="4">
        <f t="shared" si="0"/>
        <v>9.09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3</v>
      </c>
      <c r="E10" s="4">
        <f>COUNTIF(Resp4[4.28],B10)</f>
        <v>3</v>
      </c>
      <c r="F10" s="4">
        <f t="shared" si="0"/>
        <v>9.09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COUNTIFS(Resp4[Vínculo],"tecnico",Resp4[4.28],B11)</f>
        <v>0</v>
      </c>
      <c r="D11" s="4">
        <f>COUNTIFS(Resp4[Vínculo],"docente",Resp4[4.28],B11)</f>
        <v>6</v>
      </c>
      <c r="E11" s="4">
        <f>COUNTIF(Resp4[4.28],B11)</f>
        <v>6</v>
      </c>
      <c r="F11" s="4">
        <f t="shared" si="0"/>
        <v>18.18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COUNTIFS(Resp4[Vínculo],"tecnico",Resp4[4.28],B12)</f>
        <v>0</v>
      </c>
      <c r="D12" s="4">
        <f>COUNTIFS(Resp4[Vínculo],"docente",Resp4[4.28],B12)</f>
        <v>1</v>
      </c>
      <c r="E12" s="4">
        <f>COUNTIF(Resp4[4.28],B12)</f>
        <v>1</v>
      </c>
      <c r="F12" s="22">
        <f t="shared" si="0"/>
        <v>3.03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22.222000000000001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20</v>
      </c>
      <c r="E6" s="4">
        <f>E13-SUM(E7:E12)</f>
        <v>30</v>
      </c>
      <c r="F6" s="4">
        <f>ROUND($E6/E$13*100,2)</f>
        <v>90.91</v>
      </c>
    </row>
    <row r="7" spans="1:7" x14ac:dyDescent="0.25">
      <c r="B7" s="2" t="s">
        <v>197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2</v>
      </c>
      <c r="D10" s="4">
        <f>COUNTIFS(Resp4[Vínculo],"docente",Resp4[4.29],B10)</f>
        <v>0</v>
      </c>
      <c r="E10" s="4">
        <f>COUNTIF(Resp4[4.29],B10)</f>
        <v>2</v>
      </c>
      <c r="F10" s="4">
        <f t="shared" si="0"/>
        <v>6.06</v>
      </c>
      <c r="G10" s="3">
        <f t="shared" si="1"/>
        <v>66.667000000000002</v>
      </c>
    </row>
    <row r="11" spans="1:7" x14ac:dyDescent="0.25">
      <c r="B11" s="2" t="s">
        <v>195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COUNTIFS(Resp4[Vínculo],"tecnico",Resp4[4.29],B12)</f>
        <v>1</v>
      </c>
      <c r="D12" s="4">
        <f>COUNTIFS(Resp4[Vínculo],"docente",Resp4[4.29],B12)</f>
        <v>0</v>
      </c>
      <c r="E12" s="4">
        <f>COUNTIF(Resp4[4.29],B12)</f>
        <v>1</v>
      </c>
      <c r="F12" s="22">
        <f t="shared" si="0"/>
        <v>3.03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20</v>
      </c>
      <c r="E6" s="4">
        <f>E13-SUM(E7:E12)</f>
        <v>30</v>
      </c>
      <c r="F6" s="4">
        <f>ROUND($E6/E$13*100,2)</f>
        <v>90.91</v>
      </c>
    </row>
    <row r="7" spans="1:7" x14ac:dyDescent="0.25">
      <c r="B7" s="2" t="s">
        <v>197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2</v>
      </c>
      <c r="D10" s="4">
        <f>COUNTIFS(Resp4[Vínculo],"docente",Resp4[4.30],B10)</f>
        <v>0</v>
      </c>
      <c r="E10" s="4">
        <f>COUNTIF(Resp4[4.30],B10)</f>
        <v>2</v>
      </c>
      <c r="F10" s="4">
        <f t="shared" si="0"/>
        <v>6.06</v>
      </c>
      <c r="G10" s="3">
        <f t="shared" si="1"/>
        <v>66.667000000000002</v>
      </c>
    </row>
    <row r="11" spans="1:7" x14ac:dyDescent="0.25">
      <c r="B11" s="2" t="s">
        <v>195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COUNTIFS(Resp4[Vínculo],"tecnico",Resp4[4.30],B12)</f>
        <v>1</v>
      </c>
      <c r="D12" s="4">
        <f>COUNTIFS(Resp4[Vínculo],"docente",Resp4[4.30],B12)</f>
        <v>0</v>
      </c>
      <c r="E12" s="4">
        <f>COUNTIF(Resp4[4.30],B12)</f>
        <v>1</v>
      </c>
      <c r="F12" s="22">
        <f t="shared" si="0"/>
        <v>3.03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20</v>
      </c>
      <c r="E6" s="4">
        <f>E13-SUM(E7:E12)</f>
        <v>30</v>
      </c>
      <c r="F6" s="4">
        <f>ROUND($E6/E$13*100,2)</f>
        <v>90.91</v>
      </c>
    </row>
    <row r="7" spans="1:7" x14ac:dyDescent="0.25">
      <c r="B7" s="2" t="s">
        <v>197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2</v>
      </c>
      <c r="D10" s="4">
        <f>COUNTIFS(Resp4[Vínculo],"docente",Resp4[4.31],B10)</f>
        <v>0</v>
      </c>
      <c r="E10" s="4">
        <f>COUNTIF(Resp4[4.31],B10)</f>
        <v>2</v>
      </c>
      <c r="F10" s="4">
        <f t="shared" si="0"/>
        <v>6.06</v>
      </c>
      <c r="G10" s="3">
        <f t="shared" si="1"/>
        <v>66.667000000000002</v>
      </c>
    </row>
    <row r="11" spans="1:7" x14ac:dyDescent="0.25">
      <c r="B11" s="2" t="s">
        <v>195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COUNTIFS(Resp4[Vínculo],"tecnico",Resp4[4.31],B12)</f>
        <v>1</v>
      </c>
      <c r="D12" s="4">
        <f>COUNTIFS(Resp4[Vínculo],"docente",Resp4[4.31],B12)</f>
        <v>0</v>
      </c>
      <c r="E12" s="4">
        <f>COUNTIF(Resp4[4.31],B12)</f>
        <v>1</v>
      </c>
      <c r="F12" s="22">
        <f t="shared" si="0"/>
        <v>3.03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20</v>
      </c>
      <c r="E6" s="4">
        <f>E13-SUM(E7:E12)</f>
        <v>30</v>
      </c>
      <c r="F6" s="4">
        <f>ROUND($E6/E$13*100,2)</f>
        <v>90.91</v>
      </c>
    </row>
    <row r="7" spans="1:7" x14ac:dyDescent="0.25">
      <c r="B7" s="2" t="s">
        <v>197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2</v>
      </c>
      <c r="D10" s="4">
        <f>COUNTIFS(Resp4[Vínculo],"docente",Resp4[4.32],B10)</f>
        <v>0</v>
      </c>
      <c r="E10" s="4">
        <f>COUNTIF(Resp4[4.32],B10)</f>
        <v>2</v>
      </c>
      <c r="F10" s="4">
        <f t="shared" si="0"/>
        <v>6.06</v>
      </c>
      <c r="G10" s="3">
        <f t="shared" si="1"/>
        <v>66.667000000000002</v>
      </c>
    </row>
    <row r="11" spans="1:7" x14ac:dyDescent="0.25">
      <c r="B11" s="2" t="s">
        <v>195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198</v>
      </c>
      <c r="C12" s="4">
        <f>COUNTIFS(Resp4[Vínculo],"tecnico",Resp4[4.32],B12)</f>
        <v>1</v>
      </c>
      <c r="D12" s="4">
        <f>COUNTIFS(Resp4[Vínculo],"docente",Resp4[4.32],B12)</f>
        <v>0</v>
      </c>
      <c r="E12" s="4">
        <f>COUNTIF(Resp4[4.32],B12)</f>
        <v>1</v>
      </c>
      <c r="F12" s="22">
        <f t="shared" si="0"/>
        <v>3.03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2</v>
      </c>
      <c r="D7" s="4">
        <f>COUNTIFS(Resp4[Vínculo],"docente",Resp4[4.33],B7)</f>
        <v>18</v>
      </c>
      <c r="E7" s="2">
        <f>COUNTIF(Resp4[4.33],B7)</f>
        <v>20</v>
      </c>
      <c r="F7" s="4">
        <f t="shared" ref="F7:F9" si="0">ROUND($E7/E$9*100,2)</f>
        <v>60.61</v>
      </c>
      <c r="G7" s="4">
        <f>ROUND($E7/SUM($E$7:$E$8)*100,2)</f>
        <v>60.61</v>
      </c>
      <c r="H7" s="2"/>
    </row>
    <row r="8" spans="1:8" x14ac:dyDescent="0.25">
      <c r="A8" s="2"/>
      <c r="B8" s="2" t="s">
        <v>202</v>
      </c>
      <c r="C8" s="4">
        <f>COUNTIFS(Resp4[Vínculo],"tecnico",Resp4[4.33],B8)</f>
        <v>11</v>
      </c>
      <c r="D8" s="4">
        <f>COUNTIFS(Resp4[Vínculo],"docente",Resp4[4.33],B8)</f>
        <v>2</v>
      </c>
      <c r="E8" s="2">
        <f>COUNTIF(Resp4[4.33],B8)</f>
        <v>13</v>
      </c>
      <c r="F8" s="22">
        <f t="shared" si="0"/>
        <v>39.39</v>
      </c>
      <c r="G8" s="4">
        <f>ROUND($E8/SUM($E$7:$E$8)*100,2)</f>
        <v>39.39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</v>
      </c>
      <c r="E6" s="4">
        <f>E13-SUM(E7:E12)</f>
        <v>13</v>
      </c>
      <c r="F6" s="4">
        <f>ROUND($E6/E$13*100,2)</f>
        <v>39.39</v>
      </c>
    </row>
    <row r="7" spans="1:7" x14ac:dyDescent="0.25">
      <c r="B7" s="2" t="s">
        <v>197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COUNTIFS(Resp4[Vínculo],"tecnico",Resp4[4.34],B9)</f>
        <v>0</v>
      </c>
      <c r="D9" s="4">
        <f>COUNTIFS(Resp4[Vínculo],"docente",Resp4[4.34],B9)</f>
        <v>1</v>
      </c>
      <c r="E9" s="4">
        <f>COUNTIF(Resp4[4.34],B9)</f>
        <v>1</v>
      </c>
      <c r="F9" s="4">
        <f t="shared" si="0"/>
        <v>3.03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6</v>
      </c>
      <c r="E10" s="4">
        <f>COUNTIF(Resp4[4.34],B10)</f>
        <v>6</v>
      </c>
      <c r="F10" s="4">
        <f t="shared" si="0"/>
        <v>18.18</v>
      </c>
      <c r="G10" s="3">
        <f t="shared" si="1"/>
        <v>30</v>
      </c>
    </row>
    <row r="11" spans="1:7" x14ac:dyDescent="0.25">
      <c r="B11" s="2" t="s">
        <v>195</v>
      </c>
      <c r="C11" s="4">
        <f>COUNTIFS(Resp4[Vínculo],"tecnico",Resp4[4.34],B11)</f>
        <v>0</v>
      </c>
      <c r="D11" s="4">
        <f>COUNTIFS(Resp4[Vínculo],"docente",Resp4[4.34],B11)</f>
        <v>7</v>
      </c>
      <c r="E11" s="4">
        <f>COUNTIF(Resp4[4.34],B11)</f>
        <v>7</v>
      </c>
      <c r="F11" s="4">
        <f t="shared" si="0"/>
        <v>21.21</v>
      </c>
      <c r="G11" s="3">
        <f t="shared" si="1"/>
        <v>35</v>
      </c>
    </row>
    <row r="12" spans="1:7" x14ac:dyDescent="0.25">
      <c r="B12" s="7" t="s">
        <v>198</v>
      </c>
      <c r="C12" s="4">
        <f>COUNTIFS(Resp4[Vínculo],"tecnico",Resp4[4.34],B12)</f>
        <v>2</v>
      </c>
      <c r="D12" s="4">
        <f>COUNTIFS(Resp4[Vínculo],"docente",Resp4[4.34],B12)</f>
        <v>4</v>
      </c>
      <c r="E12" s="4">
        <f>COUNTIF(Resp4[4.34],B12)</f>
        <v>6</v>
      </c>
      <c r="F12" s="22">
        <f t="shared" si="0"/>
        <v>18.18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61.110999999999997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3">
        <f>ROUND($E6/E$13*100,2)</f>
        <v>42.42</v>
      </c>
      <c r="G6" s="3"/>
    </row>
    <row r="7" spans="1:7" x14ac:dyDescent="0.25">
      <c r="B7" s="2" t="s">
        <v>197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4</v>
      </c>
      <c r="E10" s="4">
        <f>COUNTIF(Resp4[4.02],B10)</f>
        <v>4</v>
      </c>
      <c r="F10" s="3">
        <f t="shared" si="0"/>
        <v>12.12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11</v>
      </c>
      <c r="E11" s="4">
        <f>COUNTIF(Resp4[4.02],B11)</f>
        <v>11</v>
      </c>
      <c r="F11" s="3">
        <f t="shared" si="0"/>
        <v>33.33</v>
      </c>
      <c r="G11" s="3">
        <f t="shared" si="1"/>
        <v>57.895000000000003</v>
      </c>
    </row>
    <row r="12" spans="1:7" x14ac:dyDescent="0.25">
      <c r="B12" s="7" t="s">
        <v>198</v>
      </c>
      <c r="C12" s="4">
        <f>COUNTIFS(Resp4[Vínculo],"tecnico",Resp4[4.02],B$12)</f>
        <v>3</v>
      </c>
      <c r="D12" s="4">
        <f>COUNTIFS(Resp4[Vínculo],"docente",Resp4[4.02],B12)</f>
        <v>1</v>
      </c>
      <c r="E12" s="4">
        <f>COUNTIF(Resp4[4.02],B12)</f>
        <v>4</v>
      </c>
      <c r="F12" s="24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100.001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5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</v>
      </c>
      <c r="E6" s="4">
        <f>E13-SUM(E7:E12)</f>
        <v>13</v>
      </c>
      <c r="F6" s="4">
        <f>ROUND($E6/E$13*100,2)</f>
        <v>39.39</v>
      </c>
    </row>
    <row r="7" spans="1:7" x14ac:dyDescent="0.25">
      <c r="B7" s="2" t="s">
        <v>197</v>
      </c>
      <c r="C7" s="4">
        <f>COUNTIFS(Resp4[Vínculo],"tecnico",Resp4[4.35],B7)</f>
        <v>0</v>
      </c>
      <c r="D7" s="4">
        <f>COUNTIFS(Resp4[Vínculo],"docente",Resp4[4.35],B7)</f>
        <v>2</v>
      </c>
      <c r="E7" s="4">
        <f>COUNTIF(Resp4[4.35],B7)</f>
        <v>2</v>
      </c>
      <c r="F7" s="4">
        <f t="shared" ref="F7:F13" si="0">ROUND($E7/E$13*100,2)</f>
        <v>6.06</v>
      </c>
      <c r="G7" s="3">
        <f t="shared" ref="G7:G12" si="1">ROUND($E7/SUM($E$7:$E$12)*100,3)</f>
        <v>10</v>
      </c>
    </row>
    <row r="8" spans="1:7" x14ac:dyDescent="0.25">
      <c r="B8" s="2" t="s">
        <v>200</v>
      </c>
      <c r="C8" s="4">
        <f>COUNTIFS(Resp4[Vínculo],"tecnico",Resp4[4.35],B8)</f>
        <v>0</v>
      </c>
      <c r="D8" s="4">
        <f>COUNTIFS(Resp4[Vínculo],"docente",Resp4[4.35],B8)</f>
        <v>1</v>
      </c>
      <c r="E8" s="4">
        <f>COUNTIF(Resp4[4.35],B8)</f>
        <v>1</v>
      </c>
      <c r="F8" s="4">
        <f t="shared" si="0"/>
        <v>3.03</v>
      </c>
      <c r="G8" s="3">
        <f t="shared" si="1"/>
        <v>5</v>
      </c>
    </row>
    <row r="9" spans="1:7" x14ac:dyDescent="0.25">
      <c r="B9" s="2" t="s">
        <v>196</v>
      </c>
      <c r="C9" s="4">
        <f>COUNTIFS(Resp4[Vínculo],"tecnico",Resp4[4.35],B9)</f>
        <v>0</v>
      </c>
      <c r="D9" s="4">
        <f>COUNTIFS(Resp4[Vínculo],"docente",Resp4[4.35],B9)</f>
        <v>2</v>
      </c>
      <c r="E9" s="4">
        <f>COUNTIF(Resp4[4.35],B9)</f>
        <v>2</v>
      </c>
      <c r="F9" s="4">
        <f t="shared" si="0"/>
        <v>6.06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7</v>
      </c>
      <c r="E10" s="4">
        <f>COUNTIF(Resp4[4.35],B10)</f>
        <v>7</v>
      </c>
      <c r="F10" s="4">
        <f t="shared" si="0"/>
        <v>21.21</v>
      </c>
      <c r="G10" s="3">
        <f t="shared" si="1"/>
        <v>35</v>
      </c>
    </row>
    <row r="11" spans="1:7" x14ac:dyDescent="0.25">
      <c r="B11" s="2" t="s">
        <v>195</v>
      </c>
      <c r="C11" s="4">
        <f>COUNTIFS(Resp4[Vínculo],"tecnico",Resp4[4.35],B11)</f>
        <v>0</v>
      </c>
      <c r="D11" s="4">
        <f>COUNTIFS(Resp4[Vínculo],"docente",Resp4[4.35],B11)</f>
        <v>5</v>
      </c>
      <c r="E11" s="4">
        <f>COUNTIF(Resp4[4.35],B11)</f>
        <v>5</v>
      </c>
      <c r="F11" s="4">
        <f t="shared" si="0"/>
        <v>15.15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COUNTIFS(Resp4[Vínculo],"tecnico",Resp4[4.35],B12)</f>
        <v>2</v>
      </c>
      <c r="D12" s="4">
        <f>COUNTIFS(Resp4[Vínculo],"docente",Resp4[4.35],B12)</f>
        <v>1</v>
      </c>
      <c r="E12" s="4">
        <f>COUNTIF(Resp4[4.35],B12)</f>
        <v>3</v>
      </c>
      <c r="F12" s="22">
        <f t="shared" si="0"/>
        <v>9.09</v>
      </c>
      <c r="G12" s="3">
        <f t="shared" si="1"/>
        <v>15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</v>
      </c>
      <c r="E6" s="4">
        <f>E13-SUM(E7:E12)</f>
        <v>13</v>
      </c>
      <c r="F6" s="4">
        <f>ROUND($E6/E$13*100,2)</f>
        <v>39.39</v>
      </c>
    </row>
    <row r="7" spans="1:7" x14ac:dyDescent="0.25">
      <c r="B7" s="2" t="s">
        <v>197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COUNTIFS(Resp4[Vínculo],"tecnico",Resp4[4.36],B8)</f>
        <v>0</v>
      </c>
      <c r="D8" s="4">
        <f>COUNTIFS(Resp4[Vínculo],"docente",Resp4[4.36],B8)</f>
        <v>1</v>
      </c>
      <c r="E8" s="4">
        <f>COUNTIF(Resp4[4.36],B8)</f>
        <v>1</v>
      </c>
      <c r="F8" s="4">
        <f t="shared" si="0"/>
        <v>3.03</v>
      </c>
      <c r="G8" s="3">
        <f t="shared" si="1"/>
        <v>5</v>
      </c>
    </row>
    <row r="9" spans="1:7" x14ac:dyDescent="0.25">
      <c r="B9" s="2" t="s">
        <v>196</v>
      </c>
      <c r="C9" s="4">
        <f>COUNTIFS(Resp4[Vínculo],"tecnico",Resp4[4.36],B9)</f>
        <v>0</v>
      </c>
      <c r="D9" s="4">
        <f>COUNTIFS(Resp4[Vínculo],"docente",Resp4[4.36],B9)</f>
        <v>1</v>
      </c>
      <c r="E9" s="4">
        <f>COUNTIF(Resp4[4.36],B9)</f>
        <v>1</v>
      </c>
      <c r="F9" s="4">
        <f t="shared" si="0"/>
        <v>3.03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3</v>
      </c>
      <c r="E10" s="4">
        <f>COUNTIF(Resp4[4.36],B10)</f>
        <v>3</v>
      </c>
      <c r="F10" s="4">
        <f t="shared" si="0"/>
        <v>9.09</v>
      </c>
      <c r="G10" s="3">
        <f t="shared" si="1"/>
        <v>15</v>
      </c>
    </row>
    <row r="11" spans="1:7" x14ac:dyDescent="0.25">
      <c r="B11" s="2" t="s">
        <v>195</v>
      </c>
      <c r="C11" s="4">
        <f>COUNTIFS(Resp4[Vínculo],"tecnico",Resp4[4.36],B11)</f>
        <v>0</v>
      </c>
      <c r="D11" s="4">
        <f>COUNTIFS(Resp4[Vínculo],"docente",Resp4[4.36],B11)</f>
        <v>9</v>
      </c>
      <c r="E11" s="4">
        <f>COUNTIF(Resp4[4.36],B11)</f>
        <v>9</v>
      </c>
      <c r="F11" s="4">
        <f t="shared" si="0"/>
        <v>27.27</v>
      </c>
      <c r="G11" s="3">
        <f t="shared" si="1"/>
        <v>45</v>
      </c>
    </row>
    <row r="12" spans="1:7" x14ac:dyDescent="0.25">
      <c r="B12" s="7" t="s">
        <v>198</v>
      </c>
      <c r="C12" s="4">
        <f>COUNTIFS(Resp4[Vínculo],"tecnico",Resp4[4.36],B12)</f>
        <v>2</v>
      </c>
      <c r="D12" s="4">
        <f>COUNTIFS(Resp4[Vínculo],"docente",Resp4[4.36],B12)</f>
        <v>4</v>
      </c>
      <c r="E12" s="4">
        <f>COUNTIF(Resp4[4.36],B12)</f>
        <v>6</v>
      </c>
      <c r="F12" s="22">
        <f t="shared" si="0"/>
        <v>18.18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0</v>
      </c>
      <c r="D7" s="4">
        <f>COUNTIFS(Resp4[Vínculo],"docente",Resp4[4.38],B7)</f>
        <v>14</v>
      </c>
      <c r="E7" s="2">
        <f>COUNTIF(Resp4[4.38],B7)</f>
        <v>14</v>
      </c>
      <c r="F7" s="4">
        <f t="shared" ref="F7:F9" si="0">ROUND($E7/E$9*100,2)</f>
        <v>42.42</v>
      </c>
      <c r="G7" s="4">
        <f>ROUND($E7/SUM($E$7:$E$8)*100,2)</f>
        <v>42.42</v>
      </c>
      <c r="H7" s="2"/>
    </row>
    <row r="8" spans="1:8" x14ac:dyDescent="0.25">
      <c r="A8" s="2"/>
      <c r="B8" s="2" t="s">
        <v>202</v>
      </c>
      <c r="C8" s="4">
        <f>COUNTIFS(Resp4[Vínculo],"tecnico",Resp4[4.38],B8)</f>
        <v>13</v>
      </c>
      <c r="D8" s="4">
        <f>COUNTIFS(Resp4[Vínculo],"docente",Resp4[4.38],B8)</f>
        <v>6</v>
      </c>
      <c r="E8" s="2">
        <f>COUNTIF(Resp4[4.38],B8)</f>
        <v>19</v>
      </c>
      <c r="F8" s="22">
        <f t="shared" si="0"/>
        <v>57.58</v>
      </c>
      <c r="G8" s="4">
        <f>ROUND($E8/SUM($E$7:$E$8)*100,2)</f>
        <v>57.58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COUNTIFS(Resp4[Vínculo],"tecnico",Resp4[4.39],B7)</f>
        <v>0</v>
      </c>
      <c r="D7" s="4">
        <f>COUNTIFS(Resp4[Vínculo],"docente",Resp4[4.39],B7)</f>
        <v>2</v>
      </c>
      <c r="E7" s="4">
        <f>COUNTIF(Resp4[4.39],B7)</f>
        <v>2</v>
      </c>
      <c r="F7" s="4">
        <f t="shared" ref="F7:F13" si="0">ROUND($E7/E$13*100,2)</f>
        <v>6.06</v>
      </c>
      <c r="G7" s="3">
        <f t="shared" ref="G7:G12" si="1">ROUND($E7/SUM($E$7:$E$12)*100,3)</f>
        <v>14.286</v>
      </c>
    </row>
    <row r="8" spans="1:7" x14ac:dyDescent="0.25">
      <c r="B8" s="2" t="s">
        <v>200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COUNTIFS(Resp4[Vínculo],"tecnico",Resp4[4.39],B9)</f>
        <v>0</v>
      </c>
      <c r="D9" s="4">
        <f>COUNTIFS(Resp4[Vínculo],"docente",Resp4[4.39],B9)</f>
        <v>1</v>
      </c>
      <c r="E9" s="4">
        <f>COUNTIF(Resp4[4.39],B9)</f>
        <v>1</v>
      </c>
      <c r="F9" s="4">
        <f t="shared" si="0"/>
        <v>3.03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1</v>
      </c>
      <c r="E10" s="4">
        <f>COUNTIF(Resp4[4.39],B10)</f>
        <v>1</v>
      </c>
      <c r="F10" s="4">
        <f t="shared" si="0"/>
        <v>3.03</v>
      </c>
      <c r="G10" s="3">
        <f t="shared" si="1"/>
        <v>7.1429999999999998</v>
      </c>
    </row>
    <row r="11" spans="1:7" x14ac:dyDescent="0.25">
      <c r="B11" s="2" t="s">
        <v>195</v>
      </c>
      <c r="C11" s="4">
        <f>COUNTIFS(Resp4[Vínculo],"tecnico",Resp4[4.39],B11)</f>
        <v>0</v>
      </c>
      <c r="D11" s="4">
        <f>COUNTIFS(Resp4[Vínculo],"docente",Resp4[4.39],B11)</f>
        <v>9</v>
      </c>
      <c r="E11" s="4">
        <f>COUNTIF(Resp4[4.39],B11)</f>
        <v>9</v>
      </c>
      <c r="F11" s="4">
        <f t="shared" si="0"/>
        <v>27.27</v>
      </c>
      <c r="G11" s="3">
        <f t="shared" si="1"/>
        <v>64.286000000000001</v>
      </c>
    </row>
    <row r="12" spans="1:7" x14ac:dyDescent="0.25">
      <c r="B12" s="7" t="s">
        <v>198</v>
      </c>
      <c r="C12" s="4">
        <f>COUNTIFS(Resp4[Vínculo],"tecnico",Resp4[4.39],B12)</f>
        <v>0</v>
      </c>
      <c r="D12" s="4">
        <f>COUNTIFS(Resp4[Vínculo],"docente",Resp4[4.39],B12)</f>
        <v>1</v>
      </c>
      <c r="E12" s="4">
        <f>COUNTIF(Resp4[4.39],B12)</f>
        <v>1</v>
      </c>
      <c r="F12" s="22">
        <f t="shared" si="0"/>
        <v>3.03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7.1429999999999998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15">
        <f>ROUND($E6/E$13*100,2)</f>
        <v>57.58</v>
      </c>
    </row>
    <row r="7" spans="1:7" x14ac:dyDescent="0.25">
      <c r="B7" s="2" t="s">
        <v>197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COUNTIFS(Resp4[Vínculo],"tecnico",Resp4[4.40],B9)</f>
        <v>0</v>
      </c>
      <c r="D9" s="4">
        <f>COUNTIFS(Resp4[Vínculo],"docente",Resp4[4.40],B9)</f>
        <v>1</v>
      </c>
      <c r="E9" s="4">
        <f>COUNTIF(Resp4[4.40],B9)</f>
        <v>1</v>
      </c>
      <c r="F9" s="15">
        <f t="shared" si="0"/>
        <v>3.03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3</v>
      </c>
      <c r="E10" s="4">
        <f>COUNTIF(Resp4[4.40],B10)</f>
        <v>3</v>
      </c>
      <c r="F10" s="15">
        <f t="shared" si="0"/>
        <v>9.09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COUNTIFS(Resp4[Vínculo],"tecnico",Resp4[4.40],B11)</f>
        <v>0</v>
      </c>
      <c r="D11" s="4">
        <f>COUNTIFS(Resp4[Vínculo],"docente",Resp4[4.40],B11)</f>
        <v>9</v>
      </c>
      <c r="E11" s="4">
        <f>COUNTIF(Resp4[4.40],B11)</f>
        <v>9</v>
      </c>
      <c r="F11" s="15">
        <f t="shared" si="0"/>
        <v>27.27</v>
      </c>
      <c r="G11" s="3">
        <f t="shared" si="1"/>
        <v>64.286000000000001</v>
      </c>
    </row>
    <row r="12" spans="1:7" x14ac:dyDescent="0.25">
      <c r="B12" s="7" t="s">
        <v>198</v>
      </c>
      <c r="C12" s="4">
        <f>COUNTIFS(Resp4[Vínculo],"tecnico",Resp4[4.40],B12)</f>
        <v>0</v>
      </c>
      <c r="D12" s="4">
        <f>COUNTIFS(Resp4[Vínculo],"docente",Resp4[4.40],B12)</f>
        <v>1</v>
      </c>
      <c r="E12" s="4">
        <f>COUNTIF(Resp4[4.40],B12)</f>
        <v>1</v>
      </c>
      <c r="F12" s="19">
        <f t="shared" si="0"/>
        <v>3.03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COUNTIFS(Resp4[Vínculo],"tecnico",Resp4[4.41],B9)</f>
        <v>0</v>
      </c>
      <c r="D9" s="4">
        <f>COUNTIFS(Resp4[Vínculo],"docente",Resp4[4.41],B9)</f>
        <v>2</v>
      </c>
      <c r="E9" s="4">
        <f>COUNTIF(Resp4[4.41],B9)</f>
        <v>2</v>
      </c>
      <c r="F9" s="4">
        <f t="shared" si="0"/>
        <v>6.06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3</v>
      </c>
      <c r="E10" s="4">
        <f>COUNTIF(Resp4[4.41],B10)</f>
        <v>3</v>
      </c>
      <c r="F10" s="4">
        <f t="shared" si="0"/>
        <v>9.09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COUNTIFS(Resp4[Vínculo],"tecnico",Resp4[4.41],B11)</f>
        <v>0</v>
      </c>
      <c r="D11" s="4">
        <f>COUNTIFS(Resp4[Vínculo],"docente",Resp4[4.41],B11)</f>
        <v>9</v>
      </c>
      <c r="E11" s="4">
        <f>COUNTIF(Resp4[4.41],B11)</f>
        <v>9</v>
      </c>
      <c r="F11" s="4">
        <f t="shared" si="0"/>
        <v>27.27</v>
      </c>
      <c r="G11" s="3">
        <f t="shared" si="1"/>
        <v>64.286000000000001</v>
      </c>
    </row>
    <row r="12" spans="1:7" x14ac:dyDescent="0.25">
      <c r="B12" s="7" t="s">
        <v>198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64.286000000000001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COUNTIFS(Resp4[Vínculo],"tecnico",Resp4[4.42],B9)</f>
        <v>0</v>
      </c>
      <c r="D9" s="4">
        <f>COUNTIFS(Resp4[Vínculo],"docente",Resp4[4.42],B9)</f>
        <v>1</v>
      </c>
      <c r="E9" s="4">
        <f>COUNTIF(Resp4[4.42],B9)</f>
        <v>1</v>
      </c>
      <c r="F9" s="4">
        <f t="shared" si="0"/>
        <v>3.03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4</v>
      </c>
      <c r="E10" s="4">
        <f>COUNTIF(Resp4[4.42],B10)</f>
        <v>4</v>
      </c>
      <c r="F10" s="4">
        <f t="shared" si="0"/>
        <v>12.12</v>
      </c>
      <c r="G10" s="3">
        <f t="shared" si="1"/>
        <v>28.571000000000002</v>
      </c>
    </row>
    <row r="11" spans="1:7" x14ac:dyDescent="0.25">
      <c r="B11" s="2" t="s">
        <v>195</v>
      </c>
      <c r="C11" s="4">
        <f>COUNTIFS(Resp4[Vínculo],"tecnico",Resp4[4.42],B11)</f>
        <v>0</v>
      </c>
      <c r="D11" s="4">
        <f>COUNTIFS(Resp4[Vínculo],"docente",Resp4[4.42],B11)</f>
        <v>6</v>
      </c>
      <c r="E11" s="4">
        <f>COUNTIF(Resp4[4.42],B11)</f>
        <v>6</v>
      </c>
      <c r="F11" s="4">
        <f t="shared" si="0"/>
        <v>18.18</v>
      </c>
      <c r="G11" s="3">
        <f t="shared" si="1"/>
        <v>42.856999999999999</v>
      </c>
    </row>
    <row r="12" spans="1:7" x14ac:dyDescent="0.25">
      <c r="B12" s="7" t="s">
        <v>198</v>
      </c>
      <c r="C12" s="4">
        <f>COUNTIFS(Resp4[Vínculo],"tecnico",Resp4[4.42],B12)</f>
        <v>0</v>
      </c>
      <c r="D12" s="4">
        <f>COUNTIFS(Resp4[Vínculo],"docente",Resp4[4.42],B12)</f>
        <v>3</v>
      </c>
      <c r="E12" s="4">
        <f>COUNTIF(Resp4[4.42],B12)</f>
        <v>3</v>
      </c>
      <c r="F12" s="22">
        <f t="shared" si="0"/>
        <v>9.09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64.286000000000001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COUNTIFS(Resp4[Vínculo],"tecnico",Resp4[4.43],B8)</f>
        <v>0</v>
      </c>
      <c r="D8" s="4">
        <f>COUNTIFS(Resp4[Vínculo],"docente",Resp4[4.43],B8)</f>
        <v>2</v>
      </c>
      <c r="E8" s="4">
        <f>COUNTIF(Resp4[4.43],B8)</f>
        <v>2</v>
      </c>
      <c r="F8" s="4">
        <f t="shared" si="0"/>
        <v>6.06</v>
      </c>
      <c r="G8" s="3">
        <f t="shared" si="1"/>
        <v>14.286</v>
      </c>
    </row>
    <row r="9" spans="1:7" x14ac:dyDescent="0.25">
      <c r="B9" s="2" t="s">
        <v>196</v>
      </c>
      <c r="C9" s="4">
        <f>COUNTIFS(Resp4[Vínculo],"tecnico",Resp4[4.43],B9)</f>
        <v>0</v>
      </c>
      <c r="D9" s="4">
        <f>COUNTIFS(Resp4[Vínculo],"docente",Resp4[4.43],B9)</f>
        <v>3</v>
      </c>
      <c r="E9" s="4">
        <f>COUNTIF(Resp4[4.43],B9)</f>
        <v>3</v>
      </c>
      <c r="F9" s="4">
        <f t="shared" si="0"/>
        <v>9.09</v>
      </c>
      <c r="G9" s="3">
        <f t="shared" si="1"/>
        <v>21.428999999999998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3</v>
      </c>
      <c r="E10" s="4">
        <f>COUNTIF(Resp4[4.43],B10)</f>
        <v>3</v>
      </c>
      <c r="F10" s="4">
        <f t="shared" si="0"/>
        <v>9.09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COUNTIFS(Resp4[Vínculo],"tecnico",Resp4[4.43],B11)</f>
        <v>0</v>
      </c>
      <c r="D11" s="4">
        <f>COUNTIFS(Resp4[Vínculo],"docente",Resp4[4.43],B11)</f>
        <v>4</v>
      </c>
      <c r="E11" s="4">
        <f>COUNTIF(Resp4[4.43],B11)</f>
        <v>4</v>
      </c>
      <c r="F11" s="4">
        <f t="shared" si="0"/>
        <v>12.12</v>
      </c>
      <c r="G11" s="3">
        <f t="shared" si="1"/>
        <v>28.571000000000002</v>
      </c>
    </row>
    <row r="12" spans="1:7" x14ac:dyDescent="0.25">
      <c r="B12" s="7" t="s">
        <v>198</v>
      </c>
      <c r="C12" s="4">
        <f>COUNTIFS(Resp4[Vínculo],"tecnico",Resp4[4.43],B12)</f>
        <v>0</v>
      </c>
      <c r="D12" s="4">
        <f>COUNTIFS(Resp4[Vínculo],"docente",Resp4[4.43],B12)</f>
        <v>2</v>
      </c>
      <c r="E12" s="4">
        <f>COUNTIF(Resp4[4.43],B12)</f>
        <v>2</v>
      </c>
      <c r="F12" s="22">
        <f t="shared" si="0"/>
        <v>6.06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35.713999999999999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COUNTIFS(Resp4[Vínculo],"tecnico",Resp4[4.44],B9)</f>
        <v>0</v>
      </c>
      <c r="D9" s="4">
        <f>COUNTIFS(Resp4[Vínculo],"docente",Resp4[4.44],B9)</f>
        <v>1</v>
      </c>
      <c r="E9" s="4">
        <f>COUNTIF(Resp4[4.44],B9)</f>
        <v>1</v>
      </c>
      <c r="F9" s="4">
        <f t="shared" si="0"/>
        <v>3.03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2</v>
      </c>
      <c r="E10" s="4">
        <f>COUNTIF(Resp4[4.44],B10)</f>
        <v>2</v>
      </c>
      <c r="F10" s="4">
        <f t="shared" si="0"/>
        <v>6.06</v>
      </c>
      <c r="G10" s="3">
        <f t="shared" si="1"/>
        <v>14.286</v>
      </c>
    </row>
    <row r="11" spans="1:7" x14ac:dyDescent="0.25">
      <c r="B11" s="2" t="s">
        <v>195</v>
      </c>
      <c r="C11" s="4">
        <f>COUNTIFS(Resp4[Vínculo],"tecnico",Resp4[4.44],B11)</f>
        <v>0</v>
      </c>
      <c r="D11" s="4">
        <f>COUNTIFS(Resp4[Vínculo],"docente",Resp4[4.44],B11)</f>
        <v>8</v>
      </c>
      <c r="E11" s="4">
        <f>COUNTIF(Resp4[4.44],B11)</f>
        <v>8</v>
      </c>
      <c r="F11" s="4">
        <f t="shared" si="0"/>
        <v>24.24</v>
      </c>
      <c r="G11" s="3">
        <f t="shared" si="1"/>
        <v>57.143000000000001</v>
      </c>
    </row>
    <row r="12" spans="1:7" x14ac:dyDescent="0.25">
      <c r="B12" s="7" t="s">
        <v>198</v>
      </c>
      <c r="C12" s="4">
        <f>COUNTIFS(Resp4[Vínculo],"tecnico",Resp4[4.44],B12)</f>
        <v>0</v>
      </c>
      <c r="D12" s="4">
        <f>COUNTIFS(Resp4[Vínculo],"docente",Resp4[4.44],B12)</f>
        <v>3</v>
      </c>
      <c r="E12" s="4">
        <f>COUNTIF(Resp4[4.44],B12)</f>
        <v>3</v>
      </c>
      <c r="F12" s="22">
        <f t="shared" si="0"/>
        <v>9.09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78.570999999999998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COUNTIFS(Resp4[Vínculo],"tecnico",Resp4[4.45],B8)</f>
        <v>0</v>
      </c>
      <c r="D8" s="4">
        <f>COUNTIFS(Resp4[Vínculo],"docente",Resp4[4.45],B8)</f>
        <v>2</v>
      </c>
      <c r="E8" s="4">
        <f>COUNTIF(Resp4[4.45],B8)</f>
        <v>2</v>
      </c>
      <c r="F8" s="4">
        <f t="shared" si="0"/>
        <v>6.06</v>
      </c>
      <c r="G8" s="3">
        <f t="shared" si="1"/>
        <v>14.286</v>
      </c>
    </row>
    <row r="9" spans="1:7" x14ac:dyDescent="0.25">
      <c r="B9" s="2" t="s">
        <v>196</v>
      </c>
      <c r="C9" s="4">
        <f>COUNTIFS(Resp4[Vínculo],"tecnico",Resp4[4.45],B9)</f>
        <v>0</v>
      </c>
      <c r="D9" s="4">
        <f>COUNTIFS(Resp4[Vínculo],"docente",Resp4[4.45],B9)</f>
        <v>1</v>
      </c>
      <c r="E9" s="4">
        <f>COUNTIF(Resp4[4.45],B9)</f>
        <v>1</v>
      </c>
      <c r="F9" s="4">
        <f t="shared" si="0"/>
        <v>3.03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3</v>
      </c>
      <c r="E10" s="4">
        <f>COUNTIF(Resp4[4.45],B10)</f>
        <v>3</v>
      </c>
      <c r="F10" s="4">
        <f t="shared" si="0"/>
        <v>9.09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COUNTIFS(Resp4[Vínculo],"tecnico",Resp4[4.45],B11)</f>
        <v>0</v>
      </c>
      <c r="D11" s="4">
        <f>COUNTIFS(Resp4[Vínculo],"docente",Resp4[4.45],B11)</f>
        <v>8</v>
      </c>
      <c r="E11" s="4">
        <f>COUNTIF(Resp4[4.45],B11)</f>
        <v>8</v>
      </c>
      <c r="F11" s="4">
        <f t="shared" si="0"/>
        <v>24.24</v>
      </c>
      <c r="G11" s="3">
        <f t="shared" si="1"/>
        <v>57.143000000000001</v>
      </c>
    </row>
    <row r="12" spans="1:7" x14ac:dyDescent="0.25">
      <c r="B12" s="7" t="s">
        <v>198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21.428999999999998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3</v>
      </c>
      <c r="D7" s="4">
        <f>COUNTIFS(Resp4[Vínculo],"docente",Resp4[4.01],B7)</f>
        <v>16</v>
      </c>
      <c r="E7" s="2">
        <f>COUNTIF(Resp4[4.01],B7)</f>
        <v>19</v>
      </c>
      <c r="F7" s="3">
        <f t="shared" ref="F7:F8" si="0">ROUND($E7/E$9*100,2)</f>
        <v>57.58</v>
      </c>
      <c r="G7" s="4">
        <f>ROUND($E7/SUM($E$7:$E$8)*100,2)</f>
        <v>57.58</v>
      </c>
      <c r="H7" s="2"/>
    </row>
    <row r="8" spans="1:8" x14ac:dyDescent="0.25">
      <c r="A8" s="2"/>
      <c r="B8" s="2" t="s">
        <v>202</v>
      </c>
      <c r="C8" s="4">
        <f>COUNTIFS(Resp4[Vínculo],"tecnico",Resp4[4.01],B8)</f>
        <v>10</v>
      </c>
      <c r="D8" s="4">
        <f>COUNTIFS(Resp4[Vínculo],"docente",Resp4[4.01],B8)</f>
        <v>4</v>
      </c>
      <c r="E8" s="2">
        <f>COUNTIF(Resp4[4.01],B8)</f>
        <v>14</v>
      </c>
      <c r="F8" s="24">
        <f t="shared" si="0"/>
        <v>42.42</v>
      </c>
      <c r="G8" s="4">
        <f>ROUND($E8/SUM($E$7:$E$8)*100,2)</f>
        <v>42.42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4</v>
      </c>
      <c r="E10" s="4">
        <f>COUNTIF(Resp4[4.46],B10)</f>
        <v>4</v>
      </c>
      <c r="F10" s="4">
        <f t="shared" si="0"/>
        <v>12.12</v>
      </c>
      <c r="G10" s="3">
        <f t="shared" si="1"/>
        <v>28.571000000000002</v>
      </c>
    </row>
    <row r="11" spans="1:7" x14ac:dyDescent="0.25">
      <c r="B11" s="2" t="s">
        <v>195</v>
      </c>
      <c r="C11" s="4">
        <f>COUNTIFS(Resp4[Vínculo],"tecnico",Resp4[4.46],B11)</f>
        <v>0</v>
      </c>
      <c r="D11" s="4">
        <f>COUNTIFS(Resp4[Vínculo],"docente",Resp4[4.46],B11)</f>
        <v>7</v>
      </c>
      <c r="E11" s="4">
        <f>COUNTIF(Resp4[4.46],B11)</f>
        <v>7</v>
      </c>
      <c r="F11" s="4">
        <f t="shared" si="0"/>
        <v>21.21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COUNTIFS(Resp4[Vínculo],"tecnico",Resp4[4.46],B12)</f>
        <v>0</v>
      </c>
      <c r="D12" s="4">
        <f>COUNTIFS(Resp4[Vínculo],"docente",Resp4[4.46],B12)</f>
        <v>3</v>
      </c>
      <c r="E12" s="4">
        <f>COUNTIF(Resp4[4.46],B12)</f>
        <v>3</v>
      </c>
      <c r="F12" s="22">
        <f t="shared" si="0"/>
        <v>9.09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COUNTIFS(Resp4[Vínculo],"tecnico",Resp4[4.47],B8)</f>
        <v>0</v>
      </c>
      <c r="D8" s="4">
        <f>COUNTIFS(Resp4[Vínculo],"docente",Resp4[4.47],B8)</f>
        <v>1</v>
      </c>
      <c r="E8" s="4">
        <f>COUNTIF(Resp4[4.47],B8)</f>
        <v>1</v>
      </c>
      <c r="F8" s="4">
        <f t="shared" si="0"/>
        <v>3.03</v>
      </c>
      <c r="G8" s="3">
        <f t="shared" si="1"/>
        <v>7.1429999999999998</v>
      </c>
    </row>
    <row r="9" spans="1:7" x14ac:dyDescent="0.25">
      <c r="B9" s="2" t="s">
        <v>196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3</v>
      </c>
      <c r="E10" s="4">
        <f>COUNTIF(Resp4[4.47],B10)</f>
        <v>3</v>
      </c>
      <c r="F10" s="4">
        <f t="shared" si="0"/>
        <v>9.09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COUNTIFS(Resp4[Vínculo],"tecnico",Resp4[4.47],B11)</f>
        <v>0</v>
      </c>
      <c r="D11" s="4">
        <f>COUNTIFS(Resp4[Vínculo],"docente",Resp4[4.47],B11)</f>
        <v>7</v>
      </c>
      <c r="E11" s="4">
        <f>COUNTIF(Resp4[4.47],B11)</f>
        <v>7</v>
      </c>
      <c r="F11" s="4">
        <f t="shared" si="0"/>
        <v>21.21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COUNTIFS(Resp4[Vínculo],"tecnico",Resp4[4.47],B12)</f>
        <v>0</v>
      </c>
      <c r="D12" s="4">
        <f>COUNTIFS(Resp4[Vínculo],"docente",Resp4[4.47],B12)</f>
        <v>3</v>
      </c>
      <c r="E12" s="4">
        <f>COUNTIF(Resp4[4.47],B12)</f>
        <v>3</v>
      </c>
      <c r="F12" s="22">
        <f t="shared" si="0"/>
        <v>9.09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6</v>
      </c>
      <c r="E6" s="4">
        <f>E13-SUM(E7:E12)</f>
        <v>19</v>
      </c>
      <c r="F6" s="4">
        <f>ROUND($E6/E$13*100,2)</f>
        <v>57.58</v>
      </c>
    </row>
    <row r="7" spans="1:7" x14ac:dyDescent="0.25">
      <c r="B7" s="2" t="s">
        <v>197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COUNTIFS(Resp4[Vínculo],"tecnico",Resp4[4.48],B8)</f>
        <v>0</v>
      </c>
      <c r="D8" s="4">
        <f>COUNTIFS(Resp4[Vínculo],"docente",Resp4[4.48],B8)</f>
        <v>1</v>
      </c>
      <c r="E8" s="4">
        <f>COUNTIF(Resp4[4.48],B8)</f>
        <v>1</v>
      </c>
      <c r="F8" s="4">
        <f t="shared" si="0"/>
        <v>3.03</v>
      </c>
      <c r="G8" s="3">
        <f t="shared" si="1"/>
        <v>7.1429999999999998</v>
      </c>
    </row>
    <row r="9" spans="1:7" x14ac:dyDescent="0.25">
      <c r="B9" s="2" t="s">
        <v>196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2</v>
      </c>
      <c r="E10" s="4">
        <f>COUNTIF(Resp4[4.48],B10)</f>
        <v>2</v>
      </c>
      <c r="F10" s="4">
        <f t="shared" si="0"/>
        <v>6.06</v>
      </c>
      <c r="G10" s="3">
        <f t="shared" si="1"/>
        <v>14.286</v>
      </c>
    </row>
    <row r="11" spans="1:7" x14ac:dyDescent="0.25">
      <c r="B11" s="2" t="s">
        <v>195</v>
      </c>
      <c r="C11" s="4">
        <f>COUNTIFS(Resp4[Vínculo],"tecnico",Resp4[4.48],B11)</f>
        <v>0</v>
      </c>
      <c r="D11" s="4">
        <f>COUNTIFS(Resp4[Vínculo],"docente",Resp4[4.48],B11)</f>
        <v>10</v>
      </c>
      <c r="E11" s="4">
        <f>COUNTIF(Resp4[4.48],B11)</f>
        <v>10</v>
      </c>
      <c r="F11" s="4">
        <f t="shared" si="0"/>
        <v>30.3</v>
      </c>
      <c r="G11" s="3">
        <f t="shared" si="1"/>
        <v>71.429000000000002</v>
      </c>
    </row>
    <row r="12" spans="1:7" x14ac:dyDescent="0.25">
      <c r="B12" s="7" t="s">
        <v>198</v>
      </c>
      <c r="C12" s="4">
        <f>COUNTIFS(Resp4[Vínculo],"tecnico",Resp4[4.48],B12)</f>
        <v>0</v>
      </c>
      <c r="D12" s="4">
        <f>COUNTIFS(Resp4[Vínculo],"docente",Resp4[4.48],B12)</f>
        <v>1</v>
      </c>
      <c r="E12" s="4">
        <f>COUNTIF(Resp4[4.48],B12)</f>
        <v>1</v>
      </c>
      <c r="F12" s="22">
        <f t="shared" si="0"/>
        <v>3.03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7.1429999999999998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78.570999999999998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2</v>
      </c>
      <c r="D7" s="4">
        <f>COUNTIFS(Resp4[Vínculo],"docente",Resp4[4.50],B7)</f>
        <v>7</v>
      </c>
      <c r="E7" s="2">
        <f>COUNTIF(Resp4[4.50],B7)</f>
        <v>9</v>
      </c>
      <c r="F7" s="4">
        <f t="shared" ref="F7:F9" si="0">ROUND($E7/E$9*100,2)</f>
        <v>27.27</v>
      </c>
      <c r="G7" s="4">
        <f>ROUND($E7/SUM($E$7:$E$8)*100,2)</f>
        <v>27.27</v>
      </c>
      <c r="H7" s="2"/>
    </row>
    <row r="8" spans="1:8" x14ac:dyDescent="0.25">
      <c r="A8" s="2"/>
      <c r="B8" s="2" t="s">
        <v>202</v>
      </c>
      <c r="C8" s="4">
        <f>COUNTIFS(Resp4[Vínculo],"tecnico",Resp4[4.50],B8)</f>
        <v>11</v>
      </c>
      <c r="D8" s="4">
        <f>COUNTIFS(Resp4[Vínculo],"docente",Resp4[4.50],B8)</f>
        <v>13</v>
      </c>
      <c r="E8" s="2">
        <f>COUNTIF(Resp4[4.50],B8)</f>
        <v>24</v>
      </c>
      <c r="F8" s="22">
        <f t="shared" si="0"/>
        <v>72.73</v>
      </c>
      <c r="G8" s="4">
        <f>ROUND($E8/SUM($E$7:$E$8)*100,2)</f>
        <v>72.73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1</v>
      </c>
      <c r="D7" s="4">
        <f>COUNTIFS(Resp4[Vínculo],"docente",Resp4[4.51],B7)</f>
        <v>7</v>
      </c>
      <c r="E7" s="2">
        <f>COUNTIF(Resp4[4.51],B7)</f>
        <v>8</v>
      </c>
      <c r="F7" s="4">
        <f t="shared" ref="F7:F9" si="0">ROUND($E7/E$9*100,2)</f>
        <v>24.24</v>
      </c>
      <c r="G7" s="4">
        <f>ROUND($E7/SUM($E$7:$E$8)*100,2)</f>
        <v>24.24</v>
      </c>
      <c r="H7" s="2"/>
    </row>
    <row r="8" spans="1:8" x14ac:dyDescent="0.25">
      <c r="A8" s="2"/>
      <c r="B8" s="2" t="s">
        <v>202</v>
      </c>
      <c r="C8" s="4">
        <f>COUNTIFS(Resp4[Vínculo],"tecnico",Resp4[4.51],B8)</f>
        <v>12</v>
      </c>
      <c r="D8" s="4">
        <f>COUNTIFS(Resp4[Vínculo],"docente",Resp4[4.51],B8)</f>
        <v>13</v>
      </c>
      <c r="E8" s="2">
        <f>COUNTIF(Resp4[4.51],B8)</f>
        <v>25</v>
      </c>
      <c r="F8" s="22">
        <f t="shared" si="0"/>
        <v>75.760000000000005</v>
      </c>
      <c r="G8" s="4">
        <f>ROUND($E8/SUM($E$7:$E$8)*100,2)</f>
        <v>75.760000000000005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12</v>
      </c>
      <c r="D6" s="2">
        <f>COUNTIF(Resp4[Vínculo],"docente")-SUM(D$7:D$12)</f>
        <v>13</v>
      </c>
      <c r="E6" s="4">
        <f>E13-SUM(E7:E12)</f>
        <v>25</v>
      </c>
      <c r="F6" s="4">
        <f>ROUND($E6/E$13*100,2)</f>
        <v>75.760000000000005</v>
      </c>
    </row>
    <row r="7" spans="1:7" x14ac:dyDescent="0.25">
      <c r="B7" s="2" t="s">
        <v>197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COUNTIFS(Resp4[Vínculo],"tecnico",Resp4[4.52],B8)</f>
        <v>0</v>
      </c>
      <c r="D8" s="4">
        <f>COUNTIFS(Resp4[Vínculo],"docente",Resp4[4.52],B8)</f>
        <v>1</v>
      </c>
      <c r="E8" s="4">
        <f>COUNTIF(Resp4[4.52],B8)</f>
        <v>1</v>
      </c>
      <c r="F8" s="4">
        <f t="shared" si="0"/>
        <v>3.03</v>
      </c>
      <c r="G8" s="3">
        <f t="shared" si="1"/>
        <v>12.5</v>
      </c>
    </row>
    <row r="9" spans="1:7" x14ac:dyDescent="0.25">
      <c r="B9" s="2" t="s">
        <v>196</v>
      </c>
      <c r="C9" s="4">
        <f>COUNTIFS(Resp4[Vínculo],"tecnico",Resp4[4.52],B9)</f>
        <v>0</v>
      </c>
      <c r="D9" s="4">
        <f>COUNTIFS(Resp4[Vínculo],"docente",Resp4[4.52],B9)</f>
        <v>1</v>
      </c>
      <c r="E9" s="4">
        <f>COUNTIF(Resp4[4.52],B9)</f>
        <v>1</v>
      </c>
      <c r="F9" s="4">
        <f t="shared" si="0"/>
        <v>3.03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3</v>
      </c>
      <c r="E10" s="4">
        <f>COUNTIF(Resp4[4.52],B10)</f>
        <v>3</v>
      </c>
      <c r="F10" s="4">
        <f t="shared" si="0"/>
        <v>9.09</v>
      </c>
      <c r="G10" s="3">
        <f t="shared" si="1"/>
        <v>37.5</v>
      </c>
    </row>
    <row r="11" spans="1:7" x14ac:dyDescent="0.25">
      <c r="B11" s="2" t="s">
        <v>195</v>
      </c>
      <c r="C11" s="4">
        <f>COUNTIFS(Resp4[Vínculo],"tecnico",Resp4[4.52],B11)</f>
        <v>0</v>
      </c>
      <c r="D11" s="4">
        <f>COUNTIFS(Resp4[Vínculo],"docente",Resp4[4.52],B11)</f>
        <v>2</v>
      </c>
      <c r="E11" s="4">
        <f>COUNTIF(Resp4[4.52],B11)</f>
        <v>2</v>
      </c>
      <c r="F11" s="4">
        <f t="shared" si="0"/>
        <v>6.06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COUNTIFS(Resp4[Vínculo],"tecnico",Resp4[4.52],B12)</f>
        <v>1</v>
      </c>
      <c r="D12" s="4">
        <f>COUNTIFS(Resp4[Vínculo],"docente",Resp4[4.52],B12)</f>
        <v>0</v>
      </c>
      <c r="E12" s="4">
        <f>COUNTIF(Resp4[4.52],B12)</f>
        <v>1</v>
      </c>
      <c r="F12" s="22">
        <f t="shared" si="0"/>
        <v>3.03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28.571000000000002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COUNTIFS(Resp4[Vínculo],"tecnico",Resp4[4.53],B9)</f>
        <v>0</v>
      </c>
      <c r="D9" s="4">
        <f>COUNTIFS(Resp4[Vínculo],"docente",Resp4[4.53],B9)</f>
        <v>2</v>
      </c>
      <c r="E9" s="4">
        <f>COUNTIF(Resp4[4.53],B9)</f>
        <v>2</v>
      </c>
      <c r="F9" s="4">
        <f t="shared" si="0"/>
        <v>6.06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3</v>
      </c>
      <c r="E10" s="4">
        <f>COUNTIF(Resp4[4.53],B10)</f>
        <v>3</v>
      </c>
      <c r="F10" s="4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COUNTIFS(Resp4[Vínculo],"tecnico",Resp4[4.53],B11)</f>
        <v>0</v>
      </c>
      <c r="D11" s="4">
        <f>COUNTIFS(Resp4[Vínculo],"docente",Resp4[4.53],B11)</f>
        <v>2</v>
      </c>
      <c r="E11" s="4">
        <f>COUNTIF(Resp4[4.53],B11)</f>
        <v>2</v>
      </c>
      <c r="F11" s="4">
        <f t="shared" si="0"/>
        <v>6.06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COUNTIFS(Resp4[Vínculo],"tecnico",Resp4[4.53],B12)</f>
        <v>2</v>
      </c>
      <c r="D12" s="4">
        <f>COUNTIFS(Resp4[Vínculo],"docente",Resp4[4.53],B12)</f>
        <v>0</v>
      </c>
      <c r="E12" s="4">
        <f>COUNTIF(Resp4[4.53],B12)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28.571000000000002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13</v>
      </c>
      <c r="D6" s="2">
        <f>COUNTIF(Resp4[Vínculo],"docente")-SUM(D$7:D$12)</f>
        <v>4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1</v>
      </c>
      <c r="F9" s="4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4</v>
      </c>
      <c r="E10" s="4">
        <f>COUNTIF(Resp4[4.54],B10)</f>
        <v>3</v>
      </c>
      <c r="F10" s="4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COUNTIFS(Resp4[Vínculo],"tecnico",Resp4[4.02],B$8)</f>
        <v>0</v>
      </c>
      <c r="D11" s="4">
        <f>COUNTIFS(Resp4[Vínculo],"docente",Resp4[4.02],B11)</f>
        <v>11</v>
      </c>
      <c r="E11" s="4">
        <f>COUNTIF(Resp4[4.54],B11)</f>
        <v>3</v>
      </c>
      <c r="F11" s="4">
        <f t="shared" si="0"/>
        <v>9.09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COUNTIFS(Resp4[Vínculo],"tecnico",Resp4[4.02],B$8)</f>
        <v>0</v>
      </c>
      <c r="D12" s="4">
        <f>COUNTIFS(Resp4[Vínculo],"docente",Resp4[4.02],B12)</f>
        <v>1</v>
      </c>
      <c r="E12" s="4">
        <f>COUNTIF(Resp4[4.54],B12)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COUNTIFS(Resp4[Vínculo],"tecnico",Resp4[4.55],B8)</f>
        <v>0</v>
      </c>
      <c r="D8" s="4">
        <f>COUNTIFS(Resp4[Vínculo],"docente",Resp4[4.55],B8)</f>
        <v>1</v>
      </c>
      <c r="E8" s="4">
        <f>COUNTIF(Resp4[4.55],B8)</f>
        <v>1</v>
      </c>
      <c r="F8" s="4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2</v>
      </c>
      <c r="E10" s="4">
        <f>COUNTIF(Resp4[4.55],B10)</f>
        <v>2</v>
      </c>
      <c r="F10" s="4">
        <f t="shared" si="0"/>
        <v>6.06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COUNTIFS(Resp4[Vínculo],"tecnico",Resp4[4.55],B11)</f>
        <v>1</v>
      </c>
      <c r="D11" s="4">
        <f>COUNTIFS(Resp4[Vínculo],"docente",Resp4[4.55],B11)</f>
        <v>3</v>
      </c>
      <c r="E11" s="4">
        <f>COUNTIF(Resp4[4.55],B11)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COUNTIFS(Resp4[Vínculo],"tecnico",Resp4[4.55],B12)</f>
        <v>1</v>
      </c>
      <c r="D12" s="4">
        <f>COUNTIFS(Resp4[Vínculo],"docente",Resp4[4.55],B12)</f>
        <v>1</v>
      </c>
      <c r="E12" s="4">
        <f>COUNTIF(Resp4[4.55],B12)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COUNTIFS(Resp4[Vínculo],"tecnico",Resp4[4.56],B9)</f>
        <v>0</v>
      </c>
      <c r="D9" s="4">
        <f>COUNTIFS(Resp4[Vínculo],"docente",Resp4[4.56],B9)</f>
        <v>1</v>
      </c>
      <c r="E9" s="4">
        <f>COUNTIF(Resp4[4.56],B9)</f>
        <v>1</v>
      </c>
      <c r="F9" s="4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2</v>
      </c>
      <c r="E10" s="4">
        <f>COUNTIF(Resp4[4.56],B10)</f>
        <v>2</v>
      </c>
      <c r="F10" s="4">
        <f t="shared" si="0"/>
        <v>6.06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COUNTIFS(Resp4[Vínculo],"tecnico",Resp4[4.56],B11)</f>
        <v>0</v>
      </c>
      <c r="D11" s="4">
        <f>COUNTIFS(Resp4[Vínculo],"docente",Resp4[4.56],B11)</f>
        <v>4</v>
      </c>
      <c r="E11" s="4">
        <f>COUNTIF(Resp4[4.56],B11)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COUNTIFS(Resp4[Vínculo],"tecnico",Resp4[4.56],B12)</f>
        <v>2</v>
      </c>
      <c r="D12" s="4">
        <f>COUNTIFS(Resp4[Vínculo],"docente",Resp4[4.56],B12)</f>
        <v>0</v>
      </c>
      <c r="E12" s="4">
        <f>COUNTIF(Resp4[4.56],B12)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1</v>
      </c>
      <c r="E6" s="4">
        <f>E13-SUM(E7:E12)</f>
        <v>2</v>
      </c>
      <c r="F6" s="4">
        <f>ROUND($E6/E$13*100,2)</f>
        <v>6.06</v>
      </c>
    </row>
    <row r="7" spans="1:7" x14ac:dyDescent="0.25">
      <c r="B7" t="s">
        <v>203</v>
      </c>
      <c r="C7" s="4">
        <f>COUNTIFS(Resp4[Vínculo],"tecnico",Resp4[4.71],B7)</f>
        <v>5</v>
      </c>
      <c r="D7" s="4">
        <f>COUNTIFS(Resp4[Vínculo],"docente",Resp4[4.71],B7)</f>
        <v>13</v>
      </c>
      <c r="E7" s="4">
        <f>COUNTIF(Resp4[4.71],B7)</f>
        <v>18</v>
      </c>
      <c r="F7" s="4">
        <f t="shared" ref="F7:F12" si="0">ROUND($E7/E$13*100,2)</f>
        <v>54.55</v>
      </c>
      <c r="G7" s="3">
        <f t="shared" ref="G7:G12" si="1">ROUND($E7/SUM($E$7:$E$12)*100,3)</f>
        <v>58.064999999999998</v>
      </c>
    </row>
    <row r="8" spans="1:7" x14ac:dyDescent="0.25">
      <c r="B8" s="2" t="s">
        <v>200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3.03</v>
      </c>
      <c r="G9" s="3">
        <f t="shared" si="1"/>
        <v>3.226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2</v>
      </c>
      <c r="E10" s="4">
        <f>COUNTIF(Resp4[4.71],B10)</f>
        <v>2</v>
      </c>
      <c r="F10" s="4">
        <f t="shared" si="0"/>
        <v>6.06</v>
      </c>
      <c r="G10" s="3">
        <f t="shared" si="1"/>
        <v>6.452</v>
      </c>
    </row>
    <row r="11" spans="1:7" x14ac:dyDescent="0.25">
      <c r="B11" s="2" t="s">
        <v>195</v>
      </c>
      <c r="C11" s="4">
        <f>COUNTIFS(Resp4[Vínculo],"tecnico",Resp4[4.71],B11)</f>
        <v>3</v>
      </c>
      <c r="D11" s="4">
        <f>COUNTIFS(Resp4[Vínculo],"docente",Resp4[4.71],B11)</f>
        <v>3</v>
      </c>
      <c r="E11" s="4">
        <f>COUNTIF(Resp4[4.71],B11)</f>
        <v>6</v>
      </c>
      <c r="F11" s="4">
        <f t="shared" si="0"/>
        <v>18.18</v>
      </c>
      <c r="G11" s="3">
        <f t="shared" si="1"/>
        <v>19.355</v>
      </c>
    </row>
    <row r="12" spans="1:7" x14ac:dyDescent="0.25">
      <c r="B12" s="7" t="s">
        <v>198</v>
      </c>
      <c r="C12" s="4">
        <f>COUNTIFS(Resp4[Vínculo],"tecnico",Resp4[4.71],B12)</f>
        <v>4</v>
      </c>
      <c r="D12" s="4">
        <f>COUNTIFS(Resp4[Vínculo],"docente",Resp4[4.71],B12)</f>
        <v>0</v>
      </c>
      <c r="E12" s="4">
        <f>COUNTIF(Resp4[4.71],B12)</f>
        <v>4</v>
      </c>
      <c r="F12" s="22">
        <f t="shared" si="0"/>
        <v>12.12</v>
      </c>
      <c r="G12" s="3">
        <f t="shared" si="1"/>
        <v>12.903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>SUM(F6:F12)</f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58.332999999999998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203</v>
      </c>
      <c r="C26" s="16" t="s">
        <v>23</v>
      </c>
      <c r="D26" s="14">
        <f>D7</f>
        <v>13</v>
      </c>
      <c r="E26" s="15">
        <f>ROUND(D26/SUM(D$25:D$28)*100,3)</f>
        <v>68.421000000000006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15.789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COUNTIFS(Resp4[Vínculo],"tecnico",Resp4[4.57],B7)</f>
        <v>0</v>
      </c>
      <c r="D7" s="4">
        <f>COUNTIFS(Resp4[Vínculo],"docente",Resp4[4.57],B7)</f>
        <v>1</v>
      </c>
      <c r="E7" s="4">
        <f>COUNTIF(Resp4[4.57],B7)</f>
        <v>1</v>
      </c>
      <c r="F7" s="4">
        <f t="shared" ref="F7:F13" si="0">ROUND($E7/E$13*100,2)</f>
        <v>3.03</v>
      </c>
      <c r="G7" s="3">
        <f t="shared" ref="G7:G12" si="1">ROUND($E7/SUM($E$7:$E$12)*100,3)</f>
        <v>11.111000000000001</v>
      </c>
    </row>
    <row r="8" spans="1:7" x14ac:dyDescent="0.25">
      <c r="B8" s="2" t="s">
        <v>200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3</v>
      </c>
      <c r="E10" s="4">
        <f>COUNTIF(Resp4[4.57],B10)</f>
        <v>3</v>
      </c>
      <c r="F10" s="4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COUNTIFS(Resp4[Vínculo],"tecnico",Resp4[4.57],B11)</f>
        <v>1</v>
      </c>
      <c r="D11" s="4">
        <f>COUNTIFS(Resp4[Vínculo],"docente",Resp4[4.57],B11)</f>
        <v>3</v>
      </c>
      <c r="E11" s="4">
        <f>COUNTIF(Resp4[4.57],B11)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COUNTIFS(Resp4[Vínculo],"tecnico",Resp4[4.57],B12)</f>
        <v>1</v>
      </c>
      <c r="D12" s="4">
        <f>COUNTIFS(Resp4[Vínculo],"docente",Resp4[4.57],B12)</f>
        <v>0</v>
      </c>
      <c r="E12" s="4">
        <f>COUNTIF(Resp4[4.57],B12)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COUNTIFS(Resp4[Vínculo],"tecnico",Resp4[4.58],B7)</f>
        <v>0</v>
      </c>
      <c r="D7" s="4">
        <f>COUNTIFS(Resp4[Vínculo],"docente",Resp4[4.58],B7)</f>
        <v>0</v>
      </c>
      <c r="E7" s="4">
        <f>COUNTIF(Resp4[4.58],B7)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COUNTIFS(Resp4[Vínculo],"tecnico",Resp4[4.58],B8)</f>
        <v>0</v>
      </c>
      <c r="D8" s="4">
        <f>COUNTIFS(Resp4[Vínculo],"docente",Resp4[4.58],B8)</f>
        <v>1</v>
      </c>
      <c r="E8" s="4">
        <f>COUNTIF(Resp4[4.58],B8)</f>
        <v>1</v>
      </c>
      <c r="F8" s="4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COUNTIFS(Resp4[Vínculo],"tecnico",Resp4[4.58],B9)</f>
        <v>0</v>
      </c>
      <c r="D9" s="4">
        <f>COUNTIFS(Resp4[Vínculo],"docente",Resp4[4.58],B9)</f>
        <v>2</v>
      </c>
      <c r="E9" s="4">
        <f>COUNTIF(Resp4[4.58],B9)</f>
        <v>2</v>
      </c>
      <c r="F9" s="4">
        <f t="shared" si="0"/>
        <v>6.06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2</v>
      </c>
      <c r="E10" s="4">
        <f>COUNTIF(Resp4[4.58],B10)</f>
        <v>2</v>
      </c>
      <c r="F10" s="4">
        <f t="shared" si="0"/>
        <v>6.06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COUNTIFS(Resp4[Vínculo],"tecnico",Resp4[4.58],B11)</f>
        <v>1</v>
      </c>
      <c r="D11" s="4">
        <f>COUNTIFS(Resp4[Vínculo],"docente",Resp4[4.58],B11)</f>
        <v>1</v>
      </c>
      <c r="E11" s="4">
        <f>COUNTIF(Resp4[4.58],B11)</f>
        <v>2</v>
      </c>
      <c r="F11" s="4">
        <f t="shared" si="0"/>
        <v>6.06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COUNTIFS(Resp4[Vínculo],"tecnico",Resp4[4.58],B12)</f>
        <v>1</v>
      </c>
      <c r="D12" s="4">
        <f>COUNTIFS(Resp4[Vínculo],"docente",Resp4[4.58],B12)</f>
        <v>1</v>
      </c>
      <c r="E12" s="4">
        <f>COUNTIF(Resp4[4.58],B12)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42.856999999999999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COUNTIFS(Resp4[Vínculo],"tecnico",Resp4[4.59],B7)</f>
        <v>0</v>
      </c>
      <c r="D7" s="4">
        <f>COUNTIFS(Resp4[Vínculo],"docente",Resp4[4.59],B7)</f>
        <v>0</v>
      </c>
      <c r="E7" s="4">
        <f>COUNTIF(Resp4[4.59],B7)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COUNTIFS(Resp4[Vínculo],"tecnico",Resp4[4.59],B8)</f>
        <v>0</v>
      </c>
      <c r="D8" s="4">
        <f>COUNTIFS(Resp4[Vínculo],"docente",Resp4[4.59],B8)</f>
        <v>1</v>
      </c>
      <c r="E8" s="4">
        <f>COUNTIF(Resp4[4.59],B8)</f>
        <v>1</v>
      </c>
      <c r="F8" s="4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2</v>
      </c>
      <c r="E10" s="4">
        <f>COUNTIF(Resp4[4.59],B10)</f>
        <v>2</v>
      </c>
      <c r="F10" s="4">
        <f t="shared" si="0"/>
        <v>6.06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COUNTIFS(Resp4[Vínculo],"tecnico",Resp4[4.59],B11)</f>
        <v>1</v>
      </c>
      <c r="D11" s="4">
        <f>COUNTIFS(Resp4[Vínculo],"docente",Resp4[4.59],B11)</f>
        <v>3</v>
      </c>
      <c r="E11" s="4">
        <f>COUNTIF(Resp4[4.59],B11)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COUNTIFS(Resp4[Vínculo],"tecnico",Resp4[4.59],B12)</f>
        <v>1</v>
      </c>
      <c r="D12" s="4">
        <f>COUNTIFS(Resp4[Vínculo],"docente",Resp4[4.59],B12)</f>
        <v>1</v>
      </c>
      <c r="E12" s="4">
        <f>COUNTIF(Resp4[4.59],B12)</f>
        <v>2</v>
      </c>
      <c r="F12" s="22">
        <f t="shared" si="0"/>
        <v>6.06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COUNTIFS(Resp4[Vínculo],"tecnico",Resp4[4.60],B9)</f>
        <v>0</v>
      </c>
      <c r="D9" s="4">
        <f>COUNTIFS(Resp4[Vínculo],"docente",Resp4[4.60],B9)</f>
        <v>1</v>
      </c>
      <c r="E9" s="4">
        <f>COUNTIF(Resp4[4.60],B9)</f>
        <v>1</v>
      </c>
      <c r="F9" s="4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4</v>
      </c>
      <c r="E10" s="4">
        <f>COUNTIF(Resp4[4.60],B10)</f>
        <v>4</v>
      </c>
      <c r="F10" s="4">
        <f t="shared" si="0"/>
        <v>12.12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COUNTIFS(Resp4[Vínculo],"tecnico",Resp4[4.60],B11)</f>
        <v>1</v>
      </c>
      <c r="D11" s="4">
        <f>COUNTIFS(Resp4[Vínculo],"docente",Resp4[4.60],B11)</f>
        <v>2</v>
      </c>
      <c r="E11" s="4">
        <f>COUNTIF(Resp4[4.60],B11)</f>
        <v>3</v>
      </c>
      <c r="F11" s="4">
        <f t="shared" si="0"/>
        <v>9.09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COUNTIFS(Resp4[Vínculo],"tecnico",Resp4[4.60],B12)</f>
        <v>1</v>
      </c>
      <c r="D12" s="4">
        <f>COUNTIFS(Resp4[Vínculo],"docente",Resp4[4.60],B12)</f>
        <v>0</v>
      </c>
      <c r="E12" s="4">
        <f>COUNTIF(Resp4[4.60],B12)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57.143000000000001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COUNTIFS(Resp4[Vínculo],"tecnico",Resp4[4.61],B7)</f>
        <v>0</v>
      </c>
      <c r="D7" s="4">
        <f>COUNTIFS(Resp4[Vínculo],"docente",Resp4[4.61],B7)</f>
        <v>1</v>
      </c>
      <c r="E7" s="4">
        <f>COUNTIF(Resp4[4.61],B7)</f>
        <v>1</v>
      </c>
      <c r="F7" s="4">
        <f t="shared" ref="F7:F13" si="0">ROUND($E7/E$13*100,2)</f>
        <v>3.03</v>
      </c>
      <c r="G7" s="3">
        <f t="shared" ref="G7:G12" si="1">ROUND($E7/SUM($E$7:$E$12)*100,3)</f>
        <v>11.111000000000001</v>
      </c>
    </row>
    <row r="8" spans="1:7" x14ac:dyDescent="0.25">
      <c r="B8" s="2" t="s">
        <v>200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4</v>
      </c>
      <c r="E10" s="4">
        <f>COUNTIF(Resp4[4.61],B10)</f>
        <v>4</v>
      </c>
      <c r="F10" s="4">
        <f t="shared" si="0"/>
        <v>12.12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COUNTIFS(Resp4[Vínculo],"tecnico",Resp4[4.61],B11)</f>
        <v>2</v>
      </c>
      <c r="D11" s="4">
        <f>COUNTIFS(Resp4[Vínculo],"docente",Resp4[4.61],B11)</f>
        <v>2</v>
      </c>
      <c r="E11" s="4">
        <f>COUNTIF(Resp4[4.61],B11)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COUNTIFS(Resp4[Vínculo],"tecnico",Resp4[4.61],B12)</f>
        <v>0</v>
      </c>
      <c r="D12" s="4">
        <f>COUNTIFS(Resp4[Vínculo],"docente",Resp4[4.61],B12)</f>
        <v>0</v>
      </c>
      <c r="E12" s="4">
        <f>COUNTIF(Resp4[4.61],B12)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57.143000000000001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1</v>
      </c>
      <c r="E10" s="4">
        <f>COUNTIF(Resp4[4.62],B10)</f>
        <v>1</v>
      </c>
      <c r="F10" s="4">
        <f t="shared" si="0"/>
        <v>3.03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COUNTIFS(Resp4[Vínculo],"tecnico",Resp4[4.62],B11)</f>
        <v>0</v>
      </c>
      <c r="D11" s="4">
        <f>COUNTIFS(Resp4[Vínculo],"docente",Resp4[4.62],B11)</f>
        <v>3</v>
      </c>
      <c r="E11" s="4">
        <f>COUNTIF(Resp4[4.62],B11)</f>
        <v>3</v>
      </c>
      <c r="F11" s="4">
        <f t="shared" si="0"/>
        <v>9.09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COUNTIFS(Resp4[Vínculo],"tecnico",Resp4[4.62],B12)</f>
        <v>2</v>
      </c>
      <c r="D12" s="4">
        <f>COUNTIFS(Resp4[Vínculo],"docente",Resp4[4.62],B12)</f>
        <v>3</v>
      </c>
      <c r="E12" s="4">
        <f>COUNTIF(Resp4[4.62],B12)</f>
        <v>5</v>
      </c>
      <c r="F12" s="22">
        <f>ROUND($E12/E$13*100,2)</f>
        <v>15.15</v>
      </c>
      <c r="G12" s="3">
        <f t="shared" si="1"/>
        <v>55.555999999999997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COUNTIFS(Resp4[Vínculo],"tecnico",Resp4[4.63],B11)</f>
        <v>0</v>
      </c>
      <c r="D11" s="4">
        <f>COUNTIFS(Resp4[Vínculo],"docente",Resp4[4.63],B11)</f>
        <v>3</v>
      </c>
      <c r="E11" s="4">
        <f>COUNTIF(Resp4[4.63],B11)</f>
        <v>3</v>
      </c>
      <c r="F11" s="4">
        <f t="shared" si="0"/>
        <v>9.09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COUNTIFS(Resp4[Vínculo],"tecnico",Resp4[4.63],B12)</f>
        <v>2</v>
      </c>
      <c r="D12" s="4">
        <f>COUNTIFS(Resp4[Vínculo],"docente",Resp4[4.63],B12)</f>
        <v>4</v>
      </c>
      <c r="E12" s="4">
        <f>COUNTIF(Resp4[4.63],B12)</f>
        <v>6</v>
      </c>
      <c r="F12" s="22">
        <f t="shared" si="0"/>
        <v>18.18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COUNTIFS(Resp4[Vínculo],"tecnico",Resp4[4.64],B7)</f>
        <v>0</v>
      </c>
      <c r="D7" s="4">
        <f>COUNTIFS(Resp4[Vínculo],"docente",Resp4[4.64],B7)</f>
        <v>0</v>
      </c>
      <c r="E7" s="4">
        <f>COUNTIF(Resp4[4.64],B7)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COUNTIFS(Resp4[Vínculo],"tecnico",Resp4[4.64],B8)</f>
        <v>0</v>
      </c>
      <c r="D8" s="4">
        <f>COUNTIFS(Resp4[Vínculo],"docente",Resp4[4.64],B8)</f>
        <v>1</v>
      </c>
      <c r="E8" s="4">
        <f>COUNTIF(Resp4[4.64],B8)</f>
        <v>1</v>
      </c>
      <c r="F8" s="4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COUNTIFS(Resp4[Vínculo],"tecnico",Resp4[4.64],B9)</f>
        <v>0</v>
      </c>
      <c r="D9" s="4">
        <f>COUNTIFS(Resp4[Vínculo],"docente",Resp4[4.64],B9)</f>
        <v>3</v>
      </c>
      <c r="E9" s="4">
        <f>COUNTIF(Resp4[4.64],B9)</f>
        <v>3</v>
      </c>
      <c r="F9" s="4">
        <f t="shared" si="0"/>
        <v>9.09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1</v>
      </c>
      <c r="E10" s="4">
        <f>COUNTIF(Resp4[4.64],B10)</f>
        <v>1</v>
      </c>
      <c r="F10" s="4">
        <f t="shared" si="0"/>
        <v>3.03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COUNTIFS(Resp4[Vínculo],"tecnico",Resp4[4.64],B11)</f>
        <v>1</v>
      </c>
      <c r="D11" s="4">
        <f>COUNTIFS(Resp4[Vínculo],"docente",Resp4[4.64],B11)</f>
        <v>2</v>
      </c>
      <c r="E11" s="4">
        <f>COUNTIF(Resp4[4.64],B11)</f>
        <v>3</v>
      </c>
      <c r="F11" s="4">
        <f t="shared" si="0"/>
        <v>9.09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COUNTIFS(Resp4[Vínculo],"tecnico",Resp4[4.64],B12)</f>
        <v>1</v>
      </c>
      <c r="D12" s="4">
        <f>COUNTIFS(Resp4[Vínculo],"docente",Resp4[4.64],B12)</f>
        <v>0</v>
      </c>
      <c r="E12" s="4">
        <f>COUNTIF(Resp4[4.64],B12)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57.143000000000001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COUNTIFS(Resp4[Vínculo],"tecnico",Resp4[4.65],B7)</f>
        <v>0</v>
      </c>
      <c r="D7" s="4">
        <f>COUNTIFS(Resp4[Vínculo],"docente",Resp4[4.65],B7)</f>
        <v>0</v>
      </c>
      <c r="E7" s="4">
        <f>COUNTIF(Resp4[4.65],B7)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COUNTIFS(Resp4[Vínculo],"tecnico",Resp4[4.65],B8)</f>
        <v>0</v>
      </c>
      <c r="D8" s="4">
        <f>COUNTIFS(Resp4[Vínculo],"docente",Resp4[4.65],B8)</f>
        <v>2</v>
      </c>
      <c r="E8" s="4">
        <f>COUNTIF(Resp4[4.65],B8)</f>
        <v>2</v>
      </c>
      <c r="F8" s="4">
        <f t="shared" si="0"/>
        <v>6.06</v>
      </c>
      <c r="G8" s="3">
        <f t="shared" si="1"/>
        <v>22.222000000000001</v>
      </c>
    </row>
    <row r="9" spans="1:7" x14ac:dyDescent="0.25">
      <c r="B9" s="2" t="s">
        <v>196</v>
      </c>
      <c r="C9" s="4">
        <f>COUNTIFS(Resp4[Vínculo],"tecnico",Resp4[4.65],B9)</f>
        <v>0</v>
      </c>
      <c r="D9" s="4">
        <f>COUNTIFS(Resp4[Vínculo],"docente",Resp4[4.65],B9)</f>
        <v>1</v>
      </c>
      <c r="E9" s="4">
        <f>COUNTIF(Resp4[4.65],B9)</f>
        <v>1</v>
      </c>
      <c r="F9" s="4">
        <f t="shared" si="0"/>
        <v>3.03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3</v>
      </c>
      <c r="E10" s="4">
        <f>COUNTIF(Resp4[4.65],B10)</f>
        <v>3</v>
      </c>
      <c r="F10" s="4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COUNTIFS(Resp4[Vínculo],"tecnico",Resp4[4.65],B11)</f>
        <v>1</v>
      </c>
      <c r="D11" s="4">
        <f>COUNTIFS(Resp4[Vínculo],"docente",Resp4[4.65],B11)</f>
        <v>1</v>
      </c>
      <c r="E11" s="4">
        <f>COUNTIF(Resp4[4.65],B11)</f>
        <v>2</v>
      </c>
      <c r="F11" s="4">
        <f t="shared" si="0"/>
        <v>6.06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COUNTIFS(Resp4[Vínculo],"tecnico",Resp4[4.65],B12)</f>
        <v>1</v>
      </c>
      <c r="D12" s="4">
        <f>COUNTIFS(Resp4[Vínculo],"docente",Resp4[4.65],B12)</f>
        <v>0</v>
      </c>
      <c r="E12" s="4">
        <f>COUNTIF(Resp4[4.65],B12)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42.856999999999999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3</v>
      </c>
      <c r="E10" s="4">
        <f>COUNTIF(Resp4[4.66],B10)</f>
        <v>3</v>
      </c>
      <c r="F10" s="4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COUNTIFS(Resp4[Vínculo],"tecnico",Resp4[4.66],B11)</f>
        <v>1</v>
      </c>
      <c r="D11" s="4">
        <f>COUNTIFS(Resp4[Vínculo],"docente",Resp4[4.66],B11)</f>
        <v>4</v>
      </c>
      <c r="E11" s="4">
        <f>COUNTIF(Resp4[4.66],B11)</f>
        <v>5</v>
      </c>
      <c r="F11" s="4">
        <f t="shared" si="0"/>
        <v>15.15</v>
      </c>
      <c r="G11" s="3">
        <f t="shared" si="1"/>
        <v>55.555999999999997</v>
      </c>
    </row>
    <row r="12" spans="1:7" x14ac:dyDescent="0.25">
      <c r="B12" s="7" t="s">
        <v>198</v>
      </c>
      <c r="C12" s="4">
        <f>COUNTIFS(Resp4[Vínculo],"tecnico",Resp4[4.66],B12)</f>
        <v>1</v>
      </c>
      <c r="D12" s="4">
        <f>COUNTIFS(Resp4[Vínculo],"docente",Resp4[4.66],B12)</f>
        <v>0</v>
      </c>
      <c r="E12" s="4">
        <f>COUNTIF(Resp4[4.66],B12)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3</v>
      </c>
      <c r="D7" s="4">
        <f>COUNTIFS(Resp4[Vínculo],"docente",Resp4[4.01],B7)</f>
        <v>16</v>
      </c>
      <c r="E7" s="2">
        <f>COUNTIF(Resp4[4.01],B7)</f>
        <v>19</v>
      </c>
      <c r="F7" s="3">
        <f t="shared" ref="F7:F9" si="0">ROUND($E7/E$9*100,2)</f>
        <v>57.58</v>
      </c>
      <c r="G7" s="4">
        <f>ROUND($E7/SUM($E$7:$E$8)*100,2)</f>
        <v>57.58</v>
      </c>
      <c r="H7" s="2"/>
    </row>
    <row r="8" spans="1:8" x14ac:dyDescent="0.25">
      <c r="A8" s="2"/>
      <c r="B8" s="2" t="s">
        <v>202</v>
      </c>
      <c r="C8" s="4">
        <f>COUNTIFS(Resp4[Vínculo],"tecnico",Resp4[4.01],B8)</f>
        <v>10</v>
      </c>
      <c r="D8" s="4">
        <f>COUNTIFS(Resp4[Vínculo],"docente",Resp4[4.01],B8)</f>
        <v>4</v>
      </c>
      <c r="E8" s="2">
        <f>COUNTIF(Resp4[4.01],B8)</f>
        <v>14</v>
      </c>
      <c r="F8" s="24">
        <f t="shared" si="0"/>
        <v>42.42</v>
      </c>
      <c r="G8" s="4">
        <f>ROUND($E8/SUM($E$7:$E$8)*100,2)</f>
        <v>42.42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15">
        <f>ROUND($E6/E$13*100,2)</f>
        <v>72.73</v>
      </c>
    </row>
    <row r="7" spans="1:7" x14ac:dyDescent="0.25">
      <c r="B7" s="2" t="s">
        <v>197</v>
      </c>
      <c r="C7" s="4">
        <f>COUNTIFS(Resp4[Vínculo],"tecnico",Resp4[4.67],B7)</f>
        <v>0</v>
      </c>
      <c r="D7" s="4">
        <f>COUNTIFS(Resp4[Vínculo],"docente",Resp4[4.67],B7)</f>
        <v>0</v>
      </c>
      <c r="E7" s="4">
        <f>COUNTIF(Resp4[4.67],B7)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COUNTIFS(Resp4[Vínculo],"tecnico",Resp4[4.67],B8)</f>
        <v>0</v>
      </c>
      <c r="D8" s="4">
        <f>COUNTIFS(Resp4[Vínculo],"docente",Resp4[4.67],B8)</f>
        <v>1</v>
      </c>
      <c r="E8" s="4">
        <f>COUNTIF(Resp4[4.67],B8)</f>
        <v>1</v>
      </c>
      <c r="F8" s="15">
        <f t="shared" si="0"/>
        <v>3.03</v>
      </c>
      <c r="G8" s="3">
        <f t="shared" si="1"/>
        <v>11.111000000000001</v>
      </c>
    </row>
    <row r="9" spans="1:7" x14ac:dyDescent="0.25">
      <c r="B9" s="2" t="s">
        <v>196</v>
      </c>
      <c r="C9" s="4">
        <f>COUNTIFS(Resp4[Vínculo],"tecnico",Resp4[4.67],B9)</f>
        <v>0</v>
      </c>
      <c r="D9" s="4">
        <f>COUNTIFS(Resp4[Vínculo],"docente",Resp4[4.67],B9)</f>
        <v>2</v>
      </c>
      <c r="E9" s="4">
        <f>COUNTIF(Resp4[4.67],B9)</f>
        <v>2</v>
      </c>
      <c r="F9" s="15">
        <f t="shared" si="0"/>
        <v>6.06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COUNTIFS(Resp4[Vínculo],"tecnico",Resp4[4.67],B10)</f>
        <v>1</v>
      </c>
      <c r="D10" s="4">
        <f>COUNTIFS(Resp4[Vínculo],"docente",Resp4[4.67],B10)</f>
        <v>2</v>
      </c>
      <c r="E10" s="4">
        <f>COUNTIF(Resp4[4.67],B10)</f>
        <v>3</v>
      </c>
      <c r="F10" s="15">
        <f t="shared" si="0"/>
        <v>9.09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COUNTIFS(Resp4[Vínculo],"tecnico",Resp4[4.67],B11)</f>
        <v>1</v>
      </c>
      <c r="D11" s="4">
        <f>COUNTIFS(Resp4[Vínculo],"docente",Resp4[4.67],B11)</f>
        <v>1</v>
      </c>
      <c r="E11" s="4">
        <f>COUNTIF(Resp4[4.67],B11)</f>
        <v>2</v>
      </c>
      <c r="F11" s="15">
        <f t="shared" si="0"/>
        <v>6.06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COUNTIFS(Resp4[Vínculo],"tecnico",Resp4[4.67],B12)</f>
        <v>0</v>
      </c>
      <c r="D12" s="4">
        <f>COUNTIFS(Resp4[Vínculo],"docente",Resp4[4.67],B12)</f>
        <v>1</v>
      </c>
      <c r="E12" s="4">
        <f>COUNTIF(Resp4[4.67],B12)</f>
        <v>1</v>
      </c>
      <c r="F12" s="19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42.856999999999999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COUNTIFS(Resp4[Vínculo],"tecnico",Resp4[4.68],B7)</f>
        <v>0</v>
      </c>
      <c r="D7" s="4">
        <f>COUNTIFS(Resp4[Vínculo],"docente",Resp4[4.68],B7)</f>
        <v>0</v>
      </c>
      <c r="E7" s="4">
        <f>COUNTIF(Resp4[4.68],B7)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4</v>
      </c>
      <c r="E10" s="4">
        <f>COUNTIF(Resp4[4.68],B10)</f>
        <v>4</v>
      </c>
      <c r="F10" s="4">
        <f t="shared" si="0"/>
        <v>12.12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COUNTIFS(Resp4[Vínculo],"tecnico",Resp4[4.68],B11)</f>
        <v>2</v>
      </c>
      <c r="D11" s="4">
        <f>COUNTIFS(Resp4[Vínculo],"docente",Resp4[4.68],B11)</f>
        <v>2</v>
      </c>
      <c r="E11" s="4">
        <f>COUNTIF(Resp4[4.68],B11)</f>
        <v>4</v>
      </c>
      <c r="F11" s="4">
        <f t="shared" si="0"/>
        <v>12.12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COUNTIFS(Resp4[Vínculo],"tecnico",Resp4[4.68],B12)</f>
        <v>0</v>
      </c>
      <c r="D12" s="4">
        <f>COUNTIFS(Resp4[Vínculo],"docente",Resp4[4.68],B12)</f>
        <v>1</v>
      </c>
      <c r="E12" s="4">
        <f>COUNTIF(Resp4[4.68],B12)</f>
        <v>1</v>
      </c>
      <c r="F12" s="22">
        <f t="shared" si="0"/>
        <v>3.03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57.143000000000001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72.73</v>
      </c>
    </row>
    <row r="7" spans="1:7" x14ac:dyDescent="0.25">
      <c r="B7" s="2" t="s">
        <v>197</v>
      </c>
      <c r="C7" s="4">
        <f>COUNTIFS(Resp4[Vínculo],"tecnico",Resp4[4.69],B7)</f>
        <v>0</v>
      </c>
      <c r="D7" s="4">
        <f>COUNTIFS(Resp4[Vínculo],"docente",Resp4[4.69],B7)</f>
        <v>0</v>
      </c>
      <c r="E7" s="4">
        <f>COUNTIF(Resp4[4.69],B7)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COUNTIFS(Resp4[Vínculo],"tecnico",Resp4[4.69],B9)</f>
        <v>0</v>
      </c>
      <c r="D9" s="4">
        <f>COUNTIFS(Resp4[Vínculo],"docente",Resp4[4.69],B9)</f>
        <v>2</v>
      </c>
      <c r="E9" s="4">
        <f>COUNTIF(Resp4[4.69],B9)</f>
        <v>2</v>
      </c>
      <c r="F9" s="4">
        <f t="shared" si="0"/>
        <v>6.06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2</v>
      </c>
      <c r="E10" s="4">
        <f>COUNTIF(Resp4[4.69],B10)</f>
        <v>2</v>
      </c>
      <c r="F10" s="4">
        <f t="shared" si="0"/>
        <v>6.06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COUNTIFS(Resp4[Vínculo],"tecnico",Resp4[4.69],B11)</f>
        <v>2</v>
      </c>
      <c r="D11" s="4">
        <f>COUNTIFS(Resp4[Vínculo],"docente",Resp4[4.69],B11)</f>
        <v>3</v>
      </c>
      <c r="E11" s="4">
        <f>COUNTIF(Resp4[4.69],B11)</f>
        <v>5</v>
      </c>
      <c r="F11" s="4">
        <f t="shared" si="0"/>
        <v>15.15</v>
      </c>
      <c r="G11" s="3">
        <f t="shared" si="1"/>
        <v>55.555999999999997</v>
      </c>
    </row>
    <row r="12" spans="1:7" x14ac:dyDescent="0.25">
      <c r="B12" s="7" t="s">
        <v>198</v>
      </c>
      <c r="C12" s="4">
        <f>COUNTIFS(Resp4[Vínculo],"tecnico",Resp4[4.69],B12)</f>
        <v>0</v>
      </c>
      <c r="D12" s="4">
        <f>COUNTIFS(Resp4[Vínculo],"docente",Resp4[4.69],B12)</f>
        <v>0</v>
      </c>
      <c r="E12" s="4">
        <f>COUNTIF(Resp4[4.69],B12)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28.571000000000002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1</v>
      </c>
      <c r="E6" s="4">
        <f>E13-SUM(E7:E12)</f>
        <v>2</v>
      </c>
      <c r="F6" s="4">
        <f>ROUND($E6/E$13*100,2)</f>
        <v>6.06</v>
      </c>
    </row>
    <row r="7" spans="1:7" x14ac:dyDescent="0.25">
      <c r="B7" t="s">
        <v>203</v>
      </c>
      <c r="C7" s="4">
        <f>COUNTIFS(Resp4[Vínculo],"tecnico",Resp4[4.71],B7)</f>
        <v>5</v>
      </c>
      <c r="D7" s="4">
        <f>COUNTIFS(Resp4[Vínculo],"docente",Resp4[4.71],B7)</f>
        <v>13</v>
      </c>
      <c r="E7" s="4">
        <f>COUNTIF(Resp4[4.71],B7)</f>
        <v>18</v>
      </c>
      <c r="F7" s="4">
        <f t="shared" ref="F7:F13" si="0">ROUND($E7/E$13*100,2)</f>
        <v>54.55</v>
      </c>
      <c r="G7" s="3">
        <f t="shared" ref="G7:G12" si="1">ROUND($E7/SUM($E$7:$E$12)*100,3)</f>
        <v>58.064999999999998</v>
      </c>
    </row>
    <row r="8" spans="1:7" x14ac:dyDescent="0.25">
      <c r="B8" s="2" t="s">
        <v>200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3.03</v>
      </c>
      <c r="G9" s="3">
        <f t="shared" si="1"/>
        <v>3.226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2</v>
      </c>
      <c r="E10" s="4">
        <f>COUNTIF(Resp4[4.71],B10)</f>
        <v>2</v>
      </c>
      <c r="F10" s="4">
        <f t="shared" si="0"/>
        <v>6.06</v>
      </c>
      <c r="G10" s="3">
        <f t="shared" si="1"/>
        <v>6.452</v>
      </c>
    </row>
    <row r="11" spans="1:7" x14ac:dyDescent="0.25">
      <c r="B11" s="2" t="s">
        <v>195</v>
      </c>
      <c r="C11" s="4">
        <f>COUNTIFS(Resp4[Vínculo],"tecnico",Resp4[4.71],B11)</f>
        <v>3</v>
      </c>
      <c r="D11" s="4">
        <f>COUNTIFS(Resp4[Vínculo],"docente",Resp4[4.71],B11)</f>
        <v>3</v>
      </c>
      <c r="E11" s="4">
        <f>COUNTIF(Resp4[4.71],B11)</f>
        <v>6</v>
      </c>
      <c r="F11" s="4">
        <f t="shared" si="0"/>
        <v>18.18</v>
      </c>
      <c r="G11" s="3">
        <f t="shared" si="1"/>
        <v>19.355</v>
      </c>
    </row>
    <row r="12" spans="1:7" x14ac:dyDescent="0.25">
      <c r="B12" s="7" t="s">
        <v>198</v>
      </c>
      <c r="C12" s="4">
        <f>COUNTIFS(Resp4[Vínculo],"tecnico",Resp4[4.71],B12)</f>
        <v>4</v>
      </c>
      <c r="D12" s="4">
        <f>COUNTIFS(Resp4[Vínculo],"docente",Resp4[4.71],B12)</f>
        <v>0</v>
      </c>
      <c r="E12" s="4">
        <f>COUNTIF(Resp4[4.71],B12)</f>
        <v>4</v>
      </c>
      <c r="F12" s="22">
        <f t="shared" si="0"/>
        <v>12.12</v>
      </c>
      <c r="G12" s="3">
        <f t="shared" si="1"/>
        <v>12.903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58.332999999999998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203</v>
      </c>
      <c r="C26" s="16" t="s">
        <v>23</v>
      </c>
      <c r="D26" s="14">
        <f>D7</f>
        <v>13</v>
      </c>
      <c r="E26" s="15">
        <f>ROUND(D26/SUM(D$25:D$28)*100,3)</f>
        <v>68.421000000000006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15.789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1</v>
      </c>
      <c r="E6" s="4">
        <f>E13-SUM(E7:E12)</f>
        <v>2</v>
      </c>
      <c r="F6" s="4">
        <f>ROUND($E6/E$13*100,2)</f>
        <v>6.06</v>
      </c>
    </row>
    <row r="7" spans="1:7" x14ac:dyDescent="0.25">
      <c r="B7" s="90" t="s">
        <v>203</v>
      </c>
      <c r="C7" s="4">
        <f>COUNTIFS(Resp4[Vínculo],"tecnico",Resp4[4.72],B7)</f>
        <v>5</v>
      </c>
      <c r="D7" s="4">
        <f>COUNTIFS(Resp4[Vínculo],"docente",Resp4[4.72],B7)</f>
        <v>12</v>
      </c>
      <c r="E7" s="4">
        <f>COUNTIF(Resp4[4.72],B7)</f>
        <v>17</v>
      </c>
      <c r="F7" s="4">
        <f t="shared" ref="F7:F13" si="0">ROUND($E7/E$13*100,2)</f>
        <v>51.52</v>
      </c>
      <c r="G7" s="3">
        <f t="shared" ref="G7:G12" si="1">ROUND($E7/SUM($E$7:$E$12)*100,3)</f>
        <v>54.838999999999999</v>
      </c>
    </row>
    <row r="8" spans="1:7" x14ac:dyDescent="0.25">
      <c r="B8" s="2" t="s">
        <v>200</v>
      </c>
      <c r="C8" s="4">
        <f>COUNTIFS(Resp4[Vínculo],"tecnico",Resp4[4.72],B8)</f>
        <v>0</v>
      </c>
      <c r="D8" s="4">
        <f>COUNTIFS(Resp4[Vínculo],"docente",Resp4[4.72],B8)</f>
        <v>1</v>
      </c>
      <c r="E8" s="4">
        <f>COUNTIF(Resp4[4.72],B8)</f>
        <v>1</v>
      </c>
      <c r="F8" s="4">
        <f t="shared" si="0"/>
        <v>3.03</v>
      </c>
      <c r="G8" s="3">
        <f t="shared" si="1"/>
        <v>3.226</v>
      </c>
    </row>
    <row r="9" spans="1:7" x14ac:dyDescent="0.25">
      <c r="B9" s="2" t="s">
        <v>196</v>
      </c>
      <c r="C9" s="4">
        <f>COUNTIFS(Resp4[Vínculo],"tecnico",Resp4[4.72],B9)</f>
        <v>0</v>
      </c>
      <c r="D9" s="4">
        <f>COUNTIFS(Resp4[Vínculo],"docente",Resp4[4.72],B9)</f>
        <v>0</v>
      </c>
      <c r="E9" s="4">
        <f>COUNTIF(Resp4[4.72],B9)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COUNTIFS(Resp4[Vínculo],"tecnico",Resp4[4.72],B10)</f>
        <v>1</v>
      </c>
      <c r="D10" s="4">
        <f>COUNTIFS(Resp4[Vínculo],"docente",Resp4[4.72],B10)</f>
        <v>3</v>
      </c>
      <c r="E10" s="4">
        <f>COUNTIF(Resp4[4.72],B10)</f>
        <v>4</v>
      </c>
      <c r="F10" s="4">
        <f t="shared" si="0"/>
        <v>12.12</v>
      </c>
      <c r="G10" s="3">
        <f t="shared" si="1"/>
        <v>12.903</v>
      </c>
    </row>
    <row r="11" spans="1:7" x14ac:dyDescent="0.25">
      <c r="B11" s="2" t="s">
        <v>195</v>
      </c>
      <c r="C11" s="4">
        <f>COUNTIFS(Resp4[Vínculo],"tecnico",Resp4[4.72],B11)</f>
        <v>1</v>
      </c>
      <c r="D11" s="4">
        <f>COUNTIFS(Resp4[Vínculo],"docente",Resp4[4.72],B11)</f>
        <v>3</v>
      </c>
      <c r="E11" s="4">
        <f>COUNTIF(Resp4[4.72],B11)</f>
        <v>4</v>
      </c>
      <c r="F11" s="4">
        <f t="shared" si="0"/>
        <v>12.12</v>
      </c>
      <c r="G11" s="3">
        <f t="shared" si="1"/>
        <v>12.903</v>
      </c>
    </row>
    <row r="12" spans="1:7" x14ac:dyDescent="0.25">
      <c r="B12" s="7" t="s">
        <v>198</v>
      </c>
      <c r="C12" s="4">
        <f>COUNTIFS(Resp4[Vínculo],"tecnico",Resp4[4.72],B12)</f>
        <v>5</v>
      </c>
      <c r="D12" s="4">
        <f>COUNTIFS(Resp4[Vínculo],"docente",Resp4[4.72],B12)</f>
        <v>0</v>
      </c>
      <c r="E12" s="4">
        <f>COUNTIF(Resp4[4.72],B12)</f>
        <v>5</v>
      </c>
      <c r="F12" s="22">
        <f t="shared" si="0"/>
        <v>15.15</v>
      </c>
      <c r="G12" s="3">
        <f t="shared" si="1"/>
        <v>16.129000000000001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8.3330000000000002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203</v>
      </c>
      <c r="C26" s="16" t="s">
        <v>23</v>
      </c>
      <c r="D26" s="14">
        <f>D7</f>
        <v>12</v>
      </c>
      <c r="E26" s="15">
        <f>ROUND(D26/SUM(D$25:D$28)*100,3)</f>
        <v>63.158000000000001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15.789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</v>
      </c>
      <c r="D6" s="2">
        <f>COUNTIF(Resp4[Vínculo],"docente")-SUM(D$7:D$12)</f>
        <v>2</v>
      </c>
      <c r="E6" s="4">
        <f>E13-SUM(E7:E12)</f>
        <v>4</v>
      </c>
      <c r="F6" s="4">
        <f>ROUND($E6/E$13*100,2)</f>
        <v>12.12</v>
      </c>
    </row>
    <row r="7" spans="1:7" x14ac:dyDescent="0.25">
      <c r="B7" s="90" t="s">
        <v>203</v>
      </c>
      <c r="C7" s="4">
        <f>COUNTIFS(Resp4[Vínculo],"tecnico",Resp4[4.73],B7)</f>
        <v>5</v>
      </c>
      <c r="D7" s="4">
        <f>COUNTIFS(Resp4[Vínculo],"docente",Resp4[4.73],B7)</f>
        <v>12</v>
      </c>
      <c r="E7" s="4">
        <f>COUNTIF(Resp4[4.73],B7)</f>
        <v>17</v>
      </c>
      <c r="F7" s="4">
        <f t="shared" ref="F7:F12" si="0">ROUND($E7/E$13*100,2)</f>
        <v>51.52</v>
      </c>
      <c r="G7" s="3">
        <f t="shared" ref="G7:G12" si="1">ROUND($E7/SUM($E$7:$E$12)*100,3)</f>
        <v>58.621000000000002</v>
      </c>
    </row>
    <row r="8" spans="1:7" x14ac:dyDescent="0.25">
      <c r="B8" s="2" t="s">
        <v>200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0</v>
      </c>
      <c r="D10" s="4">
        <f>COUNTIFS(Resp4[Vínculo],"docente",Resp4[4.73],B10)</f>
        <v>3</v>
      </c>
      <c r="E10" s="4">
        <f>COUNTIF(Resp4[4.73],B10)</f>
        <v>3</v>
      </c>
      <c r="F10" s="4">
        <f t="shared" si="0"/>
        <v>9.09</v>
      </c>
      <c r="G10" s="3">
        <f t="shared" si="1"/>
        <v>10.345000000000001</v>
      </c>
    </row>
    <row r="11" spans="1:7" x14ac:dyDescent="0.25">
      <c r="B11" s="2" t="s">
        <v>195</v>
      </c>
      <c r="C11" s="4">
        <f>COUNTIFS(Resp4[Vínculo],"tecnico",Resp4[4.73],B11)</f>
        <v>2</v>
      </c>
      <c r="D11" s="4">
        <f>COUNTIFS(Resp4[Vínculo],"docente",Resp4[4.73],B11)</f>
        <v>2</v>
      </c>
      <c r="E11" s="4">
        <f>COUNTIF(Resp4[4.73],B11)</f>
        <v>4</v>
      </c>
      <c r="F11" s="4">
        <f t="shared" si="0"/>
        <v>12.12</v>
      </c>
      <c r="G11" s="3">
        <f t="shared" si="1"/>
        <v>13.792999999999999</v>
      </c>
    </row>
    <row r="12" spans="1:7" x14ac:dyDescent="0.25">
      <c r="B12" s="7" t="s">
        <v>198</v>
      </c>
      <c r="C12" s="4">
        <f>COUNTIFS(Resp4[Vínculo],"tecnico",Resp4[4.73],B12)</f>
        <v>4</v>
      </c>
      <c r="D12" s="4">
        <f>COUNTIFS(Resp4[Vínculo],"docente",Resp4[4.73],B12)</f>
        <v>1</v>
      </c>
      <c r="E12" s="4">
        <f>COUNTIF(Resp4[4.73],B12)</f>
        <v>5</v>
      </c>
      <c r="F12" s="22">
        <f t="shared" si="0"/>
        <v>15.15</v>
      </c>
      <c r="G12" s="3">
        <f t="shared" si="1"/>
        <v>17.241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>ROUND($E13/E$13*100,2)</f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45.454999999999998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12</v>
      </c>
      <c r="E26" s="15">
        <f>ROUND(D26/SUM(D$25:D$28)*100,3)</f>
        <v>66.667000000000002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16.667000000000002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3</v>
      </c>
      <c r="E6" s="4">
        <f>E13-SUM(E7:E12)</f>
        <v>4</v>
      </c>
      <c r="F6" s="4">
        <f>ROUND($E6/E$13*100,2)</f>
        <v>12.12</v>
      </c>
    </row>
    <row r="7" spans="1:7" x14ac:dyDescent="0.25">
      <c r="B7" t="s">
        <v>203</v>
      </c>
      <c r="C7" s="4">
        <f>COUNTIFS(Resp4[Vínculo],"tecnico",Resp4[4.74],B7)</f>
        <v>5</v>
      </c>
      <c r="D7" s="4">
        <f>COUNTIFS(Resp4[Vínculo],"docente",Resp4[4.74],B7)</f>
        <v>13</v>
      </c>
      <c r="E7" s="4">
        <f>COUNTIF(Resp4[4.74],B7)</f>
        <v>18</v>
      </c>
      <c r="F7" s="4">
        <f t="shared" ref="F7:F13" si="0">ROUND($E7/E$13*100,2)</f>
        <v>54.55</v>
      </c>
      <c r="G7" s="3">
        <f t="shared" ref="G7:G12" si="1">ROUND($E7/SUM($E$7:$E$12)*100,3)</f>
        <v>62.069000000000003</v>
      </c>
    </row>
    <row r="8" spans="1:7" x14ac:dyDescent="0.25">
      <c r="B8" s="2" t="s">
        <v>200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COUNTIFS(Resp4[Vínculo],"tecnico",Resp4[4.74],B9)</f>
        <v>0</v>
      </c>
      <c r="D9" s="4">
        <f>COUNTIFS(Resp4[Vínculo],"docente",Resp4[4.74],B9)</f>
        <v>1</v>
      </c>
      <c r="E9" s="4">
        <f>COUNTIF(Resp4[4.74],B9)</f>
        <v>1</v>
      </c>
      <c r="F9" s="4">
        <f t="shared" si="0"/>
        <v>3.03</v>
      </c>
      <c r="G9" s="3">
        <f t="shared" si="1"/>
        <v>3.448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2</v>
      </c>
      <c r="E10" s="4">
        <f>COUNTIF(Resp4[4.74],B10)</f>
        <v>2</v>
      </c>
      <c r="F10" s="4">
        <f t="shared" si="0"/>
        <v>6.06</v>
      </c>
      <c r="G10" s="3">
        <f t="shared" si="1"/>
        <v>6.8970000000000002</v>
      </c>
    </row>
    <row r="11" spans="1:7" x14ac:dyDescent="0.25">
      <c r="B11" s="2" t="s">
        <v>195</v>
      </c>
      <c r="C11" s="4">
        <f>COUNTIFS(Resp4[Vínculo],"tecnico",Resp4[4.74],B11)</f>
        <v>3</v>
      </c>
      <c r="D11" s="4">
        <f>COUNTIFS(Resp4[Vínculo],"docente",Resp4[4.74],B11)</f>
        <v>1</v>
      </c>
      <c r="E11" s="4">
        <f>COUNTIF(Resp4[4.74],B11)</f>
        <v>4</v>
      </c>
      <c r="F11" s="4">
        <f t="shared" si="0"/>
        <v>12.12</v>
      </c>
      <c r="G11" s="3">
        <f t="shared" si="1"/>
        <v>13.792999999999999</v>
      </c>
    </row>
    <row r="12" spans="1:7" x14ac:dyDescent="0.25">
      <c r="B12" s="7" t="s">
        <v>198</v>
      </c>
      <c r="C12" s="4">
        <f>COUNTIFS(Resp4[Vínculo],"tecnico",Resp4[4.74],B12)</f>
        <v>4</v>
      </c>
      <c r="D12" s="4">
        <f>COUNTIFS(Resp4[Vínculo],"docente",Resp4[4.74],B12)</f>
        <v>0</v>
      </c>
      <c r="E12" s="4">
        <f>COUNTIF(Resp4[4.74],B12)</f>
        <v>4</v>
      </c>
      <c r="F12" s="22">
        <f t="shared" si="0"/>
        <v>12.12</v>
      </c>
      <c r="G12" s="3">
        <f t="shared" si="1"/>
        <v>13.792999999999999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58.332999999999998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203</v>
      </c>
      <c r="C26" s="16" t="s">
        <v>23</v>
      </c>
      <c r="D26" s="14">
        <f>D7</f>
        <v>13</v>
      </c>
      <c r="E26" s="15">
        <f>ROUND(D26/SUM(D$25:D$28)*100,3)</f>
        <v>76.471000000000004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5.8819999999999997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4</v>
      </c>
      <c r="E6" s="4">
        <f>E13-SUM(E7:E12)</f>
        <v>5</v>
      </c>
      <c r="F6" s="4">
        <f>ROUND($E6/E$13*100,2)</f>
        <v>15.15</v>
      </c>
    </row>
    <row r="7" spans="1:7" x14ac:dyDescent="0.25">
      <c r="B7" t="s">
        <v>203</v>
      </c>
      <c r="C7" s="4">
        <f>COUNTIFS(Resp4[Vínculo],"tecnico",Resp4[4.75],B7)</f>
        <v>5</v>
      </c>
      <c r="D7" s="4">
        <f>COUNTIFS(Resp4[Vínculo],"docente",Resp4[4.75],B7)</f>
        <v>13</v>
      </c>
      <c r="E7" s="4">
        <f>COUNTIF(Resp4[4.75],B7)</f>
        <v>18</v>
      </c>
      <c r="F7" s="4">
        <f t="shared" ref="F7:F12" si="0">ROUND($E7/E$13*100,2)</f>
        <v>54.55</v>
      </c>
      <c r="G7" s="3">
        <f t="shared" ref="G7:G12" si="1">ROUND($E7/SUM($E$7:$E$12)*100,3)</f>
        <v>64.286000000000001</v>
      </c>
    </row>
    <row r="8" spans="1:7" x14ac:dyDescent="0.25">
      <c r="B8" s="2" t="s">
        <v>200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2</v>
      </c>
      <c r="E10" s="4">
        <f>COUNTIF(Resp4[4.75],B10)</f>
        <v>2</v>
      </c>
      <c r="F10" s="4">
        <f t="shared" si="0"/>
        <v>6.06</v>
      </c>
      <c r="G10" s="3">
        <f t="shared" si="1"/>
        <v>7.1429999999999998</v>
      </c>
    </row>
    <row r="11" spans="1:7" x14ac:dyDescent="0.25">
      <c r="B11" s="2" t="s">
        <v>195</v>
      </c>
      <c r="C11" s="4">
        <f>COUNTIFS(Resp4[Vínculo],"tecnico",Resp4[4.75],B11)</f>
        <v>3</v>
      </c>
      <c r="D11" s="4">
        <f>COUNTIFS(Resp4[Vínculo],"docente",Resp4[4.75],B11)</f>
        <v>1</v>
      </c>
      <c r="E11" s="4">
        <f>COUNTIF(Resp4[4.75],B11)</f>
        <v>4</v>
      </c>
      <c r="F11" s="4">
        <f t="shared" si="0"/>
        <v>12.12</v>
      </c>
      <c r="G11" s="3">
        <f t="shared" si="1"/>
        <v>14.286</v>
      </c>
    </row>
    <row r="12" spans="1:7" x14ac:dyDescent="0.25">
      <c r="B12" s="7" t="s">
        <v>198</v>
      </c>
      <c r="C12" s="4">
        <f>COUNTIFS(Resp4[Vínculo],"tecnico",Resp4[4.75],B12)</f>
        <v>4</v>
      </c>
      <c r="D12" s="4">
        <f>COUNTIFS(Resp4[Vínculo],"docente",Resp4[4.75],B12)</f>
        <v>0</v>
      </c>
      <c r="E12" s="4">
        <f>COUNTIF(Resp4[4.75],B12)</f>
        <v>4</v>
      </c>
      <c r="F12" s="22">
        <f t="shared" si="0"/>
        <v>12.12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>SUM(F6:F12)</f>
        <v>100.00000000000001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58.332999999999998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13</v>
      </c>
      <c r="E26" s="15">
        <f>ROUND(D26/SUM(D$25:D$28)*100,3)</f>
        <v>81.25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6.25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</v>
      </c>
      <c r="D6" s="2">
        <f>COUNTIF(Resp4[Vínculo],"docente")-SUM(D$7:D$12)</f>
        <v>5</v>
      </c>
      <c r="E6" s="4">
        <f>E13-SUM(E7:E12)</f>
        <v>7</v>
      </c>
      <c r="F6" s="4">
        <f>ROUND($E6/E$13*100,2)</f>
        <v>21.21</v>
      </c>
    </row>
    <row r="7" spans="1:7" x14ac:dyDescent="0.25">
      <c r="B7" t="s">
        <v>203</v>
      </c>
      <c r="C7" s="4">
        <f>COUNTIFS(Resp4[Vínculo],"tecnico",Resp4[4.76],B7)</f>
        <v>5</v>
      </c>
      <c r="D7" s="4">
        <f>COUNTIFS(Resp4[Vínculo],"docente",Resp4[4.76],B7)</f>
        <v>12</v>
      </c>
      <c r="E7" s="4">
        <f>COUNTIF(Resp4[4.76],B7)</f>
        <v>17</v>
      </c>
      <c r="F7" s="4">
        <f t="shared" ref="F7:F12" si="0">ROUND($E7/E$13*100,2)</f>
        <v>51.52</v>
      </c>
      <c r="G7" s="3">
        <f t="shared" ref="G7:G12" si="1">ROUND($E7/SUM($E$7:$E$12)*100,3)</f>
        <v>65.385000000000005</v>
      </c>
    </row>
    <row r="8" spans="1:7" x14ac:dyDescent="0.25">
      <c r="B8" s="2" t="s">
        <v>200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0</v>
      </c>
      <c r="D10" s="4">
        <f>COUNTIFS(Resp4[Vínculo],"docente",Resp4[4.76],B10)</f>
        <v>2</v>
      </c>
      <c r="E10" s="4">
        <f>COUNTIF(Resp4[4.76],B10)</f>
        <v>2</v>
      </c>
      <c r="F10" s="4">
        <f t="shared" si="0"/>
        <v>6.06</v>
      </c>
      <c r="G10" s="3">
        <f t="shared" si="1"/>
        <v>7.6920000000000002</v>
      </c>
    </row>
    <row r="11" spans="1:7" x14ac:dyDescent="0.25">
      <c r="B11" s="2" t="s">
        <v>195</v>
      </c>
      <c r="C11" s="4">
        <f>COUNTIFS(Resp4[Vínculo],"tecnico",Resp4[4.76],B11)</f>
        <v>3</v>
      </c>
      <c r="D11" s="4">
        <f>COUNTIFS(Resp4[Vínculo],"docente",Resp4[4.76],B11)</f>
        <v>1</v>
      </c>
      <c r="E11" s="4">
        <f>COUNTIF(Resp4[4.76],B11)</f>
        <v>4</v>
      </c>
      <c r="F11" s="4">
        <f t="shared" si="0"/>
        <v>12.12</v>
      </c>
      <c r="G11" s="3">
        <f t="shared" si="1"/>
        <v>15.385</v>
      </c>
    </row>
    <row r="12" spans="1:7" x14ac:dyDescent="0.25">
      <c r="B12" s="7" t="s">
        <v>198</v>
      </c>
      <c r="C12" s="4">
        <f>COUNTIFS(Resp4[Vínculo],"tecnico",Resp4[4.76],B12)</f>
        <v>3</v>
      </c>
      <c r="D12" s="4">
        <f>COUNTIFS(Resp4[Vínculo],"docente",Resp4[4.76],B12)</f>
        <v>0</v>
      </c>
      <c r="E12" s="4">
        <f>COUNTIF(Resp4[4.76],B12)</f>
        <v>3</v>
      </c>
      <c r="F12" s="4">
        <f t="shared" si="0"/>
        <v>9.09</v>
      </c>
      <c r="G12" s="3">
        <f t="shared" si="1"/>
        <v>11.538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88">
        <f>SUM(F6:F12)</f>
        <v>100.00000000000001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45.454999999999998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12</v>
      </c>
      <c r="E26" s="15">
        <f>ROUND(D26/SUM(D$25:D$28)*100,3)</f>
        <v>80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6.6669999999999998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4</v>
      </c>
      <c r="E6" s="4">
        <f>E13-SUM(E7:E12)</f>
        <v>5</v>
      </c>
      <c r="F6" s="4">
        <f>ROUND($E6/E$13*100,2)</f>
        <v>15.15</v>
      </c>
    </row>
    <row r="7" spans="1:7" x14ac:dyDescent="0.25">
      <c r="B7" t="s">
        <v>203</v>
      </c>
      <c r="C7" s="4">
        <f>COUNTIFS(Resp4[Vínculo],"tecnico",Resp4[4.77],B7)</f>
        <v>5</v>
      </c>
      <c r="D7" s="4">
        <f>COUNTIFS(Resp4[Vínculo],"docente",Resp4[4.77],B7)</f>
        <v>12</v>
      </c>
      <c r="E7" s="4">
        <f>COUNTIF(Resp4[4.77],B7)</f>
        <v>17</v>
      </c>
      <c r="F7" s="4">
        <f t="shared" ref="F7:F12" si="0">ROUND($E7/E$13*100,2)</f>
        <v>51.52</v>
      </c>
      <c r="G7" s="3">
        <f t="shared" ref="G7:G12" si="1">ROUND($E7/SUM($E$7:$E$12)*100,3)</f>
        <v>60.713999999999999</v>
      </c>
    </row>
    <row r="8" spans="1:7" x14ac:dyDescent="0.25">
      <c r="B8" s="2" t="s">
        <v>200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COUNTIFS(Resp4[Vínculo],"tecnico",Resp4[4.74],B9)</f>
        <v>0</v>
      </c>
      <c r="D9" s="4">
        <f>COUNTIFS(Resp4[Vínculo],"docente",Resp4[4.74],B9)</f>
        <v>1</v>
      </c>
      <c r="E9" s="4">
        <f>COUNTIF(Resp4[4.74],B9)</f>
        <v>1</v>
      </c>
      <c r="F9" s="4">
        <f t="shared" si="0"/>
        <v>3.03</v>
      </c>
      <c r="G9" s="3">
        <f t="shared" si="1"/>
        <v>3.5710000000000002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2</v>
      </c>
      <c r="E10" s="4">
        <f>COUNTIF(Resp4[4.74],B10)</f>
        <v>2</v>
      </c>
      <c r="F10" s="4">
        <f t="shared" si="0"/>
        <v>6.06</v>
      </c>
      <c r="G10" s="3">
        <f t="shared" si="1"/>
        <v>7.1429999999999998</v>
      </c>
    </row>
    <row r="11" spans="1:7" x14ac:dyDescent="0.25">
      <c r="B11" s="2" t="s">
        <v>195</v>
      </c>
      <c r="C11" s="4">
        <f>COUNTIFS(Resp4[Vínculo],"tecnico",Resp4[4.74],B11)</f>
        <v>3</v>
      </c>
      <c r="D11" s="4">
        <f>COUNTIFS(Resp4[Vínculo],"docente",Resp4[4.74],B11)</f>
        <v>1</v>
      </c>
      <c r="E11" s="4">
        <f>COUNTIF(Resp4[4.74],B11)</f>
        <v>4</v>
      </c>
      <c r="F11" s="4">
        <f t="shared" si="0"/>
        <v>12.12</v>
      </c>
      <c r="G11" s="3">
        <f t="shared" si="1"/>
        <v>14.286</v>
      </c>
    </row>
    <row r="12" spans="1:7" x14ac:dyDescent="0.25">
      <c r="B12" s="7" t="s">
        <v>198</v>
      </c>
      <c r="C12" s="4">
        <f>COUNTIFS(Resp4[Vínculo],"tecnico",Resp4[4.74],B12)</f>
        <v>4</v>
      </c>
      <c r="D12" s="4">
        <f>COUNTIFS(Resp4[Vínculo],"docente",Resp4[4.74],B12)</f>
        <v>0</v>
      </c>
      <c r="E12" s="4">
        <f>COUNTIF(Resp4[4.74],B12)</f>
        <v>4</v>
      </c>
      <c r="F12" s="22">
        <f t="shared" si="0"/>
        <v>12.12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89">
        <f>SUM(F6:F12)</f>
        <v>100.00000000000001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5</v>
      </c>
      <c r="E19" s="15">
        <f t="shared" ref="E19:E21" si="2">ROUND(D19/SUM(D$18:D$21)*100,3)</f>
        <v>41.667000000000002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58.332999999999998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203</v>
      </c>
      <c r="C26" s="16" t="s">
        <v>23</v>
      </c>
      <c r="D26" s="14">
        <f>D7</f>
        <v>12</v>
      </c>
      <c r="E26" s="15">
        <f>ROUND(D26/SUM(D$25:D$28)*100,3)</f>
        <v>75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6.25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3">
        <f>ROUND($E6/E$13*100,2)</f>
        <v>42.42</v>
      </c>
    </row>
    <row r="7" spans="1:7" x14ac:dyDescent="0.25">
      <c r="B7" s="2" t="s">
        <v>197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4</v>
      </c>
      <c r="E10" s="4">
        <f>COUNTIF(Resp4[4.02],B10)</f>
        <v>4</v>
      </c>
      <c r="F10" s="3">
        <f t="shared" si="0"/>
        <v>12.12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11</v>
      </c>
      <c r="E11" s="4">
        <f>COUNTIF(Resp4[4.02],B11)</f>
        <v>11</v>
      </c>
      <c r="F11" s="3">
        <f t="shared" si="0"/>
        <v>33.33</v>
      </c>
      <c r="G11" s="3">
        <f t="shared" si="1"/>
        <v>57.895000000000003</v>
      </c>
    </row>
    <row r="12" spans="1:7" x14ac:dyDescent="0.25">
      <c r="B12" s="7" t="s">
        <v>198</v>
      </c>
      <c r="C12" s="4">
        <f>COUNTIFS(Resp4[Vínculo],"tecnico",Resp4[4.02],B$12)</f>
        <v>3</v>
      </c>
      <c r="D12" s="4">
        <f>COUNTIFS(Resp4[Vínculo],"docente",Resp4[4.02],B12)</f>
        <v>1</v>
      </c>
      <c r="E12" s="4">
        <f>COUNTIF(Resp4[4.02],B12)</f>
        <v>4</v>
      </c>
      <c r="F12" s="24">
        <f t="shared" si="0"/>
        <v>12.12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3</v>
      </c>
      <c r="D7" s="4">
        <f>COUNTIFS(Resp4[Vínculo],"docente",Resp4[4.79],C14)</f>
        <v>1</v>
      </c>
      <c r="E7" s="4">
        <f>COUNTIF(Resp4[4.79],C14)</f>
        <v>4</v>
      </c>
      <c r="F7" s="4">
        <f t="shared" ref="F7:F11" si="0">ROUND($E7/E$11*100,2)</f>
        <v>12.12</v>
      </c>
      <c r="G7" s="3">
        <f>ROUND($E7/SUM($E$7:$E$10)*100,3)</f>
        <v>12.121</v>
      </c>
    </row>
    <row r="8" spans="1:7" x14ac:dyDescent="0.25">
      <c r="B8" t="s">
        <v>508</v>
      </c>
      <c r="C8" s="4">
        <f>COUNTIFS(Resp4[Vínculo],"tecnico",Resp4[4.79],C15)</f>
        <v>4</v>
      </c>
      <c r="D8" s="4">
        <f>COUNTIFS(Resp4[Vínculo],"docente",Resp4[4.79],C15)</f>
        <v>9</v>
      </c>
      <c r="E8" s="4">
        <f>COUNTIF(Resp4[4.79],C15)</f>
        <v>13</v>
      </c>
      <c r="F8" s="4">
        <f t="shared" si="0"/>
        <v>39.39</v>
      </c>
      <c r="G8" s="3">
        <f>ROUND($E8/SUM($E$7:$E$10)*100,3)</f>
        <v>39.393999999999998</v>
      </c>
    </row>
    <row r="9" spans="1:7" x14ac:dyDescent="0.25">
      <c r="B9" t="s">
        <v>509</v>
      </c>
      <c r="C9" s="4">
        <f>COUNTIFS(Resp4[Vínculo],"tecnico",Resp4[4.79],C16)</f>
        <v>3</v>
      </c>
      <c r="D9" s="4">
        <f>COUNTIFS(Resp4[Vínculo],"docente",Resp4[4.79],C16)</f>
        <v>6</v>
      </c>
      <c r="E9" s="4">
        <f>COUNTIF(Resp4[4.79],C16)</f>
        <v>9</v>
      </c>
      <c r="F9" s="4">
        <f t="shared" si="0"/>
        <v>27.27</v>
      </c>
      <c r="G9" s="3">
        <f>ROUND($E9/SUM($E$7:$E$10)*100,3)</f>
        <v>27.273</v>
      </c>
    </row>
    <row r="10" spans="1:7" x14ac:dyDescent="0.25">
      <c r="B10" s="23" t="s">
        <v>206</v>
      </c>
      <c r="C10" s="22">
        <f>COUNTIFS(Resp4[Vínculo],"tecnico",Resp4[4.79],B10)</f>
        <v>3</v>
      </c>
      <c r="D10" s="22">
        <f>COUNTIFS(Resp4[Vínculo],"docente",Resp4[4.79],B10)</f>
        <v>4</v>
      </c>
      <c r="E10" s="22">
        <f>COUNTIF(Resp4[4.79],B10)</f>
        <v>7</v>
      </c>
      <c r="F10" s="22">
        <f t="shared" si="0"/>
        <v>21.21</v>
      </c>
      <c r="G10" s="24">
        <f>ROUND($E10/SUM($E$7:$E$10)*100,3)</f>
        <v>21.212</v>
      </c>
    </row>
    <row r="11" spans="1:7" x14ac:dyDescent="0.25">
      <c r="B11" t="s">
        <v>502</v>
      </c>
      <c r="C11">
        <f>SUM(C6:C10)</f>
        <v>13</v>
      </c>
      <c r="D11">
        <f>SUM(D6:D10)</f>
        <v>20</v>
      </c>
      <c r="E11">
        <f>SUM(C11:D11)</f>
        <v>33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207</v>
      </c>
    </row>
    <row r="15" spans="1:7" x14ac:dyDescent="0.25">
      <c r="B15" t="s">
        <v>508</v>
      </c>
      <c r="C15" t="s">
        <v>204</v>
      </c>
    </row>
    <row r="16" spans="1:7" x14ac:dyDescent="0.25">
      <c r="B16" t="s">
        <v>509</v>
      </c>
      <c r="C16" t="s">
        <v>205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12</v>
      </c>
      <c r="D7" s="4">
        <f>COUNTIFS(Resp4[Vínculo],"docente",Resp4[4.81],B7)</f>
        <v>18</v>
      </c>
      <c r="E7" s="2">
        <f>COUNTIF(Resp4[4.81],B7)</f>
        <v>30</v>
      </c>
      <c r="F7" s="15">
        <f t="shared" ref="F7:F9" si="0">ROUND($E7/E$9*100,2)</f>
        <v>90.91</v>
      </c>
      <c r="G7" s="4">
        <f>ROUND($E7/SUM($E$7:$E$8)*100,2)</f>
        <v>90.91</v>
      </c>
      <c r="H7" s="2"/>
    </row>
    <row r="8" spans="1:8" x14ac:dyDescent="0.25">
      <c r="A8" s="2"/>
      <c r="B8" s="2" t="s">
        <v>202</v>
      </c>
      <c r="C8" s="4">
        <f>COUNTIFS(Resp4[Vínculo],"tecnico",Resp4[4.81],B8)</f>
        <v>1</v>
      </c>
      <c r="D8" s="4">
        <f>COUNTIFS(Resp4[Vínculo],"docente",Resp4[4.81],B8)</f>
        <v>2</v>
      </c>
      <c r="E8" s="2">
        <f>COUNTIF(Resp4[4.81],B8)</f>
        <v>3</v>
      </c>
      <c r="F8" s="19">
        <f t="shared" si="0"/>
        <v>9.09</v>
      </c>
      <c r="G8" s="4">
        <f>ROUND($E8/SUM($E$7:$E$8)*100,2)</f>
        <v>9.09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13</v>
      </c>
      <c r="D9" s="28">
        <f>SUM(D6:D8)</f>
        <v>20</v>
      </c>
      <c r="E9" s="28">
        <f>SUM(C9:D9)</f>
        <v>33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199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2</v>
      </c>
      <c r="D7" s="4">
        <f>COUNTIFS(Resp4[Vínculo],"docente",Resp4[4.85],B7)</f>
        <v>10</v>
      </c>
      <c r="E7" s="2">
        <f>COUNTIF(Resp4[4.85],B7)</f>
        <v>12</v>
      </c>
      <c r="F7" s="4">
        <f t="shared" ref="F7:F9" si="0">ROUND($E7/E$9*100,2)</f>
        <v>36.36</v>
      </c>
      <c r="G7" s="4">
        <f>ROUND($E7/SUM($E$7:$E$8)*100,2)</f>
        <v>36.36</v>
      </c>
      <c r="H7" s="2"/>
    </row>
    <row r="8" spans="1:8" x14ac:dyDescent="0.25">
      <c r="A8" s="2"/>
      <c r="B8" s="2" t="s">
        <v>202</v>
      </c>
      <c r="C8" s="4">
        <f>COUNTIFS(Resp4[Vínculo],"tecnico",Resp4[4.85],B8)</f>
        <v>11</v>
      </c>
      <c r="D8" s="4">
        <f>COUNTIFS(Resp4[Vínculo],"docente",Resp4[4.85],B8)</f>
        <v>10</v>
      </c>
      <c r="E8" s="2">
        <f>COUNTIF(Resp4[4.85],B8)</f>
        <v>21</v>
      </c>
      <c r="F8" s="22">
        <f t="shared" si="0"/>
        <v>63.64</v>
      </c>
      <c r="G8" s="4">
        <f>ROUND($E8/SUM($E$7:$E$8)*100,2)</f>
        <v>63.64</v>
      </c>
      <c r="H8" s="2"/>
    </row>
    <row r="9" spans="1:8" x14ac:dyDescent="0.25">
      <c r="A9" s="2"/>
      <c r="B9" s="8" t="s">
        <v>502</v>
      </c>
      <c r="C9" s="8">
        <f>SUM(C6:C8)</f>
        <v>13</v>
      </c>
      <c r="D9" s="8">
        <f>SUM(D6:D8)</f>
        <v>20</v>
      </c>
      <c r="E9" s="8">
        <f>SUM(C9:D9)</f>
        <v>33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2</v>
      </c>
      <c r="E10" s="4">
        <f>COUNTIF(Resp4[4.86],B10)</f>
        <v>2</v>
      </c>
      <c r="F10" s="4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COUNTIFS(Resp4[Vínculo],"tecnico",Resp4[4.86],B11)</f>
        <v>0</v>
      </c>
      <c r="D11" s="4">
        <f>COUNTIFS(Resp4[Vínculo],"docente",Resp4[4.86],B11)</f>
        <v>8</v>
      </c>
      <c r="E11" s="4">
        <f>COUNTIF(Resp4[4.86],B11)</f>
        <v>8</v>
      </c>
      <c r="F11" s="4">
        <f t="shared" si="0"/>
        <v>24.24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COUNTIFS(Resp4[Vínculo],"tecnico",Resp4[4.86],B12)</f>
        <v>2</v>
      </c>
      <c r="D12" s="4">
        <f>COUNTIFS(Resp4[Vínculo],"docente",Resp4[4.86],B12)</f>
        <v>0</v>
      </c>
      <c r="E12" s="4">
        <f>COUNTIF(Resp4[4.86],B12)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200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196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1</v>
      </c>
      <c r="E10" s="4">
        <f>COUNTIF(Resp4[4.87],B10)</f>
        <v>1</v>
      </c>
      <c r="F10" s="4">
        <f>ROUND($E10/E$13*100,2)</f>
        <v>3.03</v>
      </c>
      <c r="G10" s="3">
        <f t="shared" si="0"/>
        <v>8.3330000000000002</v>
      </c>
    </row>
    <row r="11" spans="1:7" x14ac:dyDescent="0.25">
      <c r="B11" s="2" t="s">
        <v>195</v>
      </c>
      <c r="C11" s="4">
        <f>COUNTIFS(Resp4[Vínculo],"tecnico",Resp4[4.87],B11)</f>
        <v>1</v>
      </c>
      <c r="D11" s="4">
        <f>COUNTIFS(Resp4[Vínculo],"docente",Resp4[4.87],B11)</f>
        <v>7</v>
      </c>
      <c r="E11" s="4">
        <f>COUNTIF(Resp4[4.87],B11)</f>
        <v>8</v>
      </c>
      <c r="F11" s="4">
        <f>ROUND($E11/E$13*100,2)</f>
        <v>24.24</v>
      </c>
      <c r="G11" s="3">
        <f t="shared" si="0"/>
        <v>66.667000000000002</v>
      </c>
    </row>
    <row r="12" spans="1:7" x14ac:dyDescent="0.25">
      <c r="B12" s="7" t="s">
        <v>198</v>
      </c>
      <c r="C12" s="4">
        <f>COUNTIFS(Resp4[Vínculo],"tecnico",Resp4[4.87],B12)</f>
        <v>1</v>
      </c>
      <c r="D12" s="4">
        <f>COUNTIFS(Resp4[Vínculo],"docente",Resp4[4.87],B12)</f>
        <v>2</v>
      </c>
      <c r="E12" s="4">
        <f>COUNTIF(Resp4[4.87],B12)</f>
        <v>3</v>
      </c>
      <c r="F12" s="22">
        <f>ROUND($E12/E$13*100,2)</f>
        <v>9.09</v>
      </c>
      <c r="G12" s="3">
        <f t="shared" si="0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90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15">
        <f>ROUND($E6/E$13*100,2)</f>
        <v>63.64</v>
      </c>
    </row>
    <row r="7" spans="1:7" x14ac:dyDescent="0.25">
      <c r="B7" s="2" t="s">
        <v>197</v>
      </c>
      <c r="C7" s="4">
        <f>COUNTIFS(Resp4[Vínculo],"tecnico",Resp4[4.88],B7)</f>
        <v>0</v>
      </c>
      <c r="D7" s="4">
        <f>COUNTIFS(Resp4[Vínculo],"docente",Resp4[4.88],B7)</f>
        <v>1</v>
      </c>
      <c r="E7" s="4">
        <f>COUNTIF(Resp4[4.88],B7)</f>
        <v>1</v>
      </c>
      <c r="F7" s="15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COUNTIFS(Resp4[Vínculo],"tecnico",Resp4[4.88],B9)</f>
        <v>0</v>
      </c>
      <c r="D9" s="4">
        <f>COUNTIFS(Resp4[Vínculo],"docente",Resp4[4.88],B9)</f>
        <v>1</v>
      </c>
      <c r="E9" s="4">
        <f>COUNTIF(Resp4[4.88],B9)</f>
        <v>1</v>
      </c>
      <c r="F9" s="15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2</v>
      </c>
      <c r="E10" s="4">
        <f>COUNTIF(Resp4[4.88],B10)</f>
        <v>2</v>
      </c>
      <c r="F10" s="15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COUNTIFS(Resp4[Vínculo],"tecnico",Resp4[4.88],B11)</f>
        <v>0</v>
      </c>
      <c r="D11" s="4">
        <f>COUNTIFS(Resp4[Vínculo],"docente",Resp4[4.88],B11)</f>
        <v>6</v>
      </c>
      <c r="E11" s="4">
        <f>COUNTIF(Resp4[4.88],B11)</f>
        <v>6</v>
      </c>
      <c r="F11" s="15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COUNTIFS(Resp4[Vínculo],"tecnico",Resp4[4.88],B12)</f>
        <v>2</v>
      </c>
      <c r="D12" s="4">
        <f>COUNTIFS(Resp4[Vínculo],"docente",Resp4[4.88],B12)</f>
        <v>0</v>
      </c>
      <c r="E12" s="4">
        <f>COUNTIF(Resp4[4.88],B12)</f>
        <v>2</v>
      </c>
      <c r="F12" s="19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COUNTIFS(Resp4[Vínculo],"tecnico",Resp4[4.89],B7)</f>
        <v>0</v>
      </c>
      <c r="D7" s="4">
        <f>COUNTIFS(Resp4[Vínculo],"docente",Resp4[4.89],B7)</f>
        <v>1</v>
      </c>
      <c r="E7" s="4">
        <f>COUNTIF(Resp4[4.89],B7)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COUNTIFS(Resp4[Vínculo],"tecnico",Resp4[4.89],B9)</f>
        <v>0</v>
      </c>
      <c r="D9" s="4">
        <f>COUNTIFS(Resp4[Vínculo],"docente",Resp4[4.89],B9)</f>
        <v>1</v>
      </c>
      <c r="E9" s="4">
        <f>COUNTIF(Resp4[4.89],B9)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2</v>
      </c>
      <c r="E10" s="4">
        <f>COUNTIF(Resp4[4.89],B10)</f>
        <v>2</v>
      </c>
      <c r="F10" s="4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COUNTIFS(Resp4[Vínculo],"tecnico",Resp4[4.89],B11)</f>
        <v>0</v>
      </c>
      <c r="D11" s="4">
        <f>COUNTIFS(Resp4[Vínculo],"docente",Resp4[4.89],B11)</f>
        <v>6</v>
      </c>
      <c r="E11" s="4">
        <f>COUNTIF(Resp4[4.89],B11)</f>
        <v>6</v>
      </c>
      <c r="F11" s="4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COUNTIFS(Resp4[Vínculo],"tecnico",Resp4[4.89],B12)</f>
        <v>2</v>
      </c>
      <c r="D12" s="4">
        <f>COUNTIFS(Resp4[Vínculo],"docente",Resp4[4.89],B12)</f>
        <v>0</v>
      </c>
      <c r="E12" s="4">
        <f>COUNTIF(Resp4[4.89],B12)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COUNTIFS(Resp4[Vínculo],"tecnico",Resp4[4.90],B7)</f>
        <v>0</v>
      </c>
      <c r="D7" s="4">
        <f>COUNTIFS(Resp4[Vínculo],"docente",Resp4[4.90],B7)</f>
        <v>1</v>
      </c>
      <c r="E7" s="4">
        <f>COUNTIF(Resp4[4.90],B7)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COUNTIFS(Resp4[Vínculo],"tecnico",Resp4[4.90],B8)</f>
        <v>0</v>
      </c>
      <c r="D8" s="4">
        <f>COUNTIFS(Resp4[Vínculo],"docente",Resp4[4.90],B8)</f>
        <v>1</v>
      </c>
      <c r="E8" s="4">
        <f>COUNTIF(Resp4[4.90],B8)</f>
        <v>1</v>
      </c>
      <c r="F8" s="4">
        <f t="shared" si="0"/>
        <v>3.03</v>
      </c>
      <c r="G8" s="3">
        <f t="shared" si="1"/>
        <v>8.3330000000000002</v>
      </c>
    </row>
    <row r="9" spans="1:7" x14ac:dyDescent="0.25">
      <c r="B9" s="2" t="s">
        <v>196</v>
      </c>
      <c r="C9" s="4">
        <f>COUNTIFS(Resp4[Vínculo],"tecnico",Resp4[4.90],B9)</f>
        <v>0</v>
      </c>
      <c r="D9" s="4">
        <f>COUNTIFS(Resp4[Vínculo],"docente",Resp4[4.90],B9)</f>
        <v>1</v>
      </c>
      <c r="E9" s="4">
        <f>COUNTIF(Resp4[4.90],B9)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3</v>
      </c>
      <c r="E10" s="4">
        <f>COUNTIF(Resp4[4.90],B10)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COUNTIFS(Resp4[Vínculo],"tecnico",Resp4[4.90],B11)</f>
        <v>0</v>
      </c>
      <c r="D11" s="4">
        <f>COUNTIFS(Resp4[Vínculo],"docente",Resp4[4.90],B11)</f>
        <v>4</v>
      </c>
      <c r="E11" s="4">
        <f>COUNTIF(Resp4[4.90],B11)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COUNTIFS(Resp4[Vínculo],"tecnico",Resp4[4.90],B12)</f>
        <v>2</v>
      </c>
      <c r="D12" s="4">
        <f>COUNTIFS(Resp4[Vínculo],"docente",Resp4[4.90],B12)</f>
        <v>0</v>
      </c>
      <c r="E12" s="4">
        <f>COUNTIF(Resp4[4.90],B12)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COUNTIFS(Resp4[Vínculo],"tecnico",Resp4[4.91],B8)</f>
        <v>0</v>
      </c>
      <c r="D8" s="4">
        <f>COUNTIFS(Resp4[Vínculo],"docente",Resp4[4.91],B8)</f>
        <v>1</v>
      </c>
      <c r="E8" s="4">
        <f>COUNTIF(Resp4[4.91],B8)</f>
        <v>1</v>
      </c>
      <c r="F8" s="4">
        <f t="shared" si="0"/>
        <v>3.03</v>
      </c>
      <c r="G8" s="3">
        <f t="shared" si="1"/>
        <v>8.3330000000000002</v>
      </c>
    </row>
    <row r="9" spans="1:7" x14ac:dyDescent="0.25">
      <c r="B9" s="2" t="s">
        <v>196</v>
      </c>
      <c r="C9" s="4">
        <f>COUNTIFS(Resp4[Vínculo],"tecnico",Resp4[4.91],B9)</f>
        <v>0</v>
      </c>
      <c r="D9" s="4">
        <f>COUNTIFS(Resp4[Vínculo],"docente",Resp4[4.91],B9)</f>
        <v>1</v>
      </c>
      <c r="E9" s="4">
        <f>COUNTIF(Resp4[4.91],B9)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4</v>
      </c>
      <c r="E10" s="4">
        <f>COUNTIF(Resp4[4.91],B10)</f>
        <v>4</v>
      </c>
      <c r="F10" s="4">
        <f t="shared" si="0"/>
        <v>12.12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COUNTIFS(Resp4[Vínculo],"tecnico",Resp4[4.91],B11)</f>
        <v>0</v>
      </c>
      <c r="D11" s="4">
        <f>COUNTIFS(Resp4[Vínculo],"docente",Resp4[4.91],B11)</f>
        <v>4</v>
      </c>
      <c r="E11" s="4">
        <f>COUNTIF(Resp4[4.91],B11)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COUNTIFS(Resp4[Vínculo],"tecnico",Resp4[4.91],B12)</f>
        <v>2</v>
      </c>
      <c r="D12" s="4">
        <f>COUNTIFS(Resp4[Vínculo],"docente",Resp4[4.91],B12)</f>
        <v>0</v>
      </c>
      <c r="E12" s="4">
        <f>COUNTIF(Resp4[4.91],B12)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COUNTIFS(Resp4[Vínculo],"tecnico",Resp4[4.92],B7)</f>
        <v>1</v>
      </c>
      <c r="D7" s="4">
        <f>COUNTIFS(Resp4[Vínculo],"docente",Resp4[4.92],B7)</f>
        <v>0</v>
      </c>
      <c r="E7" s="4">
        <f>COUNTIF(Resp4[4.92],B7)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2</v>
      </c>
      <c r="E10" s="4">
        <f>COUNTIF(Resp4[4.92],B10)</f>
        <v>2</v>
      </c>
      <c r="F10" s="4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COUNTIFS(Resp4[Vínculo],"tecnico",Resp4[4.92],B11)</f>
        <v>0</v>
      </c>
      <c r="D11" s="4">
        <f>COUNTIFS(Resp4[Vínculo],"docente",Resp4[4.92],B11)</f>
        <v>7</v>
      </c>
      <c r="E11" s="4">
        <f>COUNTIF(Resp4[4.92],B11)</f>
        <v>7</v>
      </c>
      <c r="F11" s="4">
        <f t="shared" si="0"/>
        <v>21.21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COUNTIFS(Resp4[Vínculo],"tecnico",Resp4[4.92],B12)</f>
        <v>1</v>
      </c>
      <c r="D12" s="4">
        <f>COUNTIFS(Resp4[Vínculo],"docente",Resp4[4.92],B12)</f>
        <v>1</v>
      </c>
      <c r="E12" s="4">
        <f>COUNTIF(Resp4[4.92],B12)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103">
        <f t="shared" ref="F6:F13" si="0">ROUND($E6/E$13*100,2)</f>
        <v>42.42</v>
      </c>
    </row>
    <row r="7" spans="1:7" x14ac:dyDescent="0.25">
      <c r="B7" s="2" t="s">
        <v>197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COUNTIFS(Resp4[Vínculo],"tecnico",Resp4[4.03],B9)</f>
        <v>0</v>
      </c>
      <c r="D9" s="4">
        <f>COUNTIFS(Resp4[Vínculo],"docente",Resp4[4.03],B9)</f>
        <v>1</v>
      </c>
      <c r="E9" s="4">
        <f>COUNTIF(Resp4[4.03],B9)</f>
        <v>1</v>
      </c>
      <c r="F9" s="103">
        <f t="shared" si="0"/>
        <v>3.03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7</v>
      </c>
      <c r="E10" s="4">
        <f>COUNTIF(Resp4[4.03],B10)</f>
        <v>7</v>
      </c>
      <c r="F10" s="103">
        <f t="shared" si="0"/>
        <v>21.21</v>
      </c>
      <c r="G10" s="3">
        <f t="shared" si="1"/>
        <v>36.841999999999999</v>
      </c>
    </row>
    <row r="11" spans="1:7" x14ac:dyDescent="0.25">
      <c r="B11" s="2" t="s">
        <v>195</v>
      </c>
      <c r="C11" s="4">
        <f>COUNTIFS(Resp4[Vínculo],"tecnico",Resp4[4.03],B11)</f>
        <v>1</v>
      </c>
      <c r="D11" s="4">
        <f>COUNTIFS(Resp4[Vínculo],"docente",Resp4[4.03],B11)</f>
        <v>8</v>
      </c>
      <c r="E11" s="4">
        <f>COUNTIF(Resp4[4.03],B11)</f>
        <v>9</v>
      </c>
      <c r="F11" s="103">
        <f t="shared" si="0"/>
        <v>27.27</v>
      </c>
      <c r="G11" s="3">
        <f t="shared" si="1"/>
        <v>47.368000000000002</v>
      </c>
    </row>
    <row r="12" spans="1:7" x14ac:dyDescent="0.25">
      <c r="B12" s="7" t="s">
        <v>198</v>
      </c>
      <c r="C12" s="4">
        <f>COUNTIFS(Resp4[Vínculo],"tecnico",Resp4[4.03],B12)</f>
        <v>2</v>
      </c>
      <c r="D12" s="4">
        <f>COUNTIFS(Resp4[Vínculo],"docente",Resp4[4.03],B12)</f>
        <v>0</v>
      </c>
      <c r="E12" s="4">
        <f>COUNTIF(Resp4[4.03],B12)</f>
        <v>2</v>
      </c>
      <c r="F12" s="104">
        <f t="shared" si="0"/>
        <v>6.06</v>
      </c>
      <c r="G12" s="3">
        <f t="shared" si="1"/>
        <v>10.526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43.75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COUNTIFS(Resp4[Vínculo],"tecnico",Resp4[4.93],B7)</f>
        <v>0</v>
      </c>
      <c r="D7" s="4">
        <f>COUNTIFS(Resp4[Vínculo],"docente",Resp4[4.93],B7)</f>
        <v>0</v>
      </c>
      <c r="E7" s="4">
        <f>COUNTIF(Resp4[4.93],B7)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3</v>
      </c>
      <c r="E10" s="4">
        <f>COUNTIF(Resp4[4.93],B10)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COUNTIFS(Resp4[Vínculo],"tecnico",Resp4[4.93],B11)</f>
        <v>0</v>
      </c>
      <c r="D11" s="4">
        <f>COUNTIFS(Resp4[Vínculo],"docente",Resp4[4.93],B11)</f>
        <v>6</v>
      </c>
      <c r="E11" s="4">
        <f>COUNTIF(Resp4[4.93],B11)</f>
        <v>6</v>
      </c>
      <c r="F11" s="4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COUNTIFS(Resp4[Vínculo],"tecnico",Resp4[4.93],B12)</f>
        <v>2</v>
      </c>
      <c r="D12" s="4">
        <f>COUNTIFS(Resp4[Vínculo],"docente",Resp4[4.93],B12)</f>
        <v>1</v>
      </c>
      <c r="E12" s="4">
        <f>COUNTIF(Resp4[4.93],B12)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70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COUNTIFS(Resp4[Vínculo],"tecnico",Resp4[4.94],B8)</f>
        <v>0</v>
      </c>
      <c r="D8" s="4">
        <f>COUNTIFS(Resp4[Vínculo],"docente",Resp4[4.94],B8)</f>
        <v>2</v>
      </c>
      <c r="E8" s="4">
        <f>COUNTIF(Resp4[4.94],B8)</f>
        <v>2</v>
      </c>
      <c r="F8" s="4">
        <f t="shared" si="0"/>
        <v>6.06</v>
      </c>
      <c r="G8" s="3">
        <f t="shared" si="1"/>
        <v>16.667000000000002</v>
      </c>
    </row>
    <row r="9" spans="1:7" x14ac:dyDescent="0.25">
      <c r="B9" s="2" t="s">
        <v>196</v>
      </c>
      <c r="C9" s="4">
        <f>COUNTIFS(Resp4[Vínculo],"tecnico",Resp4[4.94],B9)</f>
        <v>1</v>
      </c>
      <c r="D9" s="4">
        <f>COUNTIFS(Resp4[Vínculo],"docente",Resp4[4.94],B9)</f>
        <v>3</v>
      </c>
      <c r="E9" s="4">
        <f>COUNTIF(Resp4[4.94],B9)</f>
        <v>4</v>
      </c>
      <c r="F9" s="4">
        <f t="shared" si="0"/>
        <v>12.12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COUNTIFS(Resp4[Vínculo],"tecnico",Resp4[4.94],B10)</f>
        <v>0</v>
      </c>
      <c r="D10" s="4">
        <f>COUNTIFS(Resp4[Vínculo],"docente",Resp4[4.94],B10)</f>
        <v>4</v>
      </c>
      <c r="E10" s="4">
        <f>COUNTIF(Resp4[4.94],B10)</f>
        <v>4</v>
      </c>
      <c r="F10" s="4">
        <f t="shared" si="0"/>
        <v>12.12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COUNTIFS(Resp4[Vínculo],"tecnico",Resp4[4.94],B11)</f>
        <v>0</v>
      </c>
      <c r="D11" s="4">
        <f>COUNTIFS(Resp4[Vínculo],"docente",Resp4[4.94],B11)</f>
        <v>1</v>
      </c>
      <c r="E11" s="4">
        <f>COUNTIF(Resp4[4.94],B11)</f>
        <v>1</v>
      </c>
      <c r="F11" s="4">
        <f t="shared" si="0"/>
        <v>3.03</v>
      </c>
      <c r="G11" s="3">
        <f t="shared" si="1"/>
        <v>8.3330000000000002</v>
      </c>
    </row>
    <row r="12" spans="1:7" x14ac:dyDescent="0.25">
      <c r="B12" s="7" t="s">
        <v>198</v>
      </c>
      <c r="C12" s="4">
        <f>COUNTIFS(Resp4[Vínculo],"tecnico",Resp4[4.94],B12)</f>
        <v>1</v>
      </c>
      <c r="D12" s="4">
        <f>COUNTIFS(Resp4[Vínculo],"docente",Resp4[4.94],B12)</f>
        <v>0</v>
      </c>
      <c r="E12" s="4">
        <f>COUNTIF(Resp4[4.94],B12)</f>
        <v>1</v>
      </c>
      <c r="F12" s="22">
        <f t="shared" si="0"/>
        <v>3.03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50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COUNTIFS(Resp4[Vínculo],"tecnico",Resp4[4.95],B9)</f>
        <v>0</v>
      </c>
      <c r="D9" s="4">
        <f>COUNTIFS(Resp4[Vínculo],"docente",Resp4[4.95],B9)</f>
        <v>1</v>
      </c>
      <c r="E9" s="4">
        <f>COUNTIF(Resp4[4.95],B9)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2</v>
      </c>
      <c r="E10" s="4">
        <f>COUNTIF(Resp4[4.95],B10)</f>
        <v>2</v>
      </c>
      <c r="F10" s="4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COUNTIFS(Resp4[Vínculo],"tecnico",Resp4[4.95],B11)</f>
        <v>1</v>
      </c>
      <c r="D11" s="4">
        <f>COUNTIFS(Resp4[Vínculo],"docente",Resp4[4.95],B11)</f>
        <v>5</v>
      </c>
      <c r="E11" s="4">
        <f>COUNTIF(Resp4[4.95],B11)</f>
        <v>6</v>
      </c>
      <c r="F11" s="4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COUNTIFS(Resp4[Vínculo],"tecnico",Resp4[4.95],B12)</f>
        <v>1</v>
      </c>
      <c r="D12" s="4">
        <f>COUNTIFS(Resp4[Vínculo],"docente",Resp4[4.95],B12)</f>
        <v>2</v>
      </c>
      <c r="E12" s="4">
        <f>COUNTIF(Resp4[4.95],B12)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70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3</v>
      </c>
      <c r="E10" s="4">
        <f>COUNTIF(Resp4[4.96],B10)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COUNTIFS(Resp4[Vínculo],"tecnico",Resp4[4.96],B11)</f>
        <v>0</v>
      </c>
      <c r="D11" s="4">
        <f>COUNTIFS(Resp4[Vínculo],"docente",Resp4[4.96],B11)</f>
        <v>3</v>
      </c>
      <c r="E11" s="4">
        <f>COUNTIF(Resp4[4.96],B11)</f>
        <v>3</v>
      </c>
      <c r="F11" s="4">
        <f t="shared" si="0"/>
        <v>9.09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COUNTIFS(Resp4[Vínculo],"tecnico",Resp4[4.96],B12)</f>
        <v>2</v>
      </c>
      <c r="D12" s="4">
        <f>COUNTIFS(Resp4[Vínculo],"docente",Resp4[4.96],B12)</f>
        <v>4</v>
      </c>
      <c r="E12" s="4">
        <f>COUNTIF(Resp4[4.96],B12)</f>
        <v>6</v>
      </c>
      <c r="F12" s="22">
        <f t="shared" si="0"/>
        <v>18.18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70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1</v>
      </c>
      <c r="E10" s="4">
        <f>COUNTIF(Resp4[4.97],B10)</f>
        <v>1</v>
      </c>
      <c r="F10" s="4">
        <f t="shared" si="0"/>
        <v>3.03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COUNTIFS(Resp4[Vínculo],"tecnico",Resp4[4.97],B11)</f>
        <v>0</v>
      </c>
      <c r="D11" s="4">
        <f>COUNTIFS(Resp4[Vínculo],"docente",Resp4[4.97],B11)</f>
        <v>4</v>
      </c>
      <c r="E11" s="4">
        <f>COUNTIF(Resp4[4.97],B11)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COUNTIFS(Resp4[Vínculo],"tecnico",Resp4[4.97],B12)</f>
        <v>2</v>
      </c>
      <c r="D12" s="4">
        <f>COUNTIFS(Resp4[Vínculo],"docente",Resp4[4.97],B12)</f>
        <v>5</v>
      </c>
      <c r="E12" s="4">
        <f>COUNTIF(Resp4[4.97],B12)</f>
        <v>7</v>
      </c>
      <c r="F12" s="22">
        <f t="shared" si="0"/>
        <v>21.21</v>
      </c>
      <c r="G12" s="3">
        <f t="shared" si="1"/>
        <v>58.332999999999998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90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COUNTIFS(Resp4[Vínculo],"tecnico",Resp4[4.98],B7)</f>
        <v>0</v>
      </c>
      <c r="D7" s="4">
        <f>COUNTIFS(Resp4[Vínculo],"docente",Resp4[4.98],B7)</f>
        <v>1</v>
      </c>
      <c r="E7" s="4">
        <f>COUNTIF(Resp4[4.98],B7)</f>
        <v>1</v>
      </c>
      <c r="F7" s="4">
        <f t="shared" ref="F7:F13" si="0">ROUND($E7/E$13*100,2)</f>
        <v>3.03</v>
      </c>
      <c r="G7" s="3">
        <f t="shared" ref="G7:G12" si="1">ROUND($E7/SUM($E$7:$E$12)*100,3)</f>
        <v>8.3330000000000002</v>
      </c>
    </row>
    <row r="8" spans="1:7" x14ac:dyDescent="0.25">
      <c r="B8" s="2" t="s">
        <v>200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COUNTIFS(Resp4[Vínculo],"tecnico",Resp4[4.98],B9)</f>
        <v>0</v>
      </c>
      <c r="D9" s="4">
        <f>COUNTIFS(Resp4[Vínculo],"docente",Resp4[4.98],B9)</f>
        <v>1</v>
      </c>
      <c r="E9" s="4">
        <f>COUNTIF(Resp4[4.98],B9)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3</v>
      </c>
      <c r="E10" s="4">
        <f>COUNTIF(Resp4[4.98],B10)</f>
        <v>3</v>
      </c>
      <c r="F10" s="4">
        <f t="shared" si="0"/>
        <v>9.09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COUNTIFS(Resp4[Vínculo],"tecnico",Resp4[4.98],B11)</f>
        <v>0</v>
      </c>
      <c r="D11" s="4">
        <f>COUNTIFS(Resp4[Vínculo],"docente",Resp4[4.98],B11)</f>
        <v>4</v>
      </c>
      <c r="E11" s="4">
        <f>COUNTIF(Resp4[4.98],B11)</f>
        <v>4</v>
      </c>
      <c r="F11" s="4">
        <f t="shared" si="0"/>
        <v>12.12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COUNTIFS(Resp4[Vínculo],"tecnico",Resp4[4.98],B12)</f>
        <v>2</v>
      </c>
      <c r="D12" s="4">
        <f>COUNTIFS(Resp4[Vínculo],"docente",Resp4[4.98],B12)</f>
        <v>1</v>
      </c>
      <c r="E12" s="4">
        <f>COUNTIF(Resp4[4.98],B12)</f>
        <v>3</v>
      </c>
      <c r="F12" s="22">
        <f t="shared" si="0"/>
        <v>9.09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4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1</v>
      </c>
      <c r="E10" s="4">
        <f>COUNTIF(Resp4[4.99],B10)</f>
        <v>1</v>
      </c>
      <c r="F10" s="4">
        <f t="shared" si="0"/>
        <v>3.03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COUNTIFS(Resp4[Vínculo],"tecnico",Resp4[4.99],B11)</f>
        <v>0</v>
      </c>
      <c r="D11" s="4">
        <f>COUNTIFS(Resp4[Vínculo],"docente",Resp4[4.99],B11)</f>
        <v>7</v>
      </c>
      <c r="E11" s="4">
        <f>COUNTIF(Resp4[4.99],B11)</f>
        <v>7</v>
      </c>
      <c r="F11" s="4">
        <f t="shared" si="0"/>
        <v>21.21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COUNTIFS(Resp4[Vínculo],"tecnico",Resp4[4.99],B12)</f>
        <v>2</v>
      </c>
      <c r="D12" s="4">
        <f>COUNTIFS(Resp4[Vínculo],"docente",Resp4[4.99],B12)</f>
        <v>2</v>
      </c>
      <c r="E12" s="4">
        <f>COUNTIF(Resp4[4.99],B12)</f>
        <v>4</v>
      </c>
      <c r="F12" s="22">
        <f t="shared" si="0"/>
        <v>12.12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90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COUNTIFS(Resp4[Vínculo],"tecnico",Resp4[4.100],B7)</f>
        <v>0</v>
      </c>
      <c r="D7" s="4">
        <f>COUNTIFS(Resp4[Vínculo],"docente",Resp4[4.100],B7)</f>
        <v>0</v>
      </c>
      <c r="E7" s="4">
        <f>COUNTIF(Resp4[4.100],B7)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COUNTIFS(Resp4[Vínculo],"tecnico",Resp4[4.100],B8)</f>
        <v>0</v>
      </c>
      <c r="D8" s="4">
        <f>COUNTIFS(Resp4[Vínculo],"docente",Resp4[4.100],B8)</f>
        <v>1</v>
      </c>
      <c r="E8" s="4">
        <f>COUNTIF(Resp4[4.100],B8)</f>
        <v>1</v>
      </c>
      <c r="F8" s="4">
        <f t="shared" si="0"/>
        <v>3.03</v>
      </c>
      <c r="G8" s="3">
        <f t="shared" si="1"/>
        <v>8.3330000000000002</v>
      </c>
    </row>
    <row r="9" spans="1:7" x14ac:dyDescent="0.25">
      <c r="B9" s="2" t="s">
        <v>196</v>
      </c>
      <c r="C9" s="4">
        <f>COUNTIFS(Resp4[Vínculo],"tecnico",Resp4[4.100],B9)</f>
        <v>0</v>
      </c>
      <c r="D9" s="4">
        <f>COUNTIFS(Resp4[Vínculo],"docente",Resp4[4.100],B9)</f>
        <v>2</v>
      </c>
      <c r="E9" s="4">
        <f>COUNTIF(Resp4[4.100],B9)</f>
        <v>2</v>
      </c>
      <c r="F9" s="4">
        <f t="shared" si="0"/>
        <v>6.06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1</v>
      </c>
      <c r="E10" s="4">
        <f>COUNTIF(Resp4[4.100],B10)</f>
        <v>1</v>
      </c>
      <c r="F10" s="4">
        <f t="shared" si="0"/>
        <v>3.03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COUNTIFS(Resp4[Vínculo],"tecnico",Resp4[4.100],B11)</f>
        <v>0</v>
      </c>
      <c r="D11" s="4">
        <f>COUNTIFS(Resp4[Vínculo],"docente",Resp4[4.100],B11)</f>
        <v>6</v>
      </c>
      <c r="E11" s="4">
        <f>COUNTIF(Resp4[4.100],B11)</f>
        <v>6</v>
      </c>
      <c r="F11" s="4">
        <f t="shared" si="0"/>
        <v>18.18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COUNTIFS(Resp4[Vínculo],"tecnico",Resp4[4.100],B12)</f>
        <v>2</v>
      </c>
      <c r="D12" s="4">
        <f>COUNTIFS(Resp4[Vínculo],"docente",Resp4[4.100],B12)</f>
        <v>0</v>
      </c>
      <c r="E12" s="4">
        <f>COUNTIF(Resp4[4.100],B12)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30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COUNTIFS(Resp4[Vínculo],"tecnico",Resp4[4.101],B8)</f>
        <v>0</v>
      </c>
      <c r="D8" s="4">
        <f>COUNTIFS(Resp4[Vínculo],"docente",Resp4[4.101],B8)</f>
        <v>1</v>
      </c>
      <c r="E8" s="4">
        <f>COUNTIF(Resp4[4.101],B8)</f>
        <v>1</v>
      </c>
      <c r="F8" s="4">
        <f t="shared" si="0"/>
        <v>3.03</v>
      </c>
      <c r="G8" s="3">
        <f t="shared" si="1"/>
        <v>8.3330000000000002</v>
      </c>
    </row>
    <row r="9" spans="1:7" x14ac:dyDescent="0.25">
      <c r="B9" s="2" t="s">
        <v>196</v>
      </c>
      <c r="C9" s="4">
        <f>COUNTIFS(Resp4[Vínculo],"tecnico",Resp4[4.101],B9)</f>
        <v>0</v>
      </c>
      <c r="D9" s="4">
        <f>COUNTIFS(Resp4[Vínculo],"docente",Resp4[4.101],B9)</f>
        <v>2</v>
      </c>
      <c r="E9" s="4">
        <f>COUNTIF(Resp4[4.101],B9)</f>
        <v>2</v>
      </c>
      <c r="F9" s="4">
        <f t="shared" si="0"/>
        <v>6.06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2</v>
      </c>
      <c r="E10" s="4">
        <f>COUNTIF(Resp4[4.101],B10)</f>
        <v>2</v>
      </c>
      <c r="F10" s="4">
        <f t="shared" si="0"/>
        <v>6.06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COUNTIFS(Resp4[Vínculo],"tecnico",Resp4[4.101],B11)</f>
        <v>1</v>
      </c>
      <c r="D11" s="4">
        <f>COUNTIFS(Resp4[Vínculo],"docente",Resp4[4.101],B11)</f>
        <v>4</v>
      </c>
      <c r="E11" s="4">
        <f>COUNTIF(Resp4[4.101],B11)</f>
        <v>5</v>
      </c>
      <c r="F11" s="4">
        <f t="shared" si="0"/>
        <v>15.15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COUNTIFS(Resp4[Vínculo],"tecnico",Resp4[4.101],B12)</f>
        <v>1</v>
      </c>
      <c r="D12" s="4">
        <f>COUNTIFS(Resp4[Vínculo],"docente",Resp4[4.101],B12)</f>
        <v>1</v>
      </c>
      <c r="E12" s="4">
        <f>COUNTIF(Resp4[4.101],B12)</f>
        <v>2</v>
      </c>
      <c r="F12" s="22">
        <f t="shared" si="0"/>
        <v>6.06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30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10</v>
      </c>
      <c r="E6" s="4">
        <f>E13-SUM(E7:E12)</f>
        <v>21</v>
      </c>
      <c r="F6" s="4">
        <f>ROUND($E6/E$13*100,2)</f>
        <v>63.64</v>
      </c>
    </row>
    <row r="7" spans="1:7" x14ac:dyDescent="0.25">
      <c r="B7" s="2" t="s">
        <v>197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200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196</v>
      </c>
      <c r="C9" s="4">
        <f>COUNTIFS(Resp4[Vínculo],"tecnico",Resp4[4.102],B9)</f>
        <v>0</v>
      </c>
      <c r="D9" s="4">
        <f>COUNTIFS(Resp4[Vínculo],"docente",Resp4[4.102],B9)</f>
        <v>1</v>
      </c>
      <c r="E9" s="4">
        <f>COUNTIF(Resp4[4.102],B9)</f>
        <v>1</v>
      </c>
      <c r="F9" s="4">
        <f t="shared" si="0"/>
        <v>3.03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1</v>
      </c>
      <c r="E10" s="4">
        <f>COUNTIF(Resp4[4.102],B10)</f>
        <v>1</v>
      </c>
      <c r="F10" s="4">
        <f t="shared" si="0"/>
        <v>3.03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COUNTIFS(Resp4[Vínculo],"tecnico",Resp4[4.102],B11)</f>
        <v>0</v>
      </c>
      <c r="D11" s="4">
        <f>COUNTIFS(Resp4[Vínculo],"docente",Resp4[4.102],B11)</f>
        <v>5</v>
      </c>
      <c r="E11" s="4">
        <f>COUNTIF(Resp4[4.102],B11)</f>
        <v>5</v>
      </c>
      <c r="F11" s="4">
        <f t="shared" si="0"/>
        <v>15.15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COUNTIFS(Resp4[Vínculo],"tecnico",Resp4[4.102],B12)</f>
        <v>2</v>
      </c>
      <c r="D12" s="4">
        <f>COUNTIFS(Resp4[Vínculo],"docente",Resp4[4.102],B12)</f>
        <v>3</v>
      </c>
      <c r="E12" s="4">
        <f>COUNTIF(Resp4[4.102],B12)</f>
        <v>5</v>
      </c>
      <c r="F12" s="22">
        <f t="shared" si="0"/>
        <v>15.15</v>
      </c>
      <c r="G12" s="3">
        <f t="shared" si="1"/>
        <v>41.667000000000002</v>
      </c>
    </row>
    <row r="13" spans="1:7" x14ac:dyDescent="0.25">
      <c r="B13" s="2" t="s">
        <v>502</v>
      </c>
      <c r="C13" s="8">
        <f>SUM(C6:C12)</f>
        <v>13</v>
      </c>
      <c r="D13" s="8">
        <f>SUM(D6:D12)</f>
        <v>20</v>
      </c>
      <c r="E13" s="8">
        <f>SUM(C13:D13)</f>
        <v>33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2022-02-04T16:29:33Z</dcterms:modified>
  <cp:category/>
  <cp:contentStatus/>
</cp:coreProperties>
</file>