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<sst xmlns="http://schemas.openxmlformats.org/spreadsheetml/2006/main" count="5750" uniqueCount="512">
  <si>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</si>
  <si>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</si>
  <si>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</si>
  <si>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</si>
  <si>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</si>
  <si>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</si>
  <si>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</si>
  <si>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</si>
  <si>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</si>
  <si>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</si>
  <si>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</si>
  <si>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</si>
  <si>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</si>
  <si>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</si>
  <si>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</si>
  <si>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</si>
  <si>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</si>
  <si>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</si>
  <si>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</si>
  <si>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</si>
  <si>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</si>
  <si>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</si>
  <si>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</si>
  <si>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</si>
  <si>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</si>
  <si>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</si>
  <si>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</si>
  <si>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</si>
  <si>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</si>
  <si>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</si>
  <si>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</si>
  <si>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</si>
  <si>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</si>
  <si>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</si>
  <si>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</si>
  <si>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</si>
  <si>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</si>
  <si>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</si>
  <si>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</si>
  <si>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</si>
  <si>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</si>
  <si>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</si>
  <si>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</si>
  <si>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</si>
  <si>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</si>
  <si>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</si>
  <si>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</si>
  <si>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</si>
  <si>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</si>
  <si>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</si>
  <si>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</si>
  <si>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</si>
  <si>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</si>
  <si>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</si>
  <si>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</si>
  <si>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</si>
  <si>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</si>
  <si>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</si>
  <si>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</si>
  <si>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</si>
  <si>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</si>
  <si>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</si>
  <si>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</si>
  <si>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</si>
  <si>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</si>
  <si>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</si>
  <si>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</si>
  <si>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</si>
  <si>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</si>
  <si>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</si>
  <si>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</si>
  <si>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</si>
  <si>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</si>
  <si>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</si>
  <si>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</si>
  <si>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</si>
  <si>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</si>
  <si>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</si>
  <si>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</si>
  <si>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</si>
  <si>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</si>
  <si>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</si>
  <si>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</si>
  <si>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</si>
  <si>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</si>
  <si>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</si>
  <si>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</si>
  <si>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</si>
  <si>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</si>
  <si>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</si>
  <si>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</si>
  <si>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</si>
  <si>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</si>
  <si>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</si>
  <si>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</si>
  <si>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</si>
  <si>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</si>
  <si>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</si>
  <si>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</si>
  <si>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</si>
  <si>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</si>
  <si>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</si>
  <si>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</si>
  <si>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</si>
  <si>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</si>
  <si>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</si>
  <si>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</si>
  <si>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</si>
  <si>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</si>
  <si>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</si>
  <si>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</si>
  <si>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</si>
  <si>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</si>
  <si>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</si>
  <si>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</si>
  <si>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</si>
  <si>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</si>
  <si>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</si>
  <si>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</si>
  <si>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</si>
  <si>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</si>
  <si>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</si>
  <si>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</si>
  <si>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</si>
  <si>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</si>
  <si>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</si>
  <si>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</si>
  <si>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</si>
  <si>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</si>
  <si>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</si>
  <si>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</si>
  <si>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</si>
  <si>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</si>
  <si>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</si>
  <si>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</si>
  <si>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</si>
  <si>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</si>
  <si>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</si>
  <si>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</si>
  <si>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</si>
  <si>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</si>
  <si>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</si>
  <si>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</si>
  <si>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</si>
  <si>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</si>
  <si>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</si>
  <si>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</si>
  <si>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</si>
  <si>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</si>
  <si>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</si>
  <si>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</si>
  <si>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</si>
  <si>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</si>
  <si>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</si>
  <si>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</si>
  <si>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</si>
  <si>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</si>
  <si>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</si>
  <si>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</si>
  <si>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</si>
  <si>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</si>
  <si>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</si>
  <si>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</si>
  <si>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</si>
  <si>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</si>
  <si>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</si>
  <si>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</si>
  <si>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</si>
  <si>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</si>
  <si>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</si>
  <si>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</si>
  <si>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</si>
  <si>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</si>
  <si>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</si>
  <si>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</si>
  <si>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</si>
  <si>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</si>
  <si>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</si>
  <si>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</si>
  <si>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</si>
  <si>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</si>
  <si>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</si>
  <si>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</si>
  <si>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</si>
  <si>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</si>
  <si>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</si>
  <si>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</si>
  <si>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</si>
  <si>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</si>
  <si>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</si>
  <si>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</si>
  <si>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</si>
  <si>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</si>
  <si>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OUV</t>
  </si>
  <si>
    <t>Não</t>
  </si>
  <si>
    <t>NULL</t>
  </si>
  <si>
    <t>Técnico</t>
  </si>
  <si>
    <t>Excelente</t>
  </si>
  <si>
    <t>Outro</t>
  </si>
  <si>
    <t>Sim</t>
  </si>
  <si>
    <t>Não tive condições em acessar as ações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</si>
  <si>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</si>
  <si>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</si>
  <si>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</si>
  <si>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</si>
  <si>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</si>
  <si>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</si>
  <si>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</si>
  <si>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</si>
  <si>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</si>
  <si>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</si>
  <si>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</si>
  <si>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</si>
  <si>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</si>
  <si>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</si>
  <si>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</si>
  <si>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</si>
  <si>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</si>
  <si>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</si>
  <si>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</si>
  <si>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</si>
  <si>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</si>
  <si>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</si>
  <si>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</si>
  <si>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</si>
  <si>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</si>
  <si>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</si>
  <si>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</si>
  <si>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</si>
  <si>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</si>
  <si>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</si>
  <si>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</si>
  <si>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</si>
  <si>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</si>
  <si>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</si>
  <si>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</si>
  <si>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</si>
  <si>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</si>
  <si>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</si>
  <si>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</si>
  <si>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</si>
  <si>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</si>
  <si>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</si>
  <si>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</si>
  <si>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</si>
  <si>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</si>
  <si>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</si>
  <si>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</si>
  <si>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</si>
  <si>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</si>
  <si>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</si>
  <si>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</si>
  <si>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</si>
  <si>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</si>
  <si>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</si>
  <si>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</si>
  <si>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</si>
  <si>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</si>
  <si>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</si>
  <si>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</si>
  <si>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</si>
  <si>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</si>
  <si>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</si>
  <si>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</si>
  <si>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</si>
  <si>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</si>
  <si>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</si>
  <si>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</si>
  <si>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</si>
  <si>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</si>
  <si>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</si>
  <si>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</si>
  <si>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</si>
  <si>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</si>
  <si>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</si>
  <si>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</si>
  <si>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</si>
  <si>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</si>
  <si>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</si>
  <si>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</si>
  <si>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</si>
  <si>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</si>
  <si>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</si>
  <si>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</si>
  <si>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</si>
  <si>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</si>
  <si>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</si>
  <si>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</si>
  <si>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</si>
  <si>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</si>
  <si>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</si>
  <si>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</si>
  <si>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</si>
  <si>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</si>
  <si>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</si>
  <si>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</si>
  <si>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</si>
  <si>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</si>
  <si>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</si>
  <si>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</si>
  <si>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</si>
  <si>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</si>
  <si>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</si>
  <si>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</si>
  <si>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</si>
  <si>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</si>
  <si>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</si>
  <si>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</si>
  <si>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</si>
  <si>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</si>
  <si>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</si>
  <si>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</si>
  <si>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</si>
  <si>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</si>
  <si>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</si>
  <si>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</si>
  <si>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</si>
  <si>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</si>
  <si>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</si>
  <si>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</si>
  <si>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</si>
  <si>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</si>
  <si>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</si>
  <si>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</si>
  <si>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</si>
  <si>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</si>
  <si>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</si>
  <si>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</si>
  <si>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</si>
  <si>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</si>
  <si>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</si>
  <si>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</si>
  <si>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</si>
  <si>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</si>
  <si>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</si>
  <si>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</si>
  <si>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</si>
  <si>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</si>
  <si>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</si>
  <si>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</si>
  <si>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</si>
  <si>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</si>
  <si>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</si>
  <si>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</si>
  <si>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</si>
  <si>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</si>
  <si>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</si>
  <si>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</si>
  <si>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</si>
  <si>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</si>
  <si>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</si>
  <si>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</si>
  <si>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</si>
  <si>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</si>
  <si>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</si>
  <si>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</si>
  <si>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</si>
  <si>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</si>
  <si>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</si>
  <si>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</si>
  <si>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</si>
  <si>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</si>
  <si>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</si>
  <si>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</si>
  <si>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</si>
  <si>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</si>
  <si>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</si>
  <si>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</si>
  <si>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</si>
  <si>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</si>
  <si>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</si>
  <si>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</si>
  <si>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</si>
  <si>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</si>
  <si>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</si>
  <si>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</si>
  <si>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</si>
  <si>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</si>
  <si>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</si>
  <si>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</si>
  <si>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</si>
  <si>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</si>
  <si>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</si>
  <si>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</si>
  <si>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</si>
  <si>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</si>
  <si>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</si>
  <si>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</si>
  <si>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</si>
  <si>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</si>
  <si>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</si>
  <si>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</si>
  <si>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</si>
  <si>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</si>
  <si>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</si>
  <si>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</si>
  <si>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</si>
  <si>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</si>
  <si>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</si>
  <si>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</si>
  <si>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</si>
  <si>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</si>
  <si>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</si>
  <si>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</si>
  <si>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</si>
  <si>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</si>
  <si>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</si>
  <si>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</si>
  <si>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</si>
  <si>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</si>
  <si>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</si>
  <si>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</si>
  <si>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</si>
  <si>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</si>
  <si>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</si>
  <si>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</si>
  <si>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</si>
  <si>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</si>
  <si>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</si>
  <si>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</si>
  <si>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</si>
  <si>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</si>
  <si>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</si>
  <si>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</si>
  <si>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</si>
  <si>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</si>
  <si>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</si>
  <si>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</si>
  <si>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</si>
  <si>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</si>
  <si>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</si>
  <si>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</si>
  <si>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</si>
  <si>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</si>
  <si>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</si>
  <si>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</si>
  <si>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</si>
  <si>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</si>
  <si>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</si>
  <si>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</si>
  <si>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</si>
  <si>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</si>
  <si>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</si>
  <si>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</si>
  <si>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</si>
  <si>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</si>
  <si>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</si>
  <si>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</si>
  <si>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</si>
  <si>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</si>
  <si>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</si>
  <si>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</si>
  <si>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</si>
  <si>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</si>
  <si>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</si>
  <si>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</si>
  <si>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</si>
  <si>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</si>
  <si>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</si>
  <si>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</si>
  <si>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</si>
  <si>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</si>
  <si>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</si>
  <si>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</si>
  <si>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</si>
  <si>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</si>
  <si>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</si>
  <si>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</si>
  <si>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</si>
  <si>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</si>
  <si>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</si>
  <si>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</si>
  <si>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</si>
  <si>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</si>
  <si>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</si>
  <si>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</si>
  <si>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</si>
  <si>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</si>
  <si>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</si>
  <si>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</si>
  <si>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</si>
  <si>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</si>
  <si>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</si>
  <si>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</si>
  <si>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</si>
  <si>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</si>
  <si>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</si>
  <si>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</si>
  <si>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</si>
  <si>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</si>
  <si>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</si>
  <si>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</si>
  <si>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</si>
  <si>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</si>
  <si>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Não sei responder</t>
  </si>
  <si>
    <t>Péssimo</t>
  </si>
  <si>
    <t>Ruim</t>
  </si>
  <si>
    <t>Bom</t>
  </si>
  <si>
    <t>Total</t>
  </si>
  <si>
    <t>Legendas</t>
  </si>
  <si>
    <t>Ações</t>
  </si>
  <si>
    <t xml:space="preserve">Não sei responder </t>
  </si>
  <si>
    <t>Não responderam</t>
  </si>
  <si>
    <t>Não se aplica</t>
  </si>
  <si>
    <t>Docente</t>
  </si>
  <si>
    <t>R1</t>
  </si>
  <si>
    <t>R2</t>
  </si>
  <si>
    <t>R3</t>
  </si>
  <si>
    <t>Legenda</t>
  </si>
  <si>
    <t>Descrição</t>
  </si>
  <si>
    <t>Não são atividades do meu interesse</t>
  </si>
  <si>
    <t>Não tive conhecimento das 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</si>
</sst>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020928"/>
        <c:axId val="225073024"/>
      </c:barChart>
      <c:catAx>
        <c:axId val="2250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73024"/>
        <c:crosses val="autoZero"/>
        <c:auto val="1"/>
        <c:lblAlgn val="ctr"/>
        <c:lblOffset val="100"/>
        <c:noMultiLvlLbl val="0"/>
      </c:catAx>
      <c:valAx>
        <c:axId val="22507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506880"/>
        <c:axId val="126508416"/>
      </c:barChart>
      <c:catAx>
        <c:axId val="12650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08416"/>
        <c:crosses val="autoZero"/>
        <c:auto val="1"/>
        <c:lblAlgn val="ctr"/>
        <c:lblOffset val="100"/>
        <c:noMultiLvlLbl val="0"/>
      </c:catAx>
      <c:valAx>
        <c:axId val="12650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0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05344"/>
        <c:axId val="126915328"/>
      </c:barChart>
      <c:catAx>
        <c:axId val="1269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15328"/>
        <c:crosses val="autoZero"/>
        <c:auto val="1"/>
        <c:lblAlgn val="ctr"/>
        <c:lblOffset val="100"/>
        <c:noMultiLvlLbl val="0"/>
      </c:catAx>
      <c:valAx>
        <c:axId val="1269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0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16960"/>
        <c:axId val="127018496"/>
      </c:barChart>
      <c:catAx>
        <c:axId val="1270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18496"/>
        <c:crosses val="autoZero"/>
        <c:auto val="1"/>
        <c:lblAlgn val="ctr"/>
        <c:lblOffset val="100"/>
        <c:noMultiLvlLbl val="0"/>
      </c:catAx>
      <c:valAx>
        <c:axId val="12701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1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05216"/>
        <c:axId val="127306752"/>
      </c:barChart>
      <c:catAx>
        <c:axId val="127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06752"/>
        <c:crosses val="autoZero"/>
        <c:auto val="1"/>
        <c:lblAlgn val="ctr"/>
        <c:lblOffset val="100"/>
        <c:noMultiLvlLbl val="0"/>
      </c:catAx>
      <c:valAx>
        <c:axId val="1273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0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26912"/>
        <c:axId val="84728448"/>
      </c:barChart>
      <c:catAx>
        <c:axId val="847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28448"/>
        <c:crosses val="autoZero"/>
        <c:auto val="1"/>
        <c:lblAlgn val="ctr"/>
        <c:lblOffset val="100"/>
        <c:noMultiLvlLbl val="0"/>
      </c:catAx>
      <c:valAx>
        <c:axId val="8472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2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613952"/>
        <c:axId val="127615744"/>
      </c:barChart>
      <c:catAx>
        <c:axId val="127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15744"/>
        <c:crosses val="autoZero"/>
        <c:auto val="1"/>
        <c:lblAlgn val="ctr"/>
        <c:lblOffset val="100"/>
        <c:noMultiLvlLbl val="0"/>
      </c:catAx>
      <c:valAx>
        <c:axId val="12761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1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71392"/>
        <c:axId val="127772928"/>
      </c:barChart>
      <c:catAx>
        <c:axId val="1277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72928"/>
        <c:crosses val="autoZero"/>
        <c:auto val="1"/>
        <c:lblAlgn val="ctr"/>
        <c:lblOffset val="100"/>
        <c:noMultiLvlLbl val="0"/>
      </c:catAx>
      <c:valAx>
        <c:axId val="1277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972864"/>
        <c:axId val="127974400"/>
      </c:barChart>
      <c:catAx>
        <c:axId val="1279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74400"/>
        <c:crosses val="autoZero"/>
        <c:auto val="1"/>
        <c:lblAlgn val="ctr"/>
        <c:lblOffset val="100"/>
        <c:noMultiLvlLbl val="0"/>
      </c:catAx>
      <c:valAx>
        <c:axId val="12797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7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96928"/>
        <c:axId val="84798464"/>
      </c:barChart>
      <c:catAx>
        <c:axId val="847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8464"/>
        <c:crosses val="autoZero"/>
        <c:auto val="1"/>
        <c:lblAlgn val="ctr"/>
        <c:lblOffset val="100"/>
        <c:noMultiLvlLbl val="0"/>
      </c:catAx>
      <c:valAx>
        <c:axId val="847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494208"/>
        <c:axId val="128496000"/>
      </c:barChart>
      <c:catAx>
        <c:axId val="1284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96000"/>
        <c:crosses val="autoZero"/>
        <c:auto val="1"/>
        <c:lblAlgn val="ctr"/>
        <c:lblOffset val="100"/>
        <c:noMultiLvlLbl val="0"/>
      </c:catAx>
      <c:valAx>
        <c:axId val="12849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9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04512"/>
        <c:axId val="128706048"/>
      </c:barChart>
      <c:catAx>
        <c:axId val="1287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6048"/>
        <c:crosses val="autoZero"/>
        <c:auto val="1"/>
        <c:lblAlgn val="ctr"/>
        <c:lblOffset val="100"/>
        <c:noMultiLvlLbl val="0"/>
      </c:catAx>
      <c:valAx>
        <c:axId val="12870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931328"/>
        <c:axId val="128932864"/>
      </c:barChart>
      <c:catAx>
        <c:axId val="1289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932864"/>
        <c:crosses val="autoZero"/>
        <c:auto val="1"/>
        <c:lblAlgn val="ctr"/>
        <c:lblOffset val="100"/>
        <c:noMultiLvlLbl val="0"/>
      </c:catAx>
      <c:valAx>
        <c:axId val="12893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93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436672"/>
        <c:axId val="129450752"/>
      </c:barChart>
      <c:catAx>
        <c:axId val="1294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50752"/>
        <c:crosses val="autoZero"/>
        <c:auto val="1"/>
        <c:lblAlgn val="ctr"/>
        <c:lblOffset val="100"/>
        <c:noMultiLvlLbl val="0"/>
      </c:catAx>
      <c:valAx>
        <c:axId val="12945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3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896832"/>
        <c:axId val="129898368"/>
      </c:barChart>
      <c:catAx>
        <c:axId val="12989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8368"/>
        <c:crosses val="autoZero"/>
        <c:auto val="1"/>
        <c:lblAlgn val="ctr"/>
        <c:lblOffset val="100"/>
        <c:noMultiLvlLbl val="0"/>
      </c:catAx>
      <c:valAx>
        <c:axId val="12989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188224"/>
        <c:axId val="131189760"/>
      </c:barChart>
      <c:catAx>
        <c:axId val="1311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89760"/>
        <c:crosses val="autoZero"/>
        <c:auto val="1"/>
        <c:lblAlgn val="ctr"/>
        <c:lblOffset val="100"/>
        <c:noMultiLvlLbl val="0"/>
      </c:catAx>
      <c:valAx>
        <c:axId val="1311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8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258240"/>
        <c:axId val="131259776"/>
      </c:barChart>
      <c:catAx>
        <c:axId val="131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59776"/>
        <c:crosses val="autoZero"/>
        <c:auto val="1"/>
        <c:lblAlgn val="ctr"/>
        <c:lblOffset val="100"/>
        <c:noMultiLvlLbl val="0"/>
      </c:catAx>
      <c:valAx>
        <c:axId val="13125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5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90784"/>
        <c:axId val="131793280"/>
      </c:barChart>
      <c:catAx>
        <c:axId val="1315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93280"/>
        <c:crosses val="autoZero"/>
        <c:auto val="1"/>
        <c:lblAlgn val="ctr"/>
        <c:lblOffset val="100"/>
        <c:noMultiLvlLbl val="0"/>
      </c:catAx>
      <c:valAx>
        <c:axId val="13179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9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526464"/>
        <c:axId val="132528000"/>
      </c:barChart>
      <c:catAx>
        <c:axId val="13252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28000"/>
        <c:crosses val="autoZero"/>
        <c:auto val="1"/>
        <c:lblAlgn val="ctr"/>
        <c:lblOffset val="100"/>
        <c:noMultiLvlLbl val="0"/>
      </c:catAx>
      <c:valAx>
        <c:axId val="13252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2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56704"/>
        <c:axId val="133258240"/>
      </c:barChart>
      <c:catAx>
        <c:axId val="1332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58240"/>
        <c:crosses val="autoZero"/>
        <c:auto val="1"/>
        <c:lblAlgn val="ctr"/>
        <c:lblOffset val="100"/>
        <c:noMultiLvlLbl val="0"/>
      </c:catAx>
      <c:valAx>
        <c:axId val="13325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5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67136"/>
        <c:axId val="133481216"/>
      </c:barChart>
      <c:catAx>
        <c:axId val="1334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81216"/>
        <c:crosses val="autoZero"/>
        <c:auto val="1"/>
        <c:lblAlgn val="ctr"/>
        <c:lblOffset val="100"/>
        <c:noMultiLvlLbl val="0"/>
      </c:catAx>
      <c:valAx>
        <c:axId val="1334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6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40864"/>
        <c:axId val="85946752"/>
      </c:barChart>
      <c:catAx>
        <c:axId val="859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6752"/>
        <c:crosses val="autoZero"/>
        <c:auto val="1"/>
        <c:lblAlgn val="ctr"/>
        <c:lblOffset val="100"/>
        <c:noMultiLvlLbl val="0"/>
      </c:catAx>
      <c:valAx>
        <c:axId val="8594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33184"/>
        <c:axId val="134334720"/>
      </c:barChart>
      <c:catAx>
        <c:axId val="1343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34720"/>
        <c:crosses val="autoZero"/>
        <c:auto val="1"/>
        <c:lblAlgn val="ctr"/>
        <c:lblOffset val="100"/>
        <c:noMultiLvlLbl val="0"/>
      </c:catAx>
      <c:valAx>
        <c:axId val="1343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3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59136"/>
        <c:axId val="136065024"/>
      </c:barChart>
      <c:catAx>
        <c:axId val="1360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65024"/>
        <c:crosses val="autoZero"/>
        <c:auto val="1"/>
        <c:lblAlgn val="ctr"/>
        <c:lblOffset val="100"/>
        <c:noMultiLvlLbl val="0"/>
      </c:catAx>
      <c:valAx>
        <c:axId val="1360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5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00256"/>
        <c:axId val="136402048"/>
      </c:barChart>
      <c:catAx>
        <c:axId val="1364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2048"/>
        <c:crosses val="autoZero"/>
        <c:auto val="1"/>
        <c:lblAlgn val="ctr"/>
        <c:lblOffset val="100"/>
        <c:noMultiLvlLbl val="0"/>
      </c:catAx>
      <c:valAx>
        <c:axId val="13640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37536"/>
        <c:axId val="136739072"/>
      </c:barChart>
      <c:catAx>
        <c:axId val="1367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39072"/>
        <c:crosses val="autoZero"/>
        <c:auto val="1"/>
        <c:lblAlgn val="ctr"/>
        <c:lblOffset val="100"/>
        <c:noMultiLvlLbl val="0"/>
      </c:catAx>
      <c:valAx>
        <c:axId val="13673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3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75776"/>
        <c:axId val="139132928"/>
      </c:barChart>
      <c:catAx>
        <c:axId val="1384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32928"/>
        <c:crosses val="autoZero"/>
        <c:auto val="1"/>
        <c:lblAlgn val="ctr"/>
        <c:lblOffset val="100"/>
        <c:noMultiLvlLbl val="0"/>
      </c:catAx>
      <c:valAx>
        <c:axId val="13913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7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08416"/>
        <c:axId val="139314304"/>
      </c:barChart>
      <c:catAx>
        <c:axId val="1393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14304"/>
        <c:crosses val="autoZero"/>
        <c:auto val="1"/>
        <c:lblAlgn val="ctr"/>
        <c:lblOffset val="100"/>
        <c:noMultiLvlLbl val="0"/>
      </c:catAx>
      <c:valAx>
        <c:axId val="13931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0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567296"/>
        <c:axId val="140568832"/>
      </c:barChart>
      <c:catAx>
        <c:axId val="140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568832"/>
        <c:crosses val="autoZero"/>
        <c:auto val="1"/>
        <c:lblAlgn val="ctr"/>
        <c:lblOffset val="100"/>
        <c:noMultiLvlLbl val="0"/>
      </c:catAx>
      <c:valAx>
        <c:axId val="1405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56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994432"/>
        <c:axId val="140995968"/>
      </c:barChart>
      <c:catAx>
        <c:axId val="1409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95968"/>
        <c:crosses val="autoZero"/>
        <c:auto val="1"/>
        <c:lblAlgn val="ctr"/>
        <c:lblOffset val="100"/>
        <c:noMultiLvlLbl val="0"/>
      </c:catAx>
      <c:valAx>
        <c:axId val="1409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9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98688"/>
        <c:axId val="141316864"/>
      </c:barChart>
      <c:catAx>
        <c:axId val="1412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16864"/>
        <c:crosses val="autoZero"/>
        <c:auto val="1"/>
        <c:lblAlgn val="ctr"/>
        <c:lblOffset val="100"/>
        <c:noMultiLvlLbl val="0"/>
      </c:catAx>
      <c:valAx>
        <c:axId val="14131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9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713792"/>
        <c:axId val="141715328"/>
      </c:barChart>
      <c:catAx>
        <c:axId val="1417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15328"/>
        <c:crosses val="autoZero"/>
        <c:auto val="1"/>
        <c:lblAlgn val="ctr"/>
        <c:lblOffset val="100"/>
        <c:noMultiLvlLbl val="0"/>
      </c:catAx>
      <c:valAx>
        <c:axId val="1417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1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47488"/>
        <c:axId val="86849024"/>
      </c:barChart>
      <c:catAx>
        <c:axId val="868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49024"/>
        <c:crosses val="autoZero"/>
        <c:auto val="1"/>
        <c:lblAlgn val="ctr"/>
        <c:lblOffset val="100"/>
        <c:noMultiLvlLbl val="0"/>
      </c:catAx>
      <c:valAx>
        <c:axId val="8684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4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120448"/>
        <c:axId val="142121984"/>
      </c:barChart>
      <c:catAx>
        <c:axId val="1421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121984"/>
        <c:crosses val="autoZero"/>
        <c:auto val="1"/>
        <c:lblAlgn val="ctr"/>
        <c:lblOffset val="100"/>
        <c:noMultiLvlLbl val="0"/>
      </c:catAx>
      <c:valAx>
        <c:axId val="14212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12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862400"/>
        <c:axId val="143896960"/>
      </c:barChart>
      <c:catAx>
        <c:axId val="1438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96960"/>
        <c:crosses val="autoZero"/>
        <c:auto val="1"/>
        <c:lblAlgn val="ctr"/>
        <c:lblOffset val="100"/>
        <c:noMultiLvlLbl val="0"/>
      </c:catAx>
      <c:valAx>
        <c:axId val="14389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6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18592"/>
        <c:axId val="145520128"/>
      </c:barChart>
      <c:catAx>
        <c:axId val="1455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20128"/>
        <c:crosses val="autoZero"/>
        <c:auto val="1"/>
        <c:lblAlgn val="ctr"/>
        <c:lblOffset val="100"/>
        <c:noMultiLvlLbl val="0"/>
      </c:catAx>
      <c:valAx>
        <c:axId val="1455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1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93888"/>
        <c:axId val="146295424"/>
      </c:barChart>
      <c:catAx>
        <c:axId val="1462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95424"/>
        <c:crosses val="autoZero"/>
        <c:auto val="1"/>
        <c:lblAlgn val="ctr"/>
        <c:lblOffset val="100"/>
        <c:noMultiLvlLbl val="0"/>
      </c:catAx>
      <c:valAx>
        <c:axId val="14629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9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937536"/>
        <c:axId val="147943424"/>
      </c:barChart>
      <c:catAx>
        <c:axId val="1479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943424"/>
        <c:crosses val="autoZero"/>
        <c:auto val="1"/>
        <c:lblAlgn val="ctr"/>
        <c:lblOffset val="100"/>
        <c:noMultiLvlLbl val="0"/>
      </c:catAx>
      <c:valAx>
        <c:axId val="14794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93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586496"/>
        <c:axId val="148588032"/>
      </c:barChart>
      <c:catAx>
        <c:axId val="1485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88032"/>
        <c:crosses val="autoZero"/>
        <c:auto val="1"/>
        <c:lblAlgn val="ctr"/>
        <c:lblOffset val="100"/>
        <c:noMultiLvlLbl val="0"/>
      </c:catAx>
      <c:valAx>
        <c:axId val="14858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8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26752"/>
        <c:axId val="150428288"/>
      </c:barChart>
      <c:catAx>
        <c:axId val="1504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28288"/>
        <c:crosses val="autoZero"/>
        <c:auto val="1"/>
        <c:lblAlgn val="ctr"/>
        <c:lblOffset val="100"/>
        <c:noMultiLvlLbl val="0"/>
      </c:catAx>
      <c:valAx>
        <c:axId val="15042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2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37632"/>
        <c:axId val="152047616"/>
      </c:barChart>
      <c:catAx>
        <c:axId val="1520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47616"/>
        <c:crosses val="autoZero"/>
        <c:auto val="1"/>
        <c:lblAlgn val="ctr"/>
        <c:lblOffset val="100"/>
        <c:noMultiLvlLbl val="0"/>
      </c:catAx>
      <c:valAx>
        <c:axId val="15204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3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54880"/>
        <c:axId val="152556672"/>
      </c:barChart>
      <c:catAx>
        <c:axId val="15255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56672"/>
        <c:crosses val="autoZero"/>
        <c:auto val="1"/>
        <c:lblAlgn val="ctr"/>
        <c:lblOffset val="100"/>
        <c:noMultiLvlLbl val="0"/>
      </c:catAx>
      <c:valAx>
        <c:axId val="15255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5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64192"/>
        <c:axId val="153065728"/>
      </c:barChart>
      <c:catAx>
        <c:axId val="1530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65728"/>
        <c:crosses val="autoZero"/>
        <c:auto val="1"/>
        <c:lblAlgn val="ctr"/>
        <c:lblOffset val="100"/>
        <c:noMultiLvlLbl val="0"/>
      </c:catAx>
      <c:valAx>
        <c:axId val="1530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6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18400"/>
        <c:axId val="88119936"/>
      </c:barChart>
      <c:catAx>
        <c:axId val="881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19936"/>
        <c:crosses val="autoZero"/>
        <c:auto val="1"/>
        <c:lblAlgn val="ctr"/>
        <c:lblOffset val="100"/>
        <c:noMultiLvlLbl val="0"/>
      </c:catAx>
      <c:valAx>
        <c:axId val="8811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1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14624"/>
        <c:axId val="154316160"/>
      </c:barChart>
      <c:catAx>
        <c:axId val="15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16160"/>
        <c:crosses val="autoZero"/>
        <c:auto val="1"/>
        <c:lblAlgn val="ctr"/>
        <c:lblOffset val="100"/>
        <c:noMultiLvlLbl val="0"/>
      </c:catAx>
      <c:valAx>
        <c:axId val="15431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1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9988736"/>
        <c:axId val="160002816"/>
      </c:barChart>
      <c:catAx>
        <c:axId val="15998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02816"/>
        <c:crosses val="autoZero"/>
        <c:auto val="1"/>
        <c:lblAlgn val="ctr"/>
        <c:lblOffset val="100"/>
        <c:noMultiLvlLbl val="0"/>
      </c:catAx>
      <c:valAx>
        <c:axId val="16000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998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27392"/>
        <c:axId val="160429184"/>
      </c:barChart>
      <c:catAx>
        <c:axId val="16042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29184"/>
        <c:crosses val="autoZero"/>
        <c:auto val="1"/>
        <c:lblAlgn val="ctr"/>
        <c:lblOffset val="100"/>
        <c:noMultiLvlLbl val="0"/>
      </c:catAx>
      <c:valAx>
        <c:axId val="16042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2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97664"/>
        <c:axId val="160499200"/>
      </c:barChart>
      <c:catAx>
        <c:axId val="1604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99200"/>
        <c:crosses val="autoZero"/>
        <c:auto val="1"/>
        <c:lblAlgn val="ctr"/>
        <c:lblOffset val="100"/>
        <c:noMultiLvlLbl val="0"/>
      </c:catAx>
      <c:valAx>
        <c:axId val="16049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9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609024"/>
        <c:axId val="160610560"/>
      </c:barChart>
      <c:catAx>
        <c:axId val="1606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10560"/>
        <c:crosses val="autoZero"/>
        <c:auto val="1"/>
        <c:lblAlgn val="ctr"/>
        <c:lblOffset val="100"/>
        <c:noMultiLvlLbl val="0"/>
      </c:catAx>
      <c:valAx>
        <c:axId val="16061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0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83616"/>
        <c:axId val="161185152"/>
      </c:barChart>
      <c:catAx>
        <c:axId val="1611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85152"/>
        <c:crosses val="autoZero"/>
        <c:auto val="1"/>
        <c:lblAlgn val="ctr"/>
        <c:lblOffset val="100"/>
        <c:noMultiLvlLbl val="0"/>
      </c:catAx>
      <c:valAx>
        <c:axId val="16118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8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13696"/>
        <c:axId val="163615488"/>
      </c:barChart>
      <c:catAx>
        <c:axId val="163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15488"/>
        <c:crosses val="autoZero"/>
        <c:auto val="1"/>
        <c:lblAlgn val="ctr"/>
        <c:lblOffset val="100"/>
        <c:noMultiLvlLbl val="0"/>
      </c:catAx>
      <c:valAx>
        <c:axId val="16361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1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01536"/>
        <c:axId val="164403072"/>
      </c:barChart>
      <c:catAx>
        <c:axId val="1644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3072"/>
        <c:crosses val="autoZero"/>
        <c:auto val="1"/>
        <c:lblAlgn val="ctr"/>
        <c:lblOffset val="100"/>
        <c:noMultiLvlLbl val="0"/>
      </c:catAx>
      <c:valAx>
        <c:axId val="16440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49152"/>
        <c:axId val="164850688"/>
      </c:barChart>
      <c:catAx>
        <c:axId val="1648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50688"/>
        <c:crosses val="autoZero"/>
        <c:auto val="1"/>
        <c:lblAlgn val="ctr"/>
        <c:lblOffset val="100"/>
        <c:noMultiLvlLbl val="0"/>
      </c:catAx>
      <c:valAx>
        <c:axId val="16485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4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22336"/>
        <c:axId val="165024128"/>
      </c:barChart>
      <c:catAx>
        <c:axId val="1650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24128"/>
        <c:crosses val="autoZero"/>
        <c:auto val="1"/>
        <c:lblAlgn val="ctr"/>
        <c:lblOffset val="100"/>
        <c:noMultiLvlLbl val="0"/>
      </c:catAx>
      <c:valAx>
        <c:axId val="1650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2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94080"/>
        <c:axId val="165295616"/>
      </c:barChart>
      <c:catAx>
        <c:axId val="1652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95616"/>
        <c:crosses val="autoZero"/>
        <c:auto val="1"/>
        <c:lblAlgn val="ctr"/>
        <c:lblOffset val="100"/>
        <c:noMultiLvlLbl val="0"/>
      </c:catAx>
      <c:valAx>
        <c:axId val="1652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9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50304"/>
        <c:axId val="166451840"/>
      </c:barChart>
      <c:catAx>
        <c:axId val="16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51840"/>
        <c:crosses val="autoZero"/>
        <c:auto val="1"/>
        <c:lblAlgn val="ctr"/>
        <c:lblOffset val="100"/>
        <c:noMultiLvlLbl val="0"/>
      </c:catAx>
      <c:valAx>
        <c:axId val="16645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5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11072"/>
        <c:axId val="88616960"/>
      </c:barChart>
      <c:catAx>
        <c:axId val="886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16960"/>
        <c:crosses val="autoZero"/>
        <c:auto val="1"/>
        <c:lblAlgn val="ctr"/>
        <c:lblOffset val="100"/>
        <c:noMultiLvlLbl val="0"/>
      </c:catAx>
      <c:valAx>
        <c:axId val="8861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1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65984"/>
        <c:axId val="168292352"/>
      </c:barChart>
      <c:catAx>
        <c:axId val="1682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92352"/>
        <c:crosses val="autoZero"/>
        <c:auto val="1"/>
        <c:lblAlgn val="ctr"/>
        <c:lblOffset val="100"/>
        <c:noMultiLvlLbl val="0"/>
      </c:catAx>
      <c:valAx>
        <c:axId val="16829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6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64800"/>
        <c:axId val="169166336"/>
      </c:barChart>
      <c:catAx>
        <c:axId val="169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66336"/>
        <c:crosses val="autoZero"/>
        <c:auto val="1"/>
        <c:lblAlgn val="ctr"/>
        <c:lblOffset val="100"/>
        <c:noMultiLvlLbl val="0"/>
      </c:catAx>
      <c:valAx>
        <c:axId val="16916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6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29504"/>
        <c:axId val="169831040"/>
      </c:barChart>
      <c:catAx>
        <c:axId val="1698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31040"/>
        <c:crosses val="autoZero"/>
        <c:auto val="1"/>
        <c:lblAlgn val="ctr"/>
        <c:lblOffset val="100"/>
        <c:noMultiLvlLbl val="0"/>
      </c:catAx>
      <c:valAx>
        <c:axId val="1698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2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31072"/>
        <c:axId val="170536960"/>
      </c:barChart>
      <c:catAx>
        <c:axId val="1705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36960"/>
        <c:crosses val="autoZero"/>
        <c:auto val="1"/>
        <c:lblAlgn val="ctr"/>
        <c:lblOffset val="100"/>
        <c:noMultiLvlLbl val="0"/>
      </c:catAx>
      <c:valAx>
        <c:axId val="17053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3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715968"/>
        <c:axId val="171725952"/>
      </c:barChart>
      <c:catAx>
        <c:axId val="1717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25952"/>
        <c:crosses val="autoZero"/>
        <c:auto val="1"/>
        <c:lblAlgn val="ctr"/>
        <c:lblOffset val="100"/>
        <c:noMultiLvlLbl val="0"/>
      </c:catAx>
      <c:valAx>
        <c:axId val="17172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49568"/>
        <c:axId val="172751104"/>
      </c:barChart>
      <c:catAx>
        <c:axId val="1727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51104"/>
        <c:crosses val="autoZero"/>
        <c:auto val="1"/>
        <c:lblAlgn val="ctr"/>
        <c:lblOffset val="100"/>
        <c:noMultiLvlLbl val="0"/>
      </c:catAx>
      <c:valAx>
        <c:axId val="17275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4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07488"/>
        <c:axId val="173809024"/>
      </c:barChart>
      <c:catAx>
        <c:axId val="1738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09024"/>
        <c:crosses val="autoZero"/>
        <c:auto val="1"/>
        <c:lblAlgn val="ctr"/>
        <c:lblOffset val="100"/>
        <c:noMultiLvlLbl val="0"/>
      </c:catAx>
      <c:valAx>
        <c:axId val="17380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0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64288"/>
        <c:axId val="173970176"/>
      </c:barChart>
      <c:catAx>
        <c:axId val="1739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70176"/>
        <c:crosses val="autoZero"/>
        <c:auto val="1"/>
        <c:lblAlgn val="ctr"/>
        <c:lblOffset val="100"/>
        <c:noMultiLvlLbl val="0"/>
      </c:catAx>
      <c:valAx>
        <c:axId val="1739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6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903680"/>
        <c:axId val="174905216"/>
      </c:barChart>
      <c:catAx>
        <c:axId val="1749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905216"/>
        <c:crosses val="autoZero"/>
        <c:auto val="1"/>
        <c:lblAlgn val="ctr"/>
        <c:lblOffset val="100"/>
        <c:noMultiLvlLbl val="0"/>
      </c:catAx>
      <c:valAx>
        <c:axId val="1749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9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703360"/>
        <c:axId val="176704896"/>
      </c:barChart>
      <c:catAx>
        <c:axId val="1767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04896"/>
        <c:crosses val="autoZero"/>
        <c:auto val="1"/>
        <c:lblAlgn val="ctr"/>
        <c:lblOffset val="100"/>
        <c:noMultiLvlLbl val="0"/>
      </c:catAx>
      <c:valAx>
        <c:axId val="1767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35104"/>
        <c:axId val="88753280"/>
      </c:barChart>
      <c:catAx>
        <c:axId val="8873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53280"/>
        <c:crosses val="autoZero"/>
        <c:auto val="1"/>
        <c:lblAlgn val="ctr"/>
        <c:lblOffset val="100"/>
        <c:noMultiLvlLbl val="0"/>
      </c:catAx>
      <c:valAx>
        <c:axId val="8875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3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310720"/>
        <c:axId val="177312512"/>
      </c:barChart>
      <c:catAx>
        <c:axId val="1773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12512"/>
        <c:crosses val="autoZero"/>
        <c:auto val="1"/>
        <c:lblAlgn val="ctr"/>
        <c:lblOffset val="100"/>
        <c:noMultiLvlLbl val="0"/>
      </c:catAx>
      <c:valAx>
        <c:axId val="1773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1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46304"/>
        <c:axId val="177747840"/>
      </c:barChart>
      <c:catAx>
        <c:axId val="1777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47840"/>
        <c:crosses val="autoZero"/>
        <c:auto val="1"/>
        <c:lblAlgn val="ctr"/>
        <c:lblOffset val="100"/>
        <c:noMultiLvlLbl val="0"/>
      </c:catAx>
      <c:valAx>
        <c:axId val="17774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4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20192"/>
        <c:axId val="178121728"/>
      </c:barChart>
      <c:catAx>
        <c:axId val="1781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21728"/>
        <c:crosses val="autoZero"/>
        <c:auto val="1"/>
        <c:lblAlgn val="ctr"/>
        <c:lblOffset val="100"/>
        <c:noMultiLvlLbl val="0"/>
      </c:catAx>
      <c:valAx>
        <c:axId val="17812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2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301568"/>
        <c:axId val="178307456"/>
      </c:barChart>
      <c:catAx>
        <c:axId val="1783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307456"/>
        <c:crosses val="autoZero"/>
        <c:auto val="1"/>
        <c:lblAlgn val="ctr"/>
        <c:lblOffset val="100"/>
        <c:noMultiLvlLbl val="0"/>
      </c:catAx>
      <c:valAx>
        <c:axId val="17830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30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625408"/>
        <c:axId val="180626944"/>
      </c:barChart>
      <c:catAx>
        <c:axId val="1806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26944"/>
        <c:crosses val="autoZero"/>
        <c:auto val="1"/>
        <c:lblAlgn val="ctr"/>
        <c:lblOffset val="100"/>
        <c:noMultiLvlLbl val="0"/>
      </c:catAx>
      <c:valAx>
        <c:axId val="18062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05216"/>
        <c:axId val="182106752"/>
      </c:barChart>
      <c:catAx>
        <c:axId val="1821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6752"/>
        <c:crosses val="autoZero"/>
        <c:auto val="1"/>
        <c:lblAlgn val="ctr"/>
        <c:lblOffset val="100"/>
        <c:noMultiLvlLbl val="0"/>
      </c:catAx>
      <c:valAx>
        <c:axId val="1821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515968"/>
        <c:axId val="182534144"/>
      </c:barChart>
      <c:catAx>
        <c:axId val="1825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34144"/>
        <c:crosses val="autoZero"/>
        <c:auto val="1"/>
        <c:lblAlgn val="ctr"/>
        <c:lblOffset val="100"/>
        <c:noMultiLvlLbl val="0"/>
      </c:catAx>
      <c:valAx>
        <c:axId val="1825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58464"/>
        <c:axId val="186172544"/>
      </c:barChart>
      <c:catAx>
        <c:axId val="1861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72544"/>
        <c:crosses val="autoZero"/>
        <c:auto val="1"/>
        <c:lblAlgn val="ctr"/>
        <c:lblOffset val="100"/>
        <c:noMultiLvlLbl val="0"/>
      </c:catAx>
      <c:valAx>
        <c:axId val="1861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5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33024"/>
        <c:axId val="187234560"/>
      </c:barChart>
      <c:catAx>
        <c:axId val="1872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34560"/>
        <c:crosses val="autoZero"/>
        <c:auto val="1"/>
        <c:lblAlgn val="ctr"/>
        <c:lblOffset val="100"/>
        <c:noMultiLvlLbl val="0"/>
      </c:catAx>
      <c:valAx>
        <c:axId val="18723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3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14816"/>
        <c:axId val="188116352"/>
      </c:barChart>
      <c:catAx>
        <c:axId val="1881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16352"/>
        <c:crosses val="autoZero"/>
        <c:auto val="1"/>
        <c:lblAlgn val="ctr"/>
        <c:lblOffset val="100"/>
        <c:noMultiLvlLbl val="0"/>
      </c:catAx>
      <c:valAx>
        <c:axId val="1881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1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91328"/>
        <c:axId val="188305408"/>
      </c:barChart>
      <c:catAx>
        <c:axId val="1882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05408"/>
        <c:crosses val="autoZero"/>
        <c:auto val="1"/>
        <c:lblAlgn val="ctr"/>
        <c:lblOffset val="100"/>
        <c:noMultiLvlLbl val="0"/>
      </c:catAx>
      <c:valAx>
        <c:axId val="18830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9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380800"/>
        <c:axId val="94382336"/>
      </c:barChart>
      <c:catAx>
        <c:axId val="9438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382336"/>
        <c:crosses val="autoZero"/>
        <c:auto val="1"/>
        <c:lblAlgn val="ctr"/>
        <c:lblOffset val="100"/>
        <c:noMultiLvlLbl val="0"/>
      </c:catAx>
      <c:valAx>
        <c:axId val="9438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438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54624"/>
        <c:axId val="188560512"/>
      </c:barChart>
      <c:catAx>
        <c:axId val="1885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60512"/>
        <c:crosses val="autoZero"/>
        <c:auto val="1"/>
        <c:lblAlgn val="ctr"/>
        <c:lblOffset val="100"/>
        <c:noMultiLvlLbl val="0"/>
      </c:catAx>
      <c:valAx>
        <c:axId val="18856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5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117184"/>
        <c:axId val="189118720"/>
      </c:barChart>
      <c:catAx>
        <c:axId val="1891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18720"/>
        <c:crosses val="autoZero"/>
        <c:auto val="1"/>
        <c:lblAlgn val="ctr"/>
        <c:lblOffset val="100"/>
        <c:noMultiLvlLbl val="0"/>
      </c:catAx>
      <c:valAx>
        <c:axId val="18911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1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457536"/>
        <c:axId val="191471616"/>
      </c:barChart>
      <c:catAx>
        <c:axId val="1914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71616"/>
        <c:crosses val="autoZero"/>
        <c:auto val="1"/>
        <c:lblAlgn val="ctr"/>
        <c:lblOffset val="100"/>
        <c:noMultiLvlLbl val="0"/>
      </c:catAx>
      <c:valAx>
        <c:axId val="19147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5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57792"/>
        <c:axId val="195863680"/>
      </c:barChart>
      <c:catAx>
        <c:axId val="1958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63680"/>
        <c:crosses val="autoZero"/>
        <c:auto val="1"/>
        <c:lblAlgn val="ctr"/>
        <c:lblOffset val="100"/>
        <c:noMultiLvlLbl val="0"/>
      </c:catAx>
      <c:valAx>
        <c:axId val="19586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5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408064"/>
        <c:axId val="196409600"/>
      </c:barChart>
      <c:catAx>
        <c:axId val="196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9600"/>
        <c:crosses val="autoZero"/>
        <c:auto val="1"/>
        <c:lblAlgn val="ctr"/>
        <c:lblOffset val="100"/>
        <c:noMultiLvlLbl val="0"/>
      </c:catAx>
      <c:valAx>
        <c:axId val="1964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055232"/>
        <c:axId val="199056768"/>
      </c:barChart>
      <c:catAx>
        <c:axId val="1990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56768"/>
        <c:crosses val="autoZero"/>
        <c:auto val="1"/>
        <c:lblAlgn val="ctr"/>
        <c:lblOffset val="100"/>
        <c:noMultiLvlLbl val="0"/>
      </c:catAx>
      <c:valAx>
        <c:axId val="1990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5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36320"/>
        <c:axId val="199738112"/>
      </c:barChart>
      <c:catAx>
        <c:axId val="1997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38112"/>
        <c:crosses val="autoZero"/>
        <c:auto val="1"/>
        <c:lblAlgn val="ctr"/>
        <c:lblOffset val="100"/>
        <c:noMultiLvlLbl val="0"/>
      </c:catAx>
      <c:valAx>
        <c:axId val="19973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999296"/>
        <c:axId val="201000832"/>
      </c:barChart>
      <c:catAx>
        <c:axId val="2009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00832"/>
        <c:crosses val="autoZero"/>
        <c:auto val="1"/>
        <c:lblAlgn val="ctr"/>
        <c:lblOffset val="100"/>
        <c:noMultiLvlLbl val="0"/>
      </c:catAx>
      <c:valAx>
        <c:axId val="2010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99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80576"/>
        <c:axId val="206282112"/>
      </c:barChart>
      <c:catAx>
        <c:axId val="2062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82112"/>
        <c:crosses val="autoZero"/>
        <c:auto val="1"/>
        <c:lblAlgn val="ctr"/>
        <c:lblOffset val="100"/>
        <c:noMultiLvlLbl val="0"/>
      </c:catAx>
      <c:valAx>
        <c:axId val="20628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79744"/>
        <c:axId val="207291136"/>
      </c:barChart>
      <c:catAx>
        <c:axId val="2068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291136"/>
        <c:crosses val="autoZero"/>
        <c:auto val="1"/>
        <c:lblAlgn val="ctr"/>
        <c:lblOffset val="100"/>
        <c:noMultiLvlLbl val="0"/>
      </c:catAx>
      <c:valAx>
        <c:axId val="20729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54944"/>
        <c:axId val="108986368"/>
      </c:barChart>
      <c:catAx>
        <c:axId val="1063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86368"/>
        <c:crosses val="autoZero"/>
        <c:auto val="1"/>
        <c:lblAlgn val="ctr"/>
        <c:lblOffset val="100"/>
        <c:noMultiLvlLbl val="0"/>
      </c:catAx>
      <c:valAx>
        <c:axId val="1089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50496"/>
        <c:axId val="207452032"/>
      </c:barChart>
      <c:catAx>
        <c:axId val="2074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52032"/>
        <c:crosses val="autoZero"/>
        <c:auto val="1"/>
        <c:lblAlgn val="ctr"/>
        <c:lblOffset val="100"/>
        <c:noMultiLvlLbl val="0"/>
      </c:catAx>
      <c:valAx>
        <c:axId val="20745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5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42176"/>
        <c:axId val="208243712"/>
      </c:barChart>
      <c:catAx>
        <c:axId val="2082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43712"/>
        <c:crosses val="autoZero"/>
        <c:auto val="1"/>
        <c:lblAlgn val="ctr"/>
        <c:lblOffset val="100"/>
        <c:noMultiLvlLbl val="0"/>
      </c:catAx>
      <c:valAx>
        <c:axId val="2082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4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93600"/>
        <c:axId val="209203584"/>
      </c:barChart>
      <c:catAx>
        <c:axId val="2091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03584"/>
        <c:crosses val="autoZero"/>
        <c:auto val="1"/>
        <c:lblAlgn val="ctr"/>
        <c:lblOffset val="100"/>
        <c:noMultiLvlLbl val="0"/>
      </c:catAx>
      <c:valAx>
        <c:axId val="20920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9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12512"/>
        <c:axId val="210114048"/>
      </c:barChart>
      <c:catAx>
        <c:axId val="2101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14048"/>
        <c:crosses val="autoZero"/>
        <c:auto val="1"/>
        <c:lblAlgn val="ctr"/>
        <c:lblOffset val="100"/>
        <c:noMultiLvlLbl val="0"/>
      </c:catAx>
      <c:valAx>
        <c:axId val="21011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1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329984"/>
        <c:axId val="210331520"/>
      </c:barChart>
      <c:catAx>
        <c:axId val="21032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31520"/>
        <c:crosses val="autoZero"/>
        <c:auto val="1"/>
        <c:lblAlgn val="ctr"/>
        <c:lblOffset val="100"/>
        <c:noMultiLvlLbl val="0"/>
      </c:catAx>
      <c:valAx>
        <c:axId val="2103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2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25056"/>
        <c:axId val="210926592"/>
      </c:barChart>
      <c:catAx>
        <c:axId val="2109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26592"/>
        <c:crosses val="autoZero"/>
        <c:auto val="1"/>
        <c:lblAlgn val="ctr"/>
        <c:lblOffset val="100"/>
        <c:noMultiLvlLbl val="0"/>
      </c:catAx>
      <c:valAx>
        <c:axId val="21092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2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76064"/>
        <c:axId val="211190144"/>
      </c:barChart>
      <c:catAx>
        <c:axId val="2111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90144"/>
        <c:crosses val="autoZero"/>
        <c:auto val="1"/>
        <c:lblAlgn val="ctr"/>
        <c:lblOffset val="100"/>
        <c:noMultiLvlLbl val="0"/>
      </c:catAx>
      <c:valAx>
        <c:axId val="2111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7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595264"/>
        <c:axId val="211596800"/>
      </c:barChart>
      <c:catAx>
        <c:axId val="2115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96800"/>
        <c:crosses val="autoZero"/>
        <c:auto val="1"/>
        <c:lblAlgn val="ctr"/>
        <c:lblOffset val="100"/>
        <c:noMultiLvlLbl val="0"/>
      </c:catAx>
      <c:valAx>
        <c:axId val="21159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9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518016"/>
        <c:axId val="212519552"/>
      </c:barChart>
      <c:catAx>
        <c:axId val="2125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9552"/>
        <c:crosses val="autoZero"/>
        <c:auto val="1"/>
        <c:lblAlgn val="ctr"/>
        <c:lblOffset val="100"/>
        <c:noMultiLvlLbl val="0"/>
      </c:catAx>
      <c:valAx>
        <c:axId val="2125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977728"/>
        <c:axId val="213991808"/>
      </c:barChart>
      <c:catAx>
        <c:axId val="2139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91808"/>
        <c:crosses val="autoZero"/>
        <c:auto val="1"/>
        <c:lblAlgn val="ctr"/>
        <c:lblOffset val="100"/>
        <c:noMultiLvlLbl val="0"/>
      </c:catAx>
      <c:valAx>
        <c:axId val="21399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7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35584"/>
        <c:axId val="109237376"/>
      </c:barChart>
      <c:catAx>
        <c:axId val="1092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7376"/>
        <c:crosses val="autoZero"/>
        <c:auto val="1"/>
        <c:lblAlgn val="ctr"/>
        <c:lblOffset val="100"/>
        <c:noMultiLvlLbl val="0"/>
      </c:catAx>
      <c:valAx>
        <c:axId val="1092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73632"/>
        <c:axId val="109575168"/>
      </c:barChart>
      <c:catAx>
        <c:axId val="1095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5168"/>
        <c:crosses val="autoZero"/>
        <c:auto val="1"/>
        <c:lblAlgn val="ctr"/>
        <c:lblOffset val="100"/>
        <c:noMultiLvlLbl val="0"/>
      </c:catAx>
      <c:valAx>
        <c:axId val="1095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75392"/>
        <c:axId val="83677184"/>
      </c:barChart>
      <c:catAx>
        <c:axId val="836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77184"/>
        <c:crosses val="autoZero"/>
        <c:auto val="1"/>
        <c:lblAlgn val="ctr"/>
        <c:lblOffset val="100"/>
        <c:noMultiLvlLbl val="0"/>
      </c:catAx>
      <c:valAx>
        <c:axId val="8367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7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87776"/>
        <c:axId val="109793664"/>
      </c:barChart>
      <c:catAx>
        <c:axId val="1097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93664"/>
        <c:crosses val="autoZero"/>
        <c:auto val="1"/>
        <c:lblAlgn val="ctr"/>
        <c:lblOffset val="100"/>
        <c:noMultiLvlLbl val="0"/>
      </c:catAx>
      <c:valAx>
        <c:axId val="10979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8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108672"/>
        <c:axId val="110110208"/>
      </c:barChart>
      <c:catAx>
        <c:axId val="1101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10208"/>
        <c:crosses val="autoZero"/>
        <c:auto val="1"/>
        <c:lblAlgn val="ctr"/>
        <c:lblOffset val="100"/>
        <c:noMultiLvlLbl val="0"/>
      </c:catAx>
      <c:valAx>
        <c:axId val="11011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0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45760"/>
        <c:axId val="117447296"/>
      </c:barChart>
      <c:catAx>
        <c:axId val="1174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47296"/>
        <c:crosses val="autoZero"/>
        <c:auto val="1"/>
        <c:lblAlgn val="ctr"/>
        <c:lblOffset val="100"/>
        <c:noMultiLvlLbl val="0"/>
      </c:catAx>
      <c:valAx>
        <c:axId val="11744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4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48224"/>
        <c:axId val="84558208"/>
      </c:barChart>
      <c:catAx>
        <c:axId val="845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8208"/>
        <c:crosses val="autoZero"/>
        <c:auto val="1"/>
        <c:lblAlgn val="ctr"/>
        <c:lblOffset val="100"/>
        <c:noMultiLvlLbl val="0"/>
      </c:catAx>
      <c:valAx>
        <c:axId val="8455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4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036160"/>
        <c:axId val="119050240"/>
      </c:barChart>
      <c:catAx>
        <c:axId val="1190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050240"/>
        <c:crosses val="autoZero"/>
        <c:auto val="1"/>
        <c:lblAlgn val="ctr"/>
        <c:lblOffset val="100"/>
        <c:noMultiLvlLbl val="0"/>
      </c:catAx>
      <c:valAx>
        <c:axId val="11905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03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589888"/>
        <c:axId val="119599872"/>
      </c:barChart>
      <c:catAx>
        <c:axId val="1195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99872"/>
        <c:crosses val="autoZero"/>
        <c:auto val="1"/>
        <c:lblAlgn val="ctr"/>
        <c:lblOffset val="100"/>
        <c:noMultiLvlLbl val="0"/>
      </c:catAx>
      <c:valAx>
        <c:axId val="1195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8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92704"/>
        <c:axId val="119994240"/>
      </c:barChart>
      <c:catAx>
        <c:axId val="11999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94240"/>
        <c:crosses val="autoZero"/>
        <c:auto val="1"/>
        <c:lblAlgn val="ctr"/>
        <c:lblOffset val="100"/>
        <c:noMultiLvlLbl val="0"/>
      </c:catAx>
      <c:valAx>
        <c:axId val="1199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9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49120"/>
        <c:axId val="120150656"/>
      </c:barChart>
      <c:catAx>
        <c:axId val="1201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50656"/>
        <c:crosses val="autoZero"/>
        <c:auto val="1"/>
        <c:lblAlgn val="ctr"/>
        <c:lblOffset val="100"/>
        <c:noMultiLvlLbl val="0"/>
      </c:catAx>
      <c:valAx>
        <c:axId val="12015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4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596736"/>
        <c:axId val="120614912"/>
      </c:barChart>
      <c:catAx>
        <c:axId val="1205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14912"/>
        <c:crosses val="autoZero"/>
        <c:auto val="1"/>
        <c:lblAlgn val="ctr"/>
        <c:lblOffset val="100"/>
        <c:noMultiLvlLbl val="0"/>
      </c:catAx>
      <c:valAx>
        <c:axId val="1206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5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70560"/>
        <c:axId val="120772096"/>
      </c:barChart>
      <c:catAx>
        <c:axId val="1207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72096"/>
        <c:crosses val="autoZero"/>
        <c:auto val="1"/>
        <c:lblAlgn val="ctr"/>
        <c:lblOffset val="100"/>
        <c:noMultiLvlLbl val="0"/>
      </c:catAx>
      <c:valAx>
        <c:axId val="12077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7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181312"/>
        <c:axId val="121182848"/>
      </c:barChart>
      <c:catAx>
        <c:axId val="1211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82848"/>
        <c:crosses val="autoZero"/>
        <c:auto val="1"/>
        <c:lblAlgn val="ctr"/>
        <c:lblOffset val="100"/>
        <c:noMultiLvlLbl val="0"/>
      </c:catAx>
      <c:valAx>
        <c:axId val="1211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8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653504"/>
        <c:axId val="121671680"/>
      </c:barChart>
      <c:catAx>
        <c:axId val="1216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71680"/>
        <c:crosses val="autoZero"/>
        <c:auto val="1"/>
        <c:lblAlgn val="ctr"/>
        <c:lblOffset val="100"/>
        <c:noMultiLvlLbl val="0"/>
      </c:catAx>
      <c:valAx>
        <c:axId val="1216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5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36512"/>
        <c:axId val="121946496"/>
      </c:barChart>
      <c:catAx>
        <c:axId val="1219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46496"/>
        <c:crosses val="autoZero"/>
        <c:auto val="1"/>
        <c:lblAlgn val="ctr"/>
        <c:lblOffset val="100"/>
        <c:noMultiLvlLbl val="0"/>
      </c:catAx>
      <c:valAx>
        <c:axId val="12194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3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298752"/>
        <c:axId val="122300288"/>
      </c:barChart>
      <c:catAx>
        <c:axId val="12229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00288"/>
        <c:crosses val="autoZero"/>
        <c:auto val="1"/>
        <c:lblAlgn val="ctr"/>
        <c:lblOffset val="100"/>
        <c:noMultiLvlLbl val="0"/>
      </c:catAx>
      <c:valAx>
        <c:axId val="12230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29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352960"/>
        <c:axId val="123354496"/>
      </c:barChart>
      <c:catAx>
        <c:axId val="1233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54496"/>
        <c:crosses val="autoZero"/>
        <c:auto val="1"/>
        <c:lblAlgn val="ctr"/>
        <c:lblOffset val="100"/>
        <c:noMultiLvlLbl val="0"/>
      </c:catAx>
      <c:valAx>
        <c:axId val="1233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5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68800"/>
        <c:axId val="84670336"/>
      </c:barChart>
      <c:catAx>
        <c:axId val="846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0336"/>
        <c:crosses val="autoZero"/>
        <c:auto val="1"/>
        <c:lblAlgn val="ctr"/>
        <c:lblOffset val="100"/>
        <c:noMultiLvlLbl val="0"/>
      </c:catAx>
      <c:valAx>
        <c:axId val="8467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6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79776"/>
        <c:axId val="123585664"/>
      </c:barChart>
      <c:catAx>
        <c:axId val="1235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85664"/>
        <c:crosses val="autoZero"/>
        <c:auto val="1"/>
        <c:lblAlgn val="ctr"/>
        <c:lblOffset val="100"/>
        <c:noMultiLvlLbl val="0"/>
      </c:catAx>
      <c:valAx>
        <c:axId val="12358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712256"/>
        <c:axId val="123713792"/>
      </c:barChart>
      <c:catAx>
        <c:axId val="1237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13792"/>
        <c:crosses val="autoZero"/>
        <c:auto val="1"/>
        <c:lblAlgn val="ctr"/>
        <c:lblOffset val="100"/>
        <c:noMultiLvlLbl val="0"/>
      </c:catAx>
      <c:valAx>
        <c:axId val="12371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1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42176"/>
        <c:axId val="124248064"/>
      </c:barChart>
      <c:catAx>
        <c:axId val="1242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48064"/>
        <c:crosses val="autoZero"/>
        <c:auto val="1"/>
        <c:lblAlgn val="ctr"/>
        <c:lblOffset val="100"/>
        <c:noMultiLvlLbl val="0"/>
      </c:catAx>
      <c:valAx>
        <c:axId val="1242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4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89728"/>
        <c:axId val="124491264"/>
      </c:barChart>
      <c:catAx>
        <c:axId val="124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91264"/>
        <c:crosses val="autoZero"/>
        <c:auto val="1"/>
        <c:lblAlgn val="ctr"/>
        <c:lblOffset val="100"/>
        <c:noMultiLvlLbl val="0"/>
      </c:catAx>
      <c:valAx>
        <c:axId val="12449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8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880384"/>
        <c:axId val="124881920"/>
      </c:barChart>
      <c:catAx>
        <c:axId val="12488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81920"/>
        <c:crosses val="autoZero"/>
        <c:auto val="1"/>
        <c:lblAlgn val="ctr"/>
        <c:lblOffset val="100"/>
        <c:noMultiLvlLbl val="0"/>
      </c:catAx>
      <c:valAx>
        <c:axId val="1248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8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274752"/>
        <c:axId val="125280640"/>
      </c:barChart>
      <c:catAx>
        <c:axId val="12527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80640"/>
        <c:crosses val="autoZero"/>
        <c:auto val="1"/>
        <c:lblAlgn val="ctr"/>
        <c:lblOffset val="100"/>
        <c:noMultiLvlLbl val="0"/>
      </c:catAx>
      <c:valAx>
        <c:axId val="12528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7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644160"/>
        <c:axId val="125645952"/>
      </c:barChart>
      <c:catAx>
        <c:axId val="1256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5952"/>
        <c:crosses val="autoZero"/>
        <c:auto val="1"/>
        <c:lblAlgn val="ctr"/>
        <c:lblOffset val="100"/>
        <c:noMultiLvlLbl val="0"/>
      </c:catAx>
      <c:valAx>
        <c:axId val="12564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907712"/>
        <c:axId val="125909248"/>
      </c:barChart>
      <c:catAx>
        <c:axId val="1259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09248"/>
        <c:crosses val="autoZero"/>
        <c:auto val="1"/>
        <c:lblAlgn val="ctr"/>
        <c:lblOffset val="100"/>
        <c:noMultiLvlLbl val="0"/>
      </c:catAx>
      <c:valAx>
        <c:axId val="1259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29" sqref="C29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2</v>
      </c>
      <c r="C15" s="57">
        <v>3</v>
      </c>
      <c r="D15" s="58">
        <f>ROUND(B15/C15*100,3)</f>
        <v>66.667000000000002</v>
      </c>
    </row>
    <row r="16" spans="1:13" x14ac:dyDescent="0.2">
      <c r="A16" s="59" t="s">
        <v>17</v>
      </c>
      <c r="B16" s="57">
        <f>COUNTIF(Resp4[Vínculo],A16)</f>
        <v>0</v>
      </c>
      <c r="C16" s="57">
        <v>0</v>
      </c>
      <c r="D16" s="58" t="e">
        <f t="shared" ref="D16:D17" si="0">ROUND(B16/C16*100,3)</f>
        <v>#DIV/0!</v>
      </c>
    </row>
    <row r="17" spans="1:10" x14ac:dyDescent="0.2">
      <c r="A17" s="60" t="s">
        <v>18</v>
      </c>
      <c r="B17" s="57">
        <f>SUM(B15:B16)</f>
        <v>2</v>
      </c>
      <c r="C17" s="57">
        <f>SUM(C15:C16)</f>
        <v>3</v>
      </c>
      <c r="D17" s="58">
        <f t="shared" si="0"/>
        <v>66.667000000000002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486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COUNTIFS(Resp4[Vínculo],"tecnico",Resp4[4.04],B9)</f>
        <v>0</v>
      </c>
      <c r="D9" s="4">
        <f>COUNTIFS(Resp4[Vínculo],"docente",Resp4[4.04],B9)</f>
        <v>0</v>
      </c>
      <c r="E9" s="4">
        <f>COUNTIF(Resp4[4.04],B9)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0</v>
      </c>
      <c r="E10" s="4">
        <f>COUNTIF(Resp4[4.04],B10)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COUNTIFS(Resp4[Vínculo],"tecnico",Resp4[4.04],B11)</f>
        <v>0</v>
      </c>
      <c r="D11" s="4">
        <f>COUNTIFS(Resp4[Vínculo],"docente",Resp4[4.04],B11)</f>
        <v>0</v>
      </c>
      <c r="E11" s="4">
        <f>COUNTIF(Resp4[4.04],B11)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COUNTIFS(Resp4[Vínculo],"tecnico",Resp4[4.04],B12)</f>
        <v>0</v>
      </c>
      <c r="D12" s="4">
        <f>COUNTIFS(Resp4[Vínculo],"docente",Resp4[4.04],B12)</f>
        <v>0</v>
      </c>
      <c r="E12" s="4">
        <f>COUNTIF(Resp4[4.04],B12)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486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0</v>
      </c>
      <c r="E10" s="4">
        <f>COUNTIF(Resp4[4.103],B10)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COUNTIFS(Resp4[Vínculo],"tecnico",Resp4[4.103],B11)</f>
        <v>0</v>
      </c>
      <c r="D11" s="4">
        <f>COUNTIFS(Resp4[Vínculo],"docente",Resp4[4.103],B11)</f>
        <v>0</v>
      </c>
      <c r="E11" s="4">
        <f>COUNTIF(Resp4[4.103],B11)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COUNTIFS(Resp4[Vínculo],"tecnico",Resp4[4.103],B12)</f>
        <v>0</v>
      </c>
      <c r="D12" s="4">
        <f>COUNTIFS(Resp4[Vínculo],"docente",Resp4[4.103],B12)</f>
        <v>0</v>
      </c>
      <c r="E12" s="4">
        <f>COUNTIF(Resp4[4.103],B12)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486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COUNTIFS(Resp4[Vínculo],"tecnico",Resp4[4.104],B7)</f>
        <v>0</v>
      </c>
      <c r="D7" s="4">
        <f>COUNTIFS(Resp4[Vínculo],"docente",Resp4[4.104],B7)</f>
        <v>0</v>
      </c>
      <c r="E7" s="4">
        <f>COUNTIF(Resp4[4.104],B7)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0</v>
      </c>
      <c r="E10" s="4">
        <f>COUNTIF(Resp4[4.104],B10)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COUNTIFS(Resp4[Vínculo],"tecnico",Resp4[4.104],B11)</f>
        <v>0</v>
      </c>
      <c r="D11" s="4">
        <f>COUNTIFS(Resp4[Vínculo],"docente",Resp4[4.104],B11)</f>
        <v>0</v>
      </c>
      <c r="E11" s="4">
        <f>COUNTIF(Resp4[4.104],B11)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COUNTIFS(Resp4[Vínculo],"tecnico",Resp4[4.104],B12)</f>
        <v>0</v>
      </c>
      <c r="D12" s="4">
        <f>COUNTIFS(Resp4[Vínculo],"docente",Resp4[4.104],B12)</f>
        <v>0</v>
      </c>
      <c r="E12" s="4">
        <f>COUNTIF(Resp4[4.104],B12)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486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COUNTIFS(Resp4[Vínculo],"tecnico",Resp4[4.105],B7)</f>
        <v>0</v>
      </c>
      <c r="D7" s="4">
        <f>COUNTIFS(Resp4[Vínculo],"docente",Resp4[4.105],B7)</f>
        <v>0</v>
      </c>
      <c r="E7" s="4">
        <f>COUNTIF(Resp4[4.105],B7)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0</v>
      </c>
      <c r="E10" s="4">
        <f>COUNTIF(Resp4[4.105],B10)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COUNTIFS(Resp4[Vínculo],"tecnico",Resp4[4.105],B11)</f>
        <v>0</v>
      </c>
      <c r="D11" s="4">
        <f>COUNTIFS(Resp4[Vínculo],"docente",Resp4[4.105],B11)</f>
        <v>0</v>
      </c>
      <c r="E11" s="4">
        <f>COUNTIF(Resp4[4.105],B11)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COUNTIFS(Resp4[Vínculo],"tecnico",Resp4[4.105],B12)</f>
        <v>0</v>
      </c>
      <c r="D12" s="4">
        <f>COUNTIFS(Resp4[Vínculo],"docente",Resp4[4.105],B12)</f>
        <v>0</v>
      </c>
      <c r="E12" s="4">
        <f>COUNTIF(Resp4[4.105],B12)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486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COUNTIFS(Resp4[Vínculo],"tecnico",Resp4[4.106],B7)</f>
        <v>0</v>
      </c>
      <c r="D7" s="4">
        <f>COUNTIFS(Resp4[Vínculo],"docente",Resp4[4.106],B7)</f>
        <v>0</v>
      </c>
      <c r="E7" s="4">
        <f>COUNTIF(Resp4[4.106],B7)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COUNTIFS(Resp4[Vínculo],"tecnico",Resp4[4.106],B9)</f>
        <v>0</v>
      </c>
      <c r="D9" s="4">
        <f>COUNTIFS(Resp4[Vínculo],"docente",Resp4[4.106],B9)</f>
        <v>0</v>
      </c>
      <c r="E9" s="4">
        <f>COUNTIF(Resp4[4.106],B9)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COUNTIFS(Resp4[Vínculo],"tecnico",Resp4[4.106],B11)</f>
        <v>0</v>
      </c>
      <c r="D11" s="4">
        <f>COUNTIFS(Resp4[Vínculo],"docente",Resp4[4.106],B11)</f>
        <v>0</v>
      </c>
      <c r="E11" s="4">
        <f>COUNTIF(Resp4[4.106],B11)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COUNTIFS(Resp4[Vínculo],"tecnico",Resp4[4.106],B12)</f>
        <v>0</v>
      </c>
      <c r="D12" s="4">
        <f>COUNTIFS(Resp4[Vínculo],"docente",Resp4[4.106],B12)</f>
        <v>0</v>
      </c>
      <c r="E12" s="4">
        <f>COUNTIF(Resp4[4.106],B12)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486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COUNTIFS(Resp4[Vínculo],"tecnico",Resp4[4.107],B7)</f>
        <v>0</v>
      </c>
      <c r="D7" s="4">
        <f>COUNTIFS(Resp4[Vínculo],"docente",Resp4[4.107],B7)</f>
        <v>0</v>
      </c>
      <c r="E7" s="4">
        <f>COUNTIF(Resp4[4.107],B7)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COUNTIFS(Resp4[Vínculo],"tecnico",Resp4[4.107],B9)</f>
        <v>0</v>
      </c>
      <c r="D9" s="4">
        <f>COUNTIFS(Resp4[Vínculo],"docente",Resp4[4.107],B9)</f>
        <v>0</v>
      </c>
      <c r="E9" s="4">
        <f>COUNTIF(Resp4[4.107],B9)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COUNTIFS(Resp4[Vínculo],"tecnico",Resp4[4.107],B11)</f>
        <v>0</v>
      </c>
      <c r="D11" s="4">
        <f>COUNTIFS(Resp4[Vínculo],"docente",Resp4[4.107],B11)</f>
        <v>0</v>
      </c>
      <c r="E11" s="4">
        <f>COUNTIF(Resp4[4.107],B11)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COUNTIFS(Resp4[Vínculo],"tecnico",Resp4[4.107],B12)</f>
        <v>0</v>
      </c>
      <c r="D12" s="4">
        <f>COUNTIFS(Resp4[Vínculo],"docente",Resp4[4.107],B12)</f>
        <v>0</v>
      </c>
      <c r="E12" s="4">
        <f>COUNTIF(Resp4[4.107],B12)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486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COUNTIFS(Resp4[Vínculo],"tecnico",Resp4[4.108],B7)</f>
        <v>0</v>
      </c>
      <c r="D7" s="4">
        <f>COUNTIFS(Resp4[Vínculo],"docente",Resp4[4.108],B7)</f>
        <v>0</v>
      </c>
      <c r="E7" s="4">
        <f>COUNTIF(Resp4[4.108],B7)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0</v>
      </c>
      <c r="E10" s="4">
        <f>COUNTIF(Resp4[4.108],B10)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COUNTIFS(Resp4[Vínculo],"tecnico",Resp4[4.108],B11)</f>
        <v>0</v>
      </c>
      <c r="D11" s="4">
        <f>COUNTIFS(Resp4[Vínculo],"docente",Resp4[4.108],B11)</f>
        <v>0</v>
      </c>
      <c r="E11" s="4">
        <f>COUNTIF(Resp4[4.108],B11)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COUNTIFS(Resp4[Vínculo],"tecnico",Resp4[4.108],B12)</f>
        <v>0</v>
      </c>
      <c r="D12" s="4">
        <f>COUNTIFS(Resp4[Vínculo],"docente",Resp4[4.108],B12)</f>
        <v>0</v>
      </c>
      <c r="E12" s="4">
        <f>COUNTIF(Resp4[4.108],B12)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486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COUNTIFS(Resp4[Vínculo],"tecnico",Resp4[4.109],B7)</f>
        <v>0</v>
      </c>
      <c r="D7" s="4">
        <f>COUNTIFS(Resp4[Vínculo],"docente",Resp4[4.109],B7)</f>
        <v>0</v>
      </c>
      <c r="E7" s="4">
        <f>COUNTIF(Resp4[4.109],B7)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0</v>
      </c>
      <c r="E10" s="4">
        <f>COUNTIF(Resp4[4.109],B10)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COUNTIFS(Resp4[Vínculo],"tecnico",Resp4[4.109],B11)</f>
        <v>0</v>
      </c>
      <c r="D11" s="4">
        <f>COUNTIFS(Resp4[Vínculo],"docente",Resp4[4.109],B11)</f>
        <v>0</v>
      </c>
      <c r="E11" s="4">
        <f>COUNTIF(Resp4[4.109],B11)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COUNTIFS(Resp4[Vínculo],"tecnico",Resp4[4.109],B12)</f>
        <v>0</v>
      </c>
      <c r="D12" s="4">
        <f>COUNTIFS(Resp4[Vínculo],"docente",Resp4[4.109],B12)</f>
        <v>0</v>
      </c>
      <c r="E12" s="4">
        <f>COUNTIF(Resp4[4.109],B12)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486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COUNTIFS(Resp4[Vínculo],"tecnico",Resp4[4.110],B7)</f>
        <v>0</v>
      </c>
      <c r="D7" s="4">
        <f>COUNTIFS(Resp4[Vínculo],"docente",Resp4[4.110],B7)</f>
        <v>0</v>
      </c>
      <c r="E7" s="4">
        <f>COUNTIF(Resp4[4.110],B7)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0</v>
      </c>
      <c r="E10" s="4">
        <f>COUNTIF(Resp4[4.110],B10)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COUNTIFS(Resp4[Vínculo],"tecnico",Resp4[4.110],B11)</f>
        <v>0</v>
      </c>
      <c r="D11" s="4">
        <f>COUNTIFS(Resp4[Vínculo],"docente",Resp4[4.110],B11)</f>
        <v>0</v>
      </c>
      <c r="E11" s="4">
        <f>COUNTIF(Resp4[4.110],B11)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COUNTIFS(Resp4[Vínculo],"tecnico",Resp4[4.110],B12)</f>
        <v>0</v>
      </c>
      <c r="D12" s="4">
        <f>COUNTIFS(Resp4[Vínculo],"docente",Resp4[4.110],B12)</f>
        <v>0</v>
      </c>
      <c r="E12" s="4">
        <f>COUNTIF(Resp4[4.110],B12)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486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COUNTIFS(Resp4[Vínculo],"tecnico",Resp4[4.111],B7)</f>
        <v>0</v>
      </c>
      <c r="D7" s="4">
        <f>COUNTIFS(Resp4[Vínculo],"docente",Resp4[4.111],B7)</f>
        <v>0</v>
      </c>
      <c r="E7" s="4">
        <f>COUNTIF(Resp4[4.111],B7)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0</v>
      </c>
      <c r="E10" s="4">
        <f>COUNTIF(Resp4[4.111],B10)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COUNTIFS(Resp4[Vínculo],"tecnico",Resp4[4.111],B11)</f>
        <v>0</v>
      </c>
      <c r="D11" s="4">
        <f>COUNTIFS(Resp4[Vínculo],"docente",Resp4[4.111],B11)</f>
        <v>0</v>
      </c>
      <c r="E11" s="4">
        <f>COUNTIF(Resp4[4.111],B11)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COUNTIFS(Resp4[Vínculo],"tecnico",Resp4[4.111],B12)</f>
        <v>0</v>
      </c>
      <c r="D12" s="4">
        <f>COUNTIFS(Resp4[Vínculo],"docente",Resp4[4.111],B12)</f>
        <v>0</v>
      </c>
      <c r="E12" s="4">
        <f>COUNTIF(Resp4[4.111],B12)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486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COUNTIFS(Resp4[Vínculo],"tecnico",Resp4[4.112],B7)</f>
        <v>0</v>
      </c>
      <c r="D7" s="4">
        <f>COUNTIFS(Resp4[Vínculo],"docente",Resp4[4.112],B7)</f>
        <v>0</v>
      </c>
      <c r="E7" s="4">
        <f>COUNTIF(Resp4[4.112],B7)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0</v>
      </c>
      <c r="E10" s="4">
        <f>COUNTIF(Resp4[4.112],B10)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COUNTIFS(Resp4[Vínculo],"tecnico",Resp4[4.112],B11)</f>
        <v>0</v>
      </c>
      <c r="D11" s="4">
        <f>COUNTIFS(Resp4[Vínculo],"docente",Resp4[4.112],B11)</f>
        <v>0</v>
      </c>
      <c r="E11" s="4">
        <f>COUNTIF(Resp4[4.112],B11)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COUNTIFS(Resp4[Vínculo],"tecnico",Resp4[4.112],B12)</f>
        <v>0</v>
      </c>
      <c r="D12" s="4">
        <f>COUNTIFS(Resp4[Vínculo],"docente",Resp4[4.112],B12)</f>
        <v>0</v>
      </c>
      <c r="E12" s="4">
        <f>COUNTIF(Resp4[4.112],B12)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486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COUNTIFS(Resp4[Vínculo],"tecnico",Resp4[4.05],B7)</f>
        <v>0</v>
      </c>
      <c r="D7" s="4">
        <f>COUNTIFS(Resp4[Vínculo],"docente",Resp4[4.05],B7)</f>
        <v>0</v>
      </c>
      <c r="E7" s="4">
        <f>COUNTIF(Resp4[4.05],B7)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0</v>
      </c>
      <c r="E10" s="4">
        <f>COUNTIF(Resp4[4.05],B10)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COUNTIFS(Resp4[Vínculo],"tecnico",Resp4[4.02],B$11)</f>
        <v>0</v>
      </c>
      <c r="D11" s="4">
        <f>COUNTIFS(Resp4[Vínculo],"docente",Resp4[4.05],B11)</f>
        <v>0</v>
      </c>
      <c r="E11" s="4">
        <f>COUNTIF(Resp4[4.05],B11)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COUNTIFS(Resp4[Vínculo],"docente",Resp4[4.05],B12)</f>
        <v>0</v>
      </c>
      <c r="E12" s="4">
        <f>COUNTIF(Resp4[4.05],B12)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0</v>
      </c>
      <c r="D7" s="4">
        <f>COUNTIFS(Resp4[Vínculo],"docente",Resp4[4.114],B7)</f>
        <v>0</v>
      </c>
      <c r="E7" s="2">
        <f>COUNTIF(Resp4[4.114],B7)</f>
        <v>0</v>
      </c>
      <c r="F7" s="15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2</v>
      </c>
      <c r="D8" s="4">
        <f>COUNTIFS(Resp4[Vínculo],"docente",Resp4[4.114],B8)</f>
        <v>0</v>
      </c>
      <c r="E8" s="2">
        <f>COUNTIF(Resp4[4.114],B8)</f>
        <v>2</v>
      </c>
      <c r="F8" s="19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486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486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486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486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486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COUNTIFS(Resp4[Vínculo],"tecnico",Resp4[4.119],B11)</f>
        <v>0</v>
      </c>
      <c r="D11" s="4">
        <f>COUNTIFS(Resp4[Vínculo],"docente",Resp4[4.119],B11)</f>
        <v>0</v>
      </c>
      <c r="E11" s="4">
        <f>COUNTIF(Resp4[4.119],B11)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COUNTIFS(Resp4[Vínculo],"tecnico",Resp4[4.119],B12)</f>
        <v>0</v>
      </c>
      <c r="D12" s="4">
        <f>COUNTIFS(Resp4[Vínculo],"docente",Resp4[4.119],B12)</f>
        <v>0</v>
      </c>
      <c r="E12" s="4">
        <f>COUNTIF(Resp4[4.119],B12)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486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COUNTIFS(Resp4[Vínculo],"tecnico",Resp4[4.120],B11)</f>
        <v>0</v>
      </c>
      <c r="D11" s="4">
        <f>COUNTIFS(Resp4[Vínculo],"docente",Resp4[4.120],B11)</f>
        <v>0</v>
      </c>
      <c r="E11" s="4">
        <f>COUNTIF(Resp4[4.120],B11)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COUNTIFS(Resp4[Vínculo],"tecnico",Resp4[4.120],B12)</f>
        <v>0</v>
      </c>
      <c r="D12" s="4">
        <f>COUNTIFS(Resp4[Vínculo],"docente",Resp4[4.120],B12)</f>
        <v>0</v>
      </c>
      <c r="E12" s="4">
        <f>COUNTIF(Resp4[4.120],B12)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486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486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COUNTIFS(Resp4[Vínculo],"tecnico",Resp4[4.122],B11)</f>
        <v>0</v>
      </c>
      <c r="D11" s="4">
        <f>COUNTIFS(Resp4[Vínculo],"docente",Resp4[4.122],B11)</f>
        <v>0</v>
      </c>
      <c r="E11" s="4">
        <f>COUNTIF(Resp4[4.122],B11)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COUNTIFS(Resp4[Vínculo],"tecnico",Resp4[4.122],B12)</f>
        <v>0</v>
      </c>
      <c r="D12" s="4">
        <f>COUNTIFS(Resp4[Vínculo],"docente",Resp4[4.122],B12)</f>
        <v>0</v>
      </c>
      <c r="E12" s="4">
        <f>COUNTIF(Resp4[4.122],B12)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486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486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COUNTIFS(Resp4[Vínculo],"tecnico",Resp4[4.06],B7)</f>
        <v>0</v>
      </c>
      <c r="D7" s="4">
        <f>COUNTIFS(Resp4[Vínculo],"docente",Resp4[4.06],B7)</f>
        <v>0</v>
      </c>
      <c r="E7" s="4">
        <f>COUNTIF(Resp4[4.06],B7)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0</v>
      </c>
      <c r="E10" s="4">
        <f>COUNTIF(Resp4[4.06],B10)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COUNTIFS(Resp4[Vínculo],"tecnico",Resp4[4.06],B11)</f>
        <v>0</v>
      </c>
      <c r="D11" s="4">
        <f>COUNTIFS(Resp4[Vínculo],"docente",Resp4[4.06],B11)</f>
        <v>0</v>
      </c>
      <c r="E11" s="4">
        <f>COUNTIF(Resp4[4.06],B11)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COUNTIFS(Resp4[Vínculo],"tecnico",Resp4[4.06],B12)</f>
        <v>0</v>
      </c>
      <c r="D12" s="4">
        <f>COUNTIFS(Resp4[Vínculo],"docente",Resp4[4.06],B12)</f>
        <v>0</v>
      </c>
      <c r="E12" s="4">
        <f>COUNTIF(Resp4[4.06],B12)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486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COUNTIFS(Resp4[Vínculo],"tecnico",Resp4[4.124],B11)</f>
        <v>0</v>
      </c>
      <c r="D11" s="4">
        <f>COUNTIFS(Resp4[Vínculo],"docente",Resp4[4.124],B11)</f>
        <v>0</v>
      </c>
      <c r="E11" s="4">
        <f>COUNTIF(Resp4[4.124],B11)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486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COUNTIFS(Resp4[Vínculo],"tecnico",Resp4[4.125],B12)</f>
        <v>0</v>
      </c>
      <c r="D12" s="4">
        <f>COUNTIFS(Resp4[Vínculo],"docente",Resp4[4.125],B12)</f>
        <v>0</v>
      </c>
      <c r="E12" s="4">
        <f>COUNTIF(Resp4[4.125],B12)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486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COUNTIFS(Resp4[Vínculo],"tecnico",Resp4[4.126],B12)</f>
        <v>0</v>
      </c>
      <c r="D12" s="4">
        <f>COUNTIFS(Resp4[Vínculo],"docente",Resp4[4.126],B12)</f>
        <v>0</v>
      </c>
      <c r="E12" s="4">
        <f>COUNTIF(Resp4[4.126],B12)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486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486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0</v>
      </c>
      <c r="D7" s="4">
        <f>COUNTIFS(Resp4[Vínculo],"docente",Resp4[4.130],B7)</f>
        <v>0</v>
      </c>
      <c r="E7" s="2">
        <f>COUNTIF(Resp4[4.130],B7)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2</v>
      </c>
      <c r="D8" s="4">
        <f>COUNTIFS(Resp4[Vínculo],"docente",Resp4[4.130],B8)</f>
        <v>0</v>
      </c>
      <c r="E8" s="2">
        <f>COUNTIF(Resp4[4.130],B8)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486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COUNTIFS(Resp4[Vínculo],"tecnico",Resp4[4.131],B7)</f>
        <v>0</v>
      </c>
      <c r="D7" s="4">
        <f>COUNTIFS(Resp4[Vínculo],"docente",Resp4[4.131],B7)</f>
        <v>0</v>
      </c>
      <c r="E7" s="4">
        <f>COUNTIF(Resp4[4.131],B7)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COUNTIFS(Resp4[Vínculo],"tecnico",Resp4[4.131],B8)</f>
        <v>0</v>
      </c>
      <c r="D8" s="4">
        <f>COUNTIFS(Resp4[Vínculo],"docente",Resp4[4.131],B8)</f>
        <v>0</v>
      </c>
      <c r="E8" s="4">
        <f>COUNTIF(Resp4[4.131],B8)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0</v>
      </c>
      <c r="E10" s="4">
        <f>COUNTIF(Resp4[4.131],B10)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COUNTIFS(Resp4[Vínculo],"tecnico",Resp4[4.131],B11)</f>
        <v>0</v>
      </c>
      <c r="D11" s="4">
        <f>COUNTIFS(Resp4[Vínculo],"docente",Resp4[4.131],B11)</f>
        <v>0</v>
      </c>
      <c r="E11" s="4">
        <f>COUNTIF(Resp4[4.131],B11)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486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COUNTIFS(Resp4[Vínculo],"tecnico",Resp4[4.132],B7)</f>
        <v>0</v>
      </c>
      <c r="D7" s="4">
        <f>COUNTIFS(Resp4[Vínculo],"docente",Resp4[4.132],B7)</f>
        <v>0</v>
      </c>
      <c r="E7" s="4">
        <f>COUNTIF(Resp4[4.132],B7)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COUNTIFS(Resp4[Vínculo],"tecnico",Resp4[4.132],B8)</f>
        <v>0</v>
      </c>
      <c r="D8" s="4">
        <f>COUNTIFS(Resp4[Vínculo],"docente",Resp4[4.132],B8)</f>
        <v>0</v>
      </c>
      <c r="E8" s="4">
        <f>COUNTIF(Resp4[4.132],B8)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COUNTIFS(Resp4[Vínculo],"tecnico",Resp4[4.132],B9)</f>
        <v>0</v>
      </c>
      <c r="D9" s="4">
        <f>COUNTIFS(Resp4[Vínculo],"docente",Resp4[4.132],B9)</f>
        <v>0</v>
      </c>
      <c r="E9" s="4">
        <f>COUNTIF(Resp4[4.132],B9)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0</v>
      </c>
      <c r="E10" s="4">
        <f>COUNTIF(Resp4[4.132],B10)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COUNTIFS(Resp4[Vínculo],"tecnico",Resp4[4.132],B12)</f>
        <v>0</v>
      </c>
      <c r="D12" s="4">
        <f>COUNTIFS(Resp4[Vínculo],"docente",Resp4[4.132],B12)</f>
        <v>0</v>
      </c>
      <c r="E12" s="4">
        <f>COUNTIF(Resp4[4.132],B12)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486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COUNTIFS(Resp4[Vínculo],"tecnico",Resp4[4.133],B7)</f>
        <v>0</v>
      </c>
      <c r="D7" s="4">
        <f>COUNTIFS(Resp4[Vínculo],"docente",Resp4[4.133],B7)</f>
        <v>0</v>
      </c>
      <c r="E7" s="4">
        <f>COUNTIF(Resp4[4.133],B7)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0</v>
      </c>
      <c r="E10" s="4">
        <f>COUNTIF(Resp4[4.133],B10)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COUNTIFS(Resp4[Vínculo],"tecnico",Resp4[4.133],B12)</f>
        <v>0</v>
      </c>
      <c r="D12" s="4">
        <f>COUNTIFS(Resp4[Vínculo],"docente",Resp4[4.133],B12)</f>
        <v>0</v>
      </c>
      <c r="E12" s="4">
        <f>COUNTIF(Resp4[4.133],B12)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486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COUNTIFS(Resp4[Vínculo],"tecnico",Resp4[4.134],B9)</f>
        <v>0</v>
      </c>
      <c r="D9" s="4">
        <f>COUNTIFS(Resp4[Vínculo],"docente",Resp4[4.134],B9)</f>
        <v>0</v>
      </c>
      <c r="E9" s="4">
        <f>COUNTIF(Resp4[4.134],B9)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0</v>
      </c>
      <c r="E10" s="4">
        <f>COUNTIF(Resp4[4.134],B10)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COUNTIFS(Resp4[Vínculo],"tecnico",Resp4[4.134],B11)</f>
        <v>0</v>
      </c>
      <c r="D11" s="4">
        <f>COUNTIFS(Resp4[Vínculo],"docente",Resp4[4.134],B11)</f>
        <v>0</v>
      </c>
      <c r="E11" s="4">
        <f>COUNTIF(Resp4[4.134],B11)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COUNTIFS(Resp4[Vínculo],"tecnico",Resp4[4.134],B12)</f>
        <v>0</v>
      </c>
      <c r="D12" s="4">
        <f>COUNTIFS(Resp4[Vínculo],"docente",Resp4[4.134],B12)</f>
        <v>0</v>
      </c>
      <c r="E12" s="4">
        <f>COUNTIF(Resp4[4.134],B12)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>ROUND($E13/E$13*100,2)</f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486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COUNTIFS(Resp4[Vínculo],"tecnico",Resp4[4.07],B9)</f>
        <v>0</v>
      </c>
      <c r="D9" s="4">
        <f>COUNTIFS(Resp4[Vínculo],"docente",Resp4[4.07],B9)</f>
        <v>0</v>
      </c>
      <c r="E9" s="4">
        <f>COUNTIF(Resp4[4.07],B9)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COUNTIFS(Resp4[Vínculo],"tecnico",Resp4[4.07],B11)</f>
        <v>0</v>
      </c>
      <c r="D11" s="4">
        <f>COUNTIFS(Resp4[Vínculo],"docente",Resp4[4.07],B11)</f>
        <v>0</v>
      </c>
      <c r="E11" s="4">
        <f>COUNTIF(Resp4[4.07],B11)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COUNTIFS(Resp4[Vínculo],"tecnico",Resp4[4.07],B12)</f>
        <v>0</v>
      </c>
      <c r="D12" s="4">
        <f>COUNTIFS(Resp4[Vínculo],"docente",Resp4[4.07],B12)</f>
        <v>0</v>
      </c>
      <c r="E12" s="4">
        <f>COUNTIF(Resp4[4.07],B12)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486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0</v>
      </c>
      <c r="E10" s="4">
        <f>COUNTIF(Resp4[4.135],B10)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COUNTIFS(Resp4[Vínculo],"tecnico",Resp4[4.135],B11)</f>
        <v>0</v>
      </c>
      <c r="D11" s="4">
        <f>COUNTIFS(Resp4[Vínculo],"docente",Resp4[4.135],B11)</f>
        <v>0</v>
      </c>
      <c r="E11" s="4">
        <f>COUNTIF(Resp4[4.135],B11)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COUNTIFS(Resp4[Vínculo],"tecnico",Resp4[4.135],B12)</f>
        <v>0</v>
      </c>
      <c r="D12" s="4">
        <f>COUNTIFS(Resp4[Vínculo],"docente",Resp4[4.135],B12)</f>
        <v>0</v>
      </c>
      <c r="E12" s="4">
        <f>COUNTIF(Resp4[4.135],B12)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486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COUNTIFS(Resp4[Vínculo],"tecnico",Resp4[4.136],B8)</f>
        <v>0</v>
      </c>
      <c r="D8" s="4">
        <f>COUNTIFS(Resp4[Vínculo],"docente",Resp4[4.136],B8)</f>
        <v>0</v>
      </c>
      <c r="E8" s="4">
        <f>COUNTIF(Resp4[4.136],B8)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COUNTIFS(Resp4[Vínculo],"tecnico",Resp4[4.136],B9)</f>
        <v>0</v>
      </c>
      <c r="D9" s="4">
        <f>COUNTIFS(Resp4[Vínculo],"docente",Resp4[4.136],B9)</f>
        <v>0</v>
      </c>
      <c r="E9" s="4">
        <f>COUNTIF(Resp4[4.136],B9)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0</v>
      </c>
      <c r="E10" s="4">
        <f>COUNTIF(Resp4[4.136],B10)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COUNTIFS(Resp4[Vínculo],"tecnico",Resp4[4.136],B11)</f>
        <v>0</v>
      </c>
      <c r="D11" s="4">
        <f>COUNTIFS(Resp4[Vínculo],"docente",Resp4[4.136],B11)</f>
        <v>0</v>
      </c>
      <c r="E11" s="4">
        <f>COUNTIF(Resp4[4.136],B11)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COUNTIFS(Resp4[Vínculo],"tecnico",Resp4[4.136],B12)</f>
        <v>0</v>
      </c>
      <c r="D12" s="4">
        <f>COUNTIFS(Resp4[Vínculo],"docente",Resp4[4.136],B12)</f>
        <v>0</v>
      </c>
      <c r="E12" s="4">
        <f>COUNTIF(Resp4[4.136],B12)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486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COUNTIFS(Resp4[Vínculo],"tecnico",Resp4[4.08],B7)</f>
        <v>0</v>
      </c>
      <c r="D7" s="4">
        <f>COUNTIFS(Resp4[Vínculo],"docente",Resp4[4.08],B7)</f>
        <v>0</v>
      </c>
      <c r="E7" s="4">
        <f>COUNTIF(Resp4[4.08],B7)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COUNTIFS(Resp4[Vínculo],"tecnico",Resp4[4.08],B9)</f>
        <v>0</v>
      </c>
      <c r="D9" s="4">
        <f>COUNTIFS(Resp4[Vínculo],"docente",Resp4[4.08],B9)</f>
        <v>0</v>
      </c>
      <c r="E9" s="4">
        <f>COUNTIF(Resp4[4.08],B9)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0</v>
      </c>
      <c r="E10" s="4">
        <f>COUNTIF(Resp4[4.08],B10)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COUNTIFS(Resp4[Vínculo],"tecnico",Resp4[4.08],B11)</f>
        <v>0</v>
      </c>
      <c r="D11" s="4">
        <f>COUNTIFS(Resp4[Vínculo],"docente",Resp4[4.08],B11)</f>
        <v>0</v>
      </c>
      <c r="E11" s="4">
        <f>COUNTIF(Resp4[4.08],B11)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COUNTIFS(Resp4[Vínculo],"tecnico",Resp4[4.08],B12)</f>
        <v>0</v>
      </c>
      <c r="D12" s="4">
        <f>COUNTIFS(Resp4[Vínculo],"docente",Resp4[4.08],B12)</f>
        <v>0</v>
      </c>
      <c r="E12" s="4">
        <f>COUNTIF(Resp4[4.08],B12)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486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COUNTIFS(Resp4[Vínculo],"tecnico",Resp4[4.09],B7)</f>
        <v>0</v>
      </c>
      <c r="D7" s="4">
        <f>COUNTIFS(Resp4[Vínculo],"docente",Resp4[4.09],B7)</f>
        <v>0</v>
      </c>
      <c r="E7" s="4">
        <f>COUNTIF(Resp4[4.09],B7)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COUNTIFS(Resp4[Vínculo],"tecnico",Resp4[4.09],B9)</f>
        <v>0</v>
      </c>
      <c r="D9" s="4">
        <f>COUNTIFS(Resp4[Vínculo],"docente",Resp4[4.09],B9)</f>
        <v>0</v>
      </c>
      <c r="E9" s="4">
        <f>COUNTIF(Resp4[4.09],B9)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COUNTIFS(Resp4[Vínculo],"tecnico",Resp4[4.09],B11)</f>
        <v>0</v>
      </c>
      <c r="D11" s="4">
        <f>COUNTIFS(Resp4[Vínculo],"docente",Resp4[4.09],B11)</f>
        <v>0</v>
      </c>
      <c r="E11" s="4">
        <f>COUNTIF(Resp4[4.09],B11)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COUNTIFS(Resp4[Vínculo],"tecnico",Resp4[4.09],B12)</f>
        <v>0</v>
      </c>
      <c r="D12" s="4">
        <f>COUNTIFS(Resp4[Vínculo],"docente",Resp4[4.09],B12)</f>
        <v>0</v>
      </c>
      <c r="E12" s="22">
        <f>COUNTIF(Resp4[4.09],B12)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2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486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COUNTIFS(Resp4[Vínculo],"tecnico",Resp4[4.10],B7)</f>
        <v>0</v>
      </c>
      <c r="D7" s="4">
        <f>COUNTIFS(Resp4[Vínculo],"docente",Resp4[4.10],B7)</f>
        <v>0</v>
      </c>
      <c r="E7" s="4">
        <f>COUNTIF(Resp4[4.10],B7)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COUNTIFS(Resp4[Vínculo],"tecnico",Resp4[4.10],B8)</f>
        <v>0</v>
      </c>
      <c r="D8" s="4">
        <f>COUNTIFS(Resp4[Vínculo],"docente",Resp4[4.10],B8)</f>
        <v>0</v>
      </c>
      <c r="E8" s="4">
        <f>COUNTIF(Resp4[4.10],B8)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COUNTIFS(Resp4[Vínculo],"tecnico",Resp4[4.10],B9)</f>
        <v>0</v>
      </c>
      <c r="D9" s="4">
        <f>COUNTIFS(Resp4[Vínculo],"docente",Resp4[4.10],B9)</f>
        <v>0</v>
      </c>
      <c r="E9" s="4">
        <f>COUNTIF(Resp4[4.10],B9)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0</v>
      </c>
      <c r="E10" s="4">
        <f>COUNTIF(Resp4[4.10],B10)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COUNTIFS(Resp4[Vínculo],"tecnico",Resp4[4.10],B11)</f>
        <v>0</v>
      </c>
      <c r="D11" s="4">
        <f>COUNTIFS(Resp4[Vínculo],"docente",Resp4[4.10],B11)</f>
        <v>0</v>
      </c>
      <c r="E11" s="4">
        <f>COUNTIF(Resp4[4.10],B11)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COUNTIFS(Resp4[Vínculo],"tecnico",Resp4[4.10],B12)</f>
        <v>0</v>
      </c>
      <c r="D12" s="4">
        <f>COUNTIFS(Resp4[Vínculo],"docente",Resp4[4.10],B12)</f>
        <v>0</v>
      </c>
      <c r="E12" s="4">
        <f>COUNTIF(Resp4[4.10],B12)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486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COUNTIFS(Resp4[Vínculo],"tecnico",Resp4[4.11],B7)</f>
        <v>0</v>
      </c>
      <c r="D7" s="4">
        <f>COUNTIFS(Resp4[Vínculo],"docente",Resp4[4.11],B7)</f>
        <v>0</v>
      </c>
      <c r="E7" s="4">
        <f>COUNTIF(Resp4[4.11],B7)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COUNTIFS(Resp4[Vínculo],"tecnico",Resp4[4.11],B9)</f>
        <v>0</v>
      </c>
      <c r="D9" s="4">
        <f>COUNTIFS(Resp4[Vínculo],"docente",Resp4[4.11],B9)</f>
        <v>0</v>
      </c>
      <c r="E9" s="4">
        <f>COUNTIF(Resp4[4.11],B9)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0</v>
      </c>
      <c r="E10" s="4">
        <f>COUNTIF(Resp4[4.11],B10)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COUNTIFS(Resp4[Vínculo],"tecnico",Resp4[4.11],B11)</f>
        <v>0</v>
      </c>
      <c r="D11" s="4">
        <f>COUNTIFS(Resp4[Vínculo],"docente",Resp4[4.11],B11)</f>
        <v>0</v>
      </c>
      <c r="E11" s="4">
        <f>COUNTIF(Resp4[4.11],B11)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COUNTIFS(Resp4[Vínculo],"tecnico",Resp4[4.11],B12)</f>
        <v>0</v>
      </c>
      <c r="D12" s="4">
        <f>COUNTIFS(Resp4[Vínculo],"docente",Resp4[4.11],B12)</f>
        <v>0</v>
      </c>
      <c r="E12" s="4">
        <f>COUNTIF(Resp4[4.11],B12)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486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COUNTIFS(Resp4[Vínculo],"tecnico",Resp4[4.12],B7)</f>
        <v>0</v>
      </c>
      <c r="D7" s="4">
        <f>COUNTIFS(Resp4[Vínculo],"docente",Resp4[4.12],B7)</f>
        <v>0</v>
      </c>
      <c r="E7" s="4">
        <f>COUNTIF(Resp4[4.12],B7)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COUNTIFS(Resp4[Vínculo],"tecnico",Resp4[4.12],B8)</f>
        <v>0</v>
      </c>
      <c r="D8" s="4">
        <f>COUNTIFS(Resp4[Vínculo],"docente",Resp4[4.12],B8)</f>
        <v>0</v>
      </c>
      <c r="E8" s="4">
        <f>COUNTIF(Resp4[4.12],B8)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COUNTIFS(Resp4[Vínculo],"tecnico",Resp4[4.12],B9)</f>
        <v>0</v>
      </c>
      <c r="D9" s="4">
        <f>COUNTIFS(Resp4[Vínculo],"docente",Resp4[4.12],B9)</f>
        <v>0</v>
      </c>
      <c r="E9" s="4">
        <f>COUNTIF(Resp4[4.12],B9)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0</v>
      </c>
      <c r="E10" s="4">
        <f>COUNTIF(Resp4[4.12],B10)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COUNTIFS(Resp4[Vínculo],"tecnico",Resp4[4.12],B11)</f>
        <v>0</v>
      </c>
      <c r="D11" s="4">
        <f>COUNTIFS(Resp4[Vínculo],"docente",Resp4[4.12],B11)</f>
        <v>0</v>
      </c>
      <c r="E11" s="4">
        <f>COUNTIF(Resp4[4.12],B11)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COUNTIFS(Resp4[Vínculo],"tecnico",Resp4[4.12],B12)</f>
        <v>0</v>
      </c>
      <c r="D12" s="4">
        <f>COUNTIFS(Resp4[Vínculo],"docente",Resp4[4.12],B12)</f>
        <v>0</v>
      </c>
      <c r="E12" s="4">
        <f>COUNTIF(Resp4[4.12],B12)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486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COUNTIFS(Resp4[Vínculo],"tecnico",Resp4[4.13],B9)</f>
        <v>0</v>
      </c>
      <c r="D9" s="4">
        <f>COUNTIFS(Resp4[Vínculo],"docente",Resp4[4.13],B9)</f>
        <v>0</v>
      </c>
      <c r="E9" s="4">
        <f>COUNTIF(Resp4[4.13],B9)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0</v>
      </c>
      <c r="E10" s="4">
        <f>COUNTIF(Resp4[4.13],B10)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COUNTIFS(Resp4[Vínculo],"tecnico",Resp4[4.13],B11)</f>
        <v>0</v>
      </c>
      <c r="D11" s="4">
        <f>COUNTIFS(Resp4[Vínculo],"docente",Resp4[4.13],B11)</f>
        <v>0</v>
      </c>
      <c r="E11" s="4">
        <f>COUNTIF(Resp4[4.13],B11)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COUNTIFS(Resp4[Vínculo],"tecnico",Resp4[4.13],B12)</f>
        <v>0</v>
      </c>
      <c r="D12" s="4">
        <f>COUNTIFS(Resp4[Vínculo],"docente",Resp4[4.13],B12)</f>
        <v>0</v>
      </c>
      <c r="E12" s="4">
        <f>COUNTIF(Resp4[4.13],B12)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57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197</v>
      </c>
      <c r="CB2" s="99"/>
      <c r="CC2" s="99" t="s">
        <v>198</v>
      </c>
      <c r="CD2" s="99"/>
      <c r="CE2" s="99" t="s">
        <v>199</v>
      </c>
      <c r="CF2" s="99"/>
      <c r="CG2" s="99"/>
      <c r="CH2" s="99"/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197</v>
      </c>
      <c r="BV3" s="90" t="s">
        <v>197</v>
      </c>
      <c r="BW3" s="90" t="s">
        <v>197</v>
      </c>
      <c r="BX3" s="90" t="s">
        <v>197</v>
      </c>
      <c r="BY3" s="90" t="s">
        <v>197</v>
      </c>
      <c r="BZ3" s="90" t="s">
        <v>197</v>
      </c>
      <c r="CA3" s="90" t="s">
        <v>197</v>
      </c>
      <c r="CB3" s="90"/>
      <c r="CC3" s="90" t="s">
        <v>200</v>
      </c>
      <c r="CD3" s="90"/>
      <c r="CE3" s="90" t="s">
        <v>199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100"/>
    </row>
    <row r="5" spans="1:138" ht="23.25" customHeight="1" x14ac:dyDescent="0.25">
      <c r="A5" s="101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102"/>
    </row>
    <row r="6" spans="1:138" ht="23.25" customHeight="1" x14ac:dyDescent="0.25">
      <c r="A6" s="98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100"/>
    </row>
    <row r="7" spans="1:138" ht="23.25" customHeight="1" x14ac:dyDescent="0.25">
      <c r="A7" s="101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102"/>
    </row>
    <row r="8" spans="1:138" ht="23.25" customHeight="1" x14ac:dyDescent="0.25">
      <c r="A8" s="98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100"/>
    </row>
    <row r="9" spans="1:138" ht="23.25" customHeight="1" x14ac:dyDescent="0.25">
      <c r="A9" s="101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102"/>
    </row>
    <row r="10" spans="1:138" ht="23.25" customHeight="1" x14ac:dyDescent="0.25">
      <c r="A10" s="98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100"/>
    </row>
    <row r="11" spans="1:138" ht="23.25" customHeight="1" x14ac:dyDescent="0.25">
      <c r="A11" s="10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102"/>
    </row>
    <row r="12" spans="1:138" ht="23.25" customHeight="1" x14ac:dyDescent="0.25">
      <c r="A12" s="98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100"/>
    </row>
    <row r="13" spans="1:138" ht="23.25" customHeight="1" x14ac:dyDescent="0.25">
      <c r="A13" s="101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102"/>
    </row>
    <row r="14" spans="1:138" ht="23.25" customHeight="1" x14ac:dyDescent="0.25">
      <c r="A14" s="98"/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100"/>
    </row>
    <row r="15" spans="1:138" ht="23.25" customHeight="1" x14ac:dyDescent="0.25">
      <c r="A15" s="101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102"/>
    </row>
    <row r="16" spans="1:138" ht="23.25" customHeight="1" x14ac:dyDescent="0.25">
      <c r="A16" s="98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100"/>
    </row>
    <row r="17" spans="1:138" ht="23.25" customHeight="1" x14ac:dyDescent="0.25">
      <c r="A17" s="101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102"/>
    </row>
    <row r="18" spans="1:138" ht="23.25" customHeight="1" x14ac:dyDescent="0.25">
      <c r="A18" s="98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100"/>
    </row>
    <row r="19" spans="1:138" ht="23.25" customHeight="1" x14ac:dyDescent="0.25">
      <c r="A19" s="10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102"/>
    </row>
    <row r="20" spans="1:138" ht="23.25" customHeight="1" x14ac:dyDescent="0.25">
      <c r="A20" s="98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100"/>
    </row>
    <row r="21" spans="1:138" ht="23.25" customHeight="1" x14ac:dyDescent="0.25">
      <c r="A21" s="101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102"/>
    </row>
    <row r="22" spans="1:138" ht="23.25" customHeight="1" x14ac:dyDescent="0.25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100"/>
    </row>
    <row r="23" spans="1:138" ht="23.25" customHeight="1" x14ac:dyDescent="0.25">
      <c r="A23" s="101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102"/>
    </row>
    <row r="24" spans="1:138" ht="23.25" customHeight="1" x14ac:dyDescent="0.25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100"/>
    </row>
    <row r="25" spans="1:138" ht="23.25" customHeight="1" x14ac:dyDescent="0.25">
      <c r="A25" s="101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102"/>
    </row>
    <row r="26" spans="1:138" ht="23.25" customHeight="1" x14ac:dyDescent="0.25">
      <c r="A26" s="98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100"/>
    </row>
    <row r="27" spans="1:138" ht="23.25" customHeight="1" x14ac:dyDescent="0.25">
      <c r="A27" s="101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102"/>
    </row>
    <row r="28" spans="1:138" ht="23.25" customHeight="1" x14ac:dyDescent="0.25">
      <c r="A28" s="98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100"/>
    </row>
    <row r="29" spans="1:138" ht="23.25" customHeight="1" x14ac:dyDescent="0.25">
      <c r="A29" s="101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102"/>
    </row>
    <row r="30" spans="1:138" ht="23.25" customHeight="1" x14ac:dyDescent="0.25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100"/>
    </row>
    <row r="31" spans="1:138" ht="23.25" customHeight="1" x14ac:dyDescent="0.25">
      <c r="A31" s="101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102"/>
    </row>
    <row r="32" spans="1:138" ht="23.25" customHeight="1" x14ac:dyDescent="0.25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100"/>
    </row>
    <row r="33" spans="1:138" ht="23.25" customHeight="1" x14ac:dyDescent="0.25">
      <c r="A33" s="101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102"/>
    </row>
    <row r="34" spans="1:138" ht="23.25" customHeight="1" x14ac:dyDescent="0.25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100"/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486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0</v>
      </c>
      <c r="E10" s="4">
        <f>COUNTIF(Resp4[4.14],B10)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COUNTIFS(Resp4[Vínculo],"tecnico",Resp4[4.14],B11)</f>
        <v>0</v>
      </c>
      <c r="D11" s="4">
        <f>COUNTIFS(Resp4[Vínculo],"docente",Resp4[4.14],B11)</f>
        <v>0</v>
      </c>
      <c r="E11" s="4">
        <f>COUNTIF(Resp4[4.14],B11)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COUNTIFS(Resp4[Vínculo],"tecnico",Resp4[4.14],B12)</f>
        <v>0</v>
      </c>
      <c r="D12" s="4">
        <f>COUNTIFS(Resp4[Vínculo],"docente",Resp4[4.14],B12)</f>
        <v>0</v>
      </c>
      <c r="E12" s="4">
        <f>COUNTIF(Resp4[4.14],B12)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486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COUNTIFS(Resp4[Vínculo],"tecnico",Resp4[4.15],B7)</f>
        <v>0</v>
      </c>
      <c r="D7" s="4">
        <f>COUNTIFS(Resp4[Vínculo],"docente",Resp4[4.15],B7)</f>
        <v>0</v>
      </c>
      <c r="E7" s="4">
        <f>COUNTIF(Resp4[4.15],B7)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0</v>
      </c>
      <c r="E10" s="4">
        <f>COUNTIF(Resp4[4.15],B10)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COUNTIFS(Resp4[Vínculo],"tecnico",Resp4[4.15],B11)</f>
        <v>0</v>
      </c>
      <c r="D11" s="4">
        <f>COUNTIFS(Resp4[Vínculo],"docente",Resp4[4.15],B11)</f>
        <v>0</v>
      </c>
      <c r="E11" s="4">
        <f>COUNTIF(Resp4[4.15],B11)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COUNTIFS(Resp4[Vínculo],"tecnico",Resp4[4.15],B12)</f>
        <v>0</v>
      </c>
      <c r="D12" s="4">
        <f>COUNTIFS(Resp4[Vínculo],"docente",Resp4[4.15],B12)</f>
        <v>0</v>
      </c>
      <c r="E12" s="4">
        <f>COUNTIF(Resp4[4.15],B12)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486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COUNTIFS(Resp4[Vínculo],"tecnico",Resp4[4.16],B7)</f>
        <v>0</v>
      </c>
      <c r="D7" s="4">
        <f>COUNTIFS(Resp4[Vínculo],"docente",Resp4[4.16],B7)</f>
        <v>0</v>
      </c>
      <c r="E7" s="4">
        <f>COUNTIF(Resp4[4.16],B7)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COUNTIFS(Resp4[Vínculo],"tecnico",Resp4[4.16],B9)</f>
        <v>0</v>
      </c>
      <c r="D9" s="4">
        <f>COUNTIFS(Resp4[Vínculo],"docente",Resp4[4.16],B9)</f>
        <v>0</v>
      </c>
      <c r="E9" s="4">
        <f>COUNTIF(Resp4[4.16],B9)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COUNTIFS(Resp4[Vínculo],"tecnico",Resp4[4.16],B11)</f>
        <v>0</v>
      </c>
      <c r="D11" s="4">
        <f>COUNTIFS(Resp4[Vínculo],"docente",Resp4[4.16],B11)</f>
        <v>0</v>
      </c>
      <c r="E11" s="4">
        <f>COUNTIF(Resp4[4.16],B11)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COUNTIFS(Resp4[Vínculo],"tecnico",Resp4[4.16],B12)</f>
        <v>0</v>
      </c>
      <c r="D12" s="4">
        <f>COUNTIFS(Resp4[Vínculo],"docente",Resp4[4.16],B12)</f>
        <v>0</v>
      </c>
      <c r="E12" s="4">
        <f>COUNTIF(Resp4[4.16],B12)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486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COUNTIFS(Resp4[Vínculo],"tecnico",Resp4[4.17],B7)</f>
        <v>0</v>
      </c>
      <c r="D7" s="4">
        <f>COUNTIFS(Resp4[Vínculo],"docente",Resp4[4.17],B7)</f>
        <v>0</v>
      </c>
      <c r="E7" s="4">
        <f>COUNTIF(Resp4[4.17],B7)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0</v>
      </c>
      <c r="E10" s="4">
        <f>COUNTIF(Resp4[4.17],B10)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COUNTIFS(Resp4[Vínculo],"tecnico",Resp4[4.17],B11)</f>
        <v>0</v>
      </c>
      <c r="D11" s="4">
        <f>COUNTIFS(Resp4[Vínculo],"docente",Resp4[4.17],B11)</f>
        <v>0</v>
      </c>
      <c r="E11" s="4">
        <f>COUNTIF(Resp4[4.17],B11)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COUNTIFS(Resp4[Vínculo],"tecnico",Resp4[4.17],B12)</f>
        <v>0</v>
      </c>
      <c r="D12" s="4">
        <f>COUNTIFS(Resp4[Vínculo],"docente",Resp4[4.17],B12)</f>
        <v>0</v>
      </c>
      <c r="E12" s="4">
        <f>COUNTIF(Resp4[4.17],B12)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0</v>
      </c>
      <c r="D7" s="4">
        <f>COUNTIFS(Resp4[Vínculo],"docente",Resp4[4.19],B7)</f>
        <v>0</v>
      </c>
      <c r="E7" s="2">
        <f>COUNTIF(Resp4[4.19],B7)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2</v>
      </c>
      <c r="D8" s="4">
        <f>COUNTIFS(Resp4[Vínculo],"docente",Resp4[4.19],B8)</f>
        <v>0</v>
      </c>
      <c r="E8" s="2">
        <f>COUNTIF(Resp4[4.19],B8)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486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COUNTIFS(Resp4[Vínculo],"tecnico",Resp4[4.20],B7)</f>
        <v>0</v>
      </c>
      <c r="D7" s="4">
        <f>COUNTIFS(Resp4[Vínculo],"docente",Resp4[4.20],B7)</f>
        <v>0</v>
      </c>
      <c r="E7" s="4">
        <f>COUNTIF(Resp4[4.20],B7)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COUNTIFS(Resp4[Vínculo],"tecnico",Resp4[4.20],B9)</f>
        <v>0</v>
      </c>
      <c r="D9" s="4">
        <f>COUNTIFS(Resp4[Vínculo],"docente",Resp4[4.20],B9)</f>
        <v>0</v>
      </c>
      <c r="E9" s="4">
        <f>COUNTIF(Resp4[4.20],B9)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0</v>
      </c>
      <c r="E10" s="4">
        <f>COUNTIF(Resp4[4.20],B10)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COUNTIFS(Resp4[Vínculo],"tecnico",Resp4[4.20],B11)</f>
        <v>0</v>
      </c>
      <c r="D11" s="4">
        <f>COUNTIFS(Resp4[Vínculo],"docente",Resp4[4.20],B11)</f>
        <v>0</v>
      </c>
      <c r="E11" s="4">
        <f>COUNTIF(Resp4[4.20],B11)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COUNTIFS(Resp4[Vínculo],"tecnico",Resp4[4.20],B12)</f>
        <v>0</v>
      </c>
      <c r="D12" s="4">
        <f>COUNTIFS(Resp4[Vínculo],"docente",Resp4[4.20],B12)</f>
        <v>0</v>
      </c>
      <c r="E12" s="4">
        <f>COUNTIF(Resp4[4.20],B12)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486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0</v>
      </c>
      <c r="E10" s="4">
        <f>COUNTIF(Resp4[4.21],B10)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COUNTIFS(Resp4[Vínculo],"tecnico",Resp4[4.21],B11)</f>
        <v>0</v>
      </c>
      <c r="D11" s="4">
        <f>COUNTIFS(Resp4[Vínculo],"docente",Resp4[4.21],B11)</f>
        <v>0</v>
      </c>
      <c r="E11" s="4">
        <f>COUNTIF(Resp4[4.21],B11)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COUNTIFS(Resp4[Vínculo],"tecnico",Resp4[4.21],B12)</f>
        <v>0</v>
      </c>
      <c r="D12" s="4">
        <f>COUNTIFS(Resp4[Vínculo],"docente",Resp4[4.21],B12)</f>
        <v>0</v>
      </c>
      <c r="E12" s="4">
        <f>COUNTIF(Resp4[4.21],B12)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486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COUNTIFS(Resp4[Vínculo],"tecnico",Resp4[4.22],B7)</f>
        <v>0</v>
      </c>
      <c r="D7" s="4">
        <f>COUNTIFS(Resp4[Vínculo],"docente",Resp4[4.22],B7)</f>
        <v>0</v>
      </c>
      <c r="E7" s="4">
        <f>COUNTIF(Resp4[4.22],B7)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0</v>
      </c>
      <c r="E10" s="4">
        <f>COUNTIF(Resp4[4.22],B10)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COUNTIFS(Resp4[Vínculo],"tecnico",Resp4[4.22],B11)</f>
        <v>0</v>
      </c>
      <c r="D11" s="4">
        <f>COUNTIFS(Resp4[Vínculo],"docente",Resp4[4.22],B11)</f>
        <v>0</v>
      </c>
      <c r="E11" s="4">
        <f>COUNTIF(Resp4[4.22],B11)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COUNTIFS(Resp4[Vínculo],"tecnico",Resp4[4.22],B12)</f>
        <v>0</v>
      </c>
      <c r="D12" s="4">
        <f>COUNTIFS(Resp4[Vínculo],"docente",Resp4[4.22],B12)</f>
        <v>0</v>
      </c>
      <c r="E12" s="4">
        <f>COUNTIF(Resp4[4.22],B12)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486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COUNTIFS(Resp4[Vínculo],"tecnico",Resp4[4.23],B9)</f>
        <v>0</v>
      </c>
      <c r="D9" s="4">
        <f>COUNTIFS(Resp4[Vínculo],"docente",Resp4[4.23],B9)</f>
        <v>0</v>
      </c>
      <c r="E9" s="4">
        <f>COUNTIF(Resp4[4.23],B9)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0</v>
      </c>
      <c r="E10" s="4">
        <f>COUNTIF(Resp4[4.23],B10)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COUNTIFS(Resp4[Vínculo],"tecnico",Resp4[4.23],B11)</f>
        <v>0</v>
      </c>
      <c r="D11" s="4">
        <f>COUNTIFS(Resp4[Vínculo],"docente",Resp4[4.23],B11)</f>
        <v>0</v>
      </c>
      <c r="E11" s="4">
        <f>COUNTIF(Resp4[4.23],B11)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COUNTIFS(Resp4[Vínculo],"tecnico",Resp4[4.23],B12)</f>
        <v>0</v>
      </c>
      <c r="D12" s="4">
        <f>COUNTIFS(Resp4[Vínculo],"docente",Resp4[4.23],B12)</f>
        <v>0</v>
      </c>
      <c r="E12" s="4">
        <f>COUNTIF(Resp4[4.23],B12)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486</v>
      </c>
      <c r="B3" s="2" t="str">
        <f>VLOOKUP(A$2,Eixo4[],4,FALSE)</f>
        <v>Eixo 4: Questão 24</v>
      </c>
    </row>
    <row r="5" spans="1:7" x14ac:dyDescent="0.25"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</row>
    <row r="6" spans="1:7" x14ac:dyDescent="0.25"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2</v>
      </c>
      <c r="D7" s="4">
        <f>COUNTIFS(Resp4[Vínculo],"docente",Resp4[4.24],B7)</f>
        <v>0</v>
      </c>
      <c r="E7" s="2">
        <f>COUNTIF(Resp4[4.24],B7)</f>
        <v>2</v>
      </c>
      <c r="F7" s="4">
        <f t="shared" ref="F7:F9" si="0">ROUND($E7/E$9*100,2)</f>
        <v>100</v>
      </c>
      <c r="G7" s="4">
        <f>ROUND($E7/SUM($E$7:$E$8)*100,2)</f>
        <v>100</v>
      </c>
    </row>
    <row r="8" spans="1:7" x14ac:dyDescent="0.25">
      <c r="B8" s="7" t="s">
        <v>504</v>
      </c>
      <c r="C8" s="22">
        <f>COUNTIFS(Resp4[Vínculo],"tecnico",Resp4[4.24],B8)</f>
        <v>0</v>
      </c>
      <c r="D8" s="22">
        <f>COUNTIFS(Resp4[Vínculo],"docente",Resp4[4.24],B8)</f>
        <v>0</v>
      </c>
      <c r="E8" s="7">
        <f>COUNTIF(Resp4[4.24],B8)</f>
        <v>0</v>
      </c>
      <c r="F8" s="22">
        <f t="shared" si="0"/>
        <v>0</v>
      </c>
      <c r="G8" s="22">
        <f>ROUND($E8/SUM($E$7:$E$8)*100,2)</f>
        <v>0</v>
      </c>
    </row>
    <row r="9" spans="1:7" x14ac:dyDescent="0.25">
      <c r="B9" t="s">
        <v>498</v>
      </c>
      <c r="C9">
        <f>SUM(C6:C8)</f>
        <v>2</v>
      </c>
      <c r="D9">
        <f>SUM(D6:D8)</f>
        <v>0</v>
      </c>
      <c r="E9">
        <f>C9+D9</f>
        <v>2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201</v>
      </c>
      <c r="B1" s="92" t="s">
        <v>202</v>
      </c>
      <c r="C1" s="92" t="s">
        <v>203</v>
      </c>
      <c r="D1" s="92" t="s">
        <v>204</v>
      </c>
      <c r="E1" s="93" t="s">
        <v>205</v>
      </c>
    </row>
    <row r="2" spans="1:5" customFormat="1" x14ac:dyDescent="0.25">
      <c r="A2" t="s">
        <v>57</v>
      </c>
      <c r="B2" t="s">
        <v>5</v>
      </c>
      <c r="C2" s="1" t="s">
        <v>206</v>
      </c>
      <c r="D2" s="95" t="s">
        <v>207</v>
      </c>
    </row>
    <row r="3" spans="1:5" x14ac:dyDescent="0.25">
      <c r="A3" s="94" t="s">
        <v>58</v>
      </c>
      <c r="B3" s="94" t="s">
        <v>3</v>
      </c>
      <c r="C3" s="96" t="s">
        <v>208</v>
      </c>
      <c r="D3" s="97" t="s">
        <v>209</v>
      </c>
    </row>
    <row r="4" spans="1:5" x14ac:dyDescent="0.25">
      <c r="A4" s="94" t="s">
        <v>59</v>
      </c>
      <c r="B4" s="94" t="s">
        <v>3</v>
      </c>
      <c r="C4" s="96" t="s">
        <v>210</v>
      </c>
      <c r="D4" s="97" t="s">
        <v>211</v>
      </c>
    </row>
    <row r="5" spans="1:5" x14ac:dyDescent="0.25">
      <c r="A5" s="94" t="s">
        <v>60</v>
      </c>
      <c r="B5" s="94" t="s">
        <v>3</v>
      </c>
      <c r="C5" s="96" t="s">
        <v>212</v>
      </c>
      <c r="D5" s="97" t="s">
        <v>213</v>
      </c>
    </row>
    <row r="6" spans="1:5" x14ac:dyDescent="0.25">
      <c r="A6" s="94" t="s">
        <v>61</v>
      </c>
      <c r="B6" s="94" t="s">
        <v>3</v>
      </c>
      <c r="C6" s="96" t="s">
        <v>214</v>
      </c>
      <c r="D6" s="97" t="s">
        <v>215</v>
      </c>
    </row>
    <row r="7" spans="1:5" x14ac:dyDescent="0.25">
      <c r="A7" s="94" t="s">
        <v>62</v>
      </c>
      <c r="B7" s="94" t="s">
        <v>3</v>
      </c>
      <c r="C7" s="96" t="s">
        <v>216</v>
      </c>
      <c r="D7" s="97" t="s">
        <v>217</v>
      </c>
    </row>
    <row r="8" spans="1:5" x14ac:dyDescent="0.25">
      <c r="A8" s="94" t="s">
        <v>63</v>
      </c>
      <c r="B8" s="94" t="s">
        <v>3</v>
      </c>
      <c r="C8" s="96" t="s">
        <v>218</v>
      </c>
      <c r="D8" s="97" t="s">
        <v>219</v>
      </c>
    </row>
    <row r="9" spans="1:5" x14ac:dyDescent="0.25">
      <c r="A9" s="94" t="s">
        <v>64</v>
      </c>
      <c r="B9" s="94" t="s">
        <v>3</v>
      </c>
      <c r="C9" s="96" t="s">
        <v>220</v>
      </c>
      <c r="D9" s="97" t="s">
        <v>221</v>
      </c>
    </row>
    <row r="10" spans="1:5" x14ac:dyDescent="0.25">
      <c r="A10" s="94" t="s">
        <v>65</v>
      </c>
      <c r="B10" s="94" t="s">
        <v>3</v>
      </c>
      <c r="C10" s="96" t="s">
        <v>222</v>
      </c>
      <c r="D10" s="97" t="s">
        <v>223</v>
      </c>
    </row>
    <row r="11" spans="1:5" x14ac:dyDescent="0.25">
      <c r="A11" s="94" t="s">
        <v>66</v>
      </c>
      <c r="B11" s="94" t="s">
        <v>3</v>
      </c>
      <c r="C11" s="96" t="s">
        <v>224</v>
      </c>
      <c r="D11" s="97" t="s">
        <v>225</v>
      </c>
    </row>
    <row r="12" spans="1:5" x14ac:dyDescent="0.25">
      <c r="A12" s="94" t="s">
        <v>67</v>
      </c>
      <c r="B12" s="94" t="s">
        <v>3</v>
      </c>
      <c r="C12" s="96" t="s">
        <v>226</v>
      </c>
      <c r="D12" s="97" t="s">
        <v>227</v>
      </c>
    </row>
    <row r="13" spans="1:5" x14ac:dyDescent="0.25">
      <c r="A13" s="94" t="s">
        <v>68</v>
      </c>
      <c r="B13" s="94" t="s">
        <v>3</v>
      </c>
      <c r="C13" s="96" t="s">
        <v>228</v>
      </c>
      <c r="D13" s="97" t="s">
        <v>229</v>
      </c>
    </row>
    <row r="14" spans="1:5" x14ac:dyDescent="0.25">
      <c r="A14" s="94" t="s">
        <v>69</v>
      </c>
      <c r="B14" s="94" t="s">
        <v>3</v>
      </c>
      <c r="C14" s="96" t="s">
        <v>230</v>
      </c>
      <c r="D14" s="97" t="s">
        <v>231</v>
      </c>
    </row>
    <row r="15" spans="1:5" x14ac:dyDescent="0.25">
      <c r="A15" s="94" t="s">
        <v>70</v>
      </c>
      <c r="B15" s="94" t="s">
        <v>3</v>
      </c>
      <c r="C15" s="96" t="s">
        <v>232</v>
      </c>
      <c r="D15" s="97" t="s">
        <v>233</v>
      </c>
    </row>
    <row r="16" spans="1:5" x14ac:dyDescent="0.25">
      <c r="A16" s="94" t="s">
        <v>71</v>
      </c>
      <c r="B16" s="94" t="s">
        <v>3</v>
      </c>
      <c r="C16" s="96" t="s">
        <v>234</v>
      </c>
      <c r="D16" s="97" t="s">
        <v>235</v>
      </c>
    </row>
    <row r="17" spans="1:5" x14ac:dyDescent="0.25">
      <c r="A17" s="94" t="s">
        <v>72</v>
      </c>
      <c r="B17" s="94" t="s">
        <v>3</v>
      </c>
      <c r="C17" s="96" t="s">
        <v>236</v>
      </c>
      <c r="D17" s="97" t="s">
        <v>237</v>
      </c>
    </row>
    <row r="18" spans="1:5" x14ac:dyDescent="0.25">
      <c r="A18" s="94" t="s">
        <v>73</v>
      </c>
      <c r="B18" s="94" t="s">
        <v>3</v>
      </c>
      <c r="C18" s="96" t="s">
        <v>238</v>
      </c>
      <c r="D18" s="97" t="s">
        <v>239</v>
      </c>
    </row>
    <row r="19" spans="1:5" customFormat="1" x14ac:dyDescent="0.25">
      <c r="A19" t="s">
        <v>74</v>
      </c>
      <c r="B19" t="s">
        <v>240</v>
      </c>
      <c r="C19" s="1" t="s">
        <v>241</v>
      </c>
      <c r="D19" s="95" t="s">
        <v>242</v>
      </c>
      <c r="E19" t="s">
        <v>243</v>
      </c>
    </row>
    <row r="20" spans="1:5" customFormat="1" x14ac:dyDescent="0.25">
      <c r="A20" t="s">
        <v>75</v>
      </c>
      <c r="B20" t="s">
        <v>5</v>
      </c>
      <c r="C20" s="1" t="s">
        <v>244</v>
      </c>
      <c r="D20" s="95" t="s">
        <v>245</v>
      </c>
    </row>
    <row r="21" spans="1:5" x14ac:dyDescent="0.25">
      <c r="A21" s="94" t="s">
        <v>76</v>
      </c>
      <c r="B21" s="94" t="s">
        <v>3</v>
      </c>
      <c r="C21" s="96" t="s">
        <v>246</v>
      </c>
      <c r="D21" s="97" t="s">
        <v>247</v>
      </c>
    </row>
    <row r="22" spans="1:5" x14ac:dyDescent="0.25">
      <c r="A22" s="94" t="s">
        <v>77</v>
      </c>
      <c r="B22" s="94" t="s">
        <v>3</v>
      </c>
      <c r="C22" s="96" t="s">
        <v>248</v>
      </c>
      <c r="D22" s="97" t="s">
        <v>249</v>
      </c>
    </row>
    <row r="23" spans="1:5" x14ac:dyDescent="0.25">
      <c r="A23" s="94" t="s">
        <v>78</v>
      </c>
      <c r="B23" s="94" t="s">
        <v>3</v>
      </c>
      <c r="C23" s="96" t="s">
        <v>250</v>
      </c>
      <c r="D23" s="97" t="s">
        <v>251</v>
      </c>
    </row>
    <row r="24" spans="1:5" x14ac:dyDescent="0.25">
      <c r="A24" s="94" t="s">
        <v>79</v>
      </c>
      <c r="B24" s="94" t="s">
        <v>3</v>
      </c>
      <c r="C24" s="96" t="s">
        <v>252</v>
      </c>
      <c r="D24" s="97" t="s">
        <v>253</v>
      </c>
    </row>
    <row r="25" spans="1:5" customFormat="1" x14ac:dyDescent="0.25">
      <c r="A25" t="s">
        <v>80</v>
      </c>
      <c r="B25" t="s">
        <v>42</v>
      </c>
      <c r="C25" s="1" t="s">
        <v>254</v>
      </c>
      <c r="D25" s="95" t="s">
        <v>255</v>
      </c>
      <c r="E25" t="s">
        <v>256</v>
      </c>
    </row>
    <row r="26" spans="1:5" x14ac:dyDescent="0.25">
      <c r="A26" s="94" t="s">
        <v>81</v>
      </c>
      <c r="B26" s="94" t="s">
        <v>3</v>
      </c>
      <c r="C26" s="96" t="s">
        <v>257</v>
      </c>
      <c r="D26" s="97" t="s">
        <v>258</v>
      </c>
    </row>
    <row r="27" spans="1:5" x14ac:dyDescent="0.25">
      <c r="A27" s="94" t="s">
        <v>82</v>
      </c>
      <c r="B27" s="94" t="s">
        <v>3</v>
      </c>
      <c r="C27" s="96" t="s">
        <v>259</v>
      </c>
      <c r="D27" s="97" t="s">
        <v>260</v>
      </c>
    </row>
    <row r="28" spans="1:5" x14ac:dyDescent="0.25">
      <c r="A28" s="94" t="s">
        <v>83</v>
      </c>
      <c r="B28" s="94" t="s">
        <v>3</v>
      </c>
      <c r="C28" s="96" t="s">
        <v>261</v>
      </c>
      <c r="D28" s="97" t="s">
        <v>262</v>
      </c>
    </row>
    <row r="29" spans="1:5" x14ac:dyDescent="0.25">
      <c r="A29" s="94" t="s">
        <v>84</v>
      </c>
      <c r="B29" s="94" t="s">
        <v>3</v>
      </c>
      <c r="C29" s="96" t="s">
        <v>263</v>
      </c>
      <c r="D29" s="97" t="s">
        <v>264</v>
      </c>
    </row>
    <row r="30" spans="1:5" x14ac:dyDescent="0.25">
      <c r="A30" s="94" t="s">
        <v>85</v>
      </c>
      <c r="B30" s="94" t="s">
        <v>3</v>
      </c>
      <c r="C30" s="96" t="s">
        <v>265</v>
      </c>
      <c r="D30" s="97" t="s">
        <v>266</v>
      </c>
    </row>
    <row r="31" spans="1:5" x14ac:dyDescent="0.25">
      <c r="A31" s="94" t="s">
        <v>86</v>
      </c>
      <c r="B31" s="94" t="s">
        <v>3</v>
      </c>
      <c r="C31" s="96" t="s">
        <v>267</v>
      </c>
      <c r="D31" s="97" t="s">
        <v>268</v>
      </c>
    </row>
    <row r="32" spans="1:5" x14ac:dyDescent="0.25">
      <c r="A32" s="94" t="s">
        <v>87</v>
      </c>
      <c r="B32" s="94" t="s">
        <v>3</v>
      </c>
      <c r="C32" s="96" t="s">
        <v>269</v>
      </c>
      <c r="D32" s="97" t="s">
        <v>270</v>
      </c>
    </row>
    <row r="33" spans="1:5" x14ac:dyDescent="0.25">
      <c r="A33" s="94" t="s">
        <v>88</v>
      </c>
      <c r="B33" s="94" t="s">
        <v>3</v>
      </c>
      <c r="C33" s="96" t="s">
        <v>271</v>
      </c>
      <c r="D33" s="97" t="s">
        <v>272</v>
      </c>
    </row>
    <row r="34" spans="1:5" customFormat="1" x14ac:dyDescent="0.25">
      <c r="A34" t="s">
        <v>89</v>
      </c>
      <c r="B34" t="s">
        <v>5</v>
      </c>
      <c r="C34" s="1" t="s">
        <v>273</v>
      </c>
      <c r="D34" s="95" t="s">
        <v>274</v>
      </c>
    </row>
    <row r="35" spans="1:5" x14ac:dyDescent="0.25">
      <c r="A35" s="94" t="s">
        <v>90</v>
      </c>
      <c r="B35" s="94" t="s">
        <v>3</v>
      </c>
      <c r="C35" s="96" t="s">
        <v>275</v>
      </c>
      <c r="D35" s="97" t="s">
        <v>276</v>
      </c>
    </row>
    <row r="36" spans="1:5" x14ac:dyDescent="0.25">
      <c r="A36" s="94" t="s">
        <v>91</v>
      </c>
      <c r="B36" s="94" t="s">
        <v>3</v>
      </c>
      <c r="C36" s="96" t="s">
        <v>277</v>
      </c>
      <c r="D36" s="97" t="s">
        <v>278</v>
      </c>
    </row>
    <row r="37" spans="1:5" x14ac:dyDescent="0.25">
      <c r="A37" s="94" t="s">
        <v>92</v>
      </c>
      <c r="B37" s="94" t="s">
        <v>3</v>
      </c>
      <c r="C37" s="96" t="s">
        <v>279</v>
      </c>
      <c r="D37" s="97" t="s">
        <v>280</v>
      </c>
    </row>
    <row r="38" spans="1:5" customFormat="1" x14ac:dyDescent="0.25">
      <c r="A38" t="s">
        <v>93</v>
      </c>
      <c r="B38" t="s">
        <v>240</v>
      </c>
      <c r="C38" s="1" t="s">
        <v>281</v>
      </c>
      <c r="D38" s="95" t="s">
        <v>282</v>
      </c>
      <c r="E38" t="s">
        <v>243</v>
      </c>
    </row>
    <row r="39" spans="1:5" customFormat="1" x14ac:dyDescent="0.25">
      <c r="A39" t="s">
        <v>94</v>
      </c>
      <c r="B39" t="s">
        <v>5</v>
      </c>
      <c r="C39" s="1" t="s">
        <v>283</v>
      </c>
      <c r="D39" s="95" t="s">
        <v>284</v>
      </c>
    </row>
    <row r="40" spans="1:5" x14ac:dyDescent="0.25">
      <c r="A40" s="94" t="s">
        <v>95</v>
      </c>
      <c r="B40" s="94" t="s">
        <v>285</v>
      </c>
      <c r="C40" s="96" t="s">
        <v>286</v>
      </c>
      <c r="D40" s="97" t="s">
        <v>287</v>
      </c>
    </row>
    <row r="41" spans="1:5" x14ac:dyDescent="0.25">
      <c r="A41" s="94" t="s">
        <v>96</v>
      </c>
      <c r="B41" s="94" t="s">
        <v>285</v>
      </c>
      <c r="C41" s="96" t="s">
        <v>288</v>
      </c>
      <c r="D41" s="97" t="s">
        <v>289</v>
      </c>
    </row>
    <row r="42" spans="1:5" x14ac:dyDescent="0.25">
      <c r="A42" s="94" t="s">
        <v>97</v>
      </c>
      <c r="B42" s="94" t="s">
        <v>285</v>
      </c>
      <c r="C42" s="96" t="s">
        <v>290</v>
      </c>
      <c r="D42" s="97" t="s">
        <v>291</v>
      </c>
    </row>
    <row r="43" spans="1:5" x14ac:dyDescent="0.25">
      <c r="A43" s="94" t="s">
        <v>98</v>
      </c>
      <c r="B43" s="94" t="s">
        <v>285</v>
      </c>
      <c r="C43" s="96" t="s">
        <v>292</v>
      </c>
      <c r="D43" s="97" t="s">
        <v>293</v>
      </c>
    </row>
    <row r="44" spans="1:5" x14ac:dyDescent="0.25">
      <c r="A44" s="94" t="s">
        <v>99</v>
      </c>
      <c r="B44" s="94" t="s">
        <v>285</v>
      </c>
      <c r="C44" s="96" t="s">
        <v>294</v>
      </c>
      <c r="D44" s="97" t="s">
        <v>295</v>
      </c>
    </row>
    <row r="45" spans="1:5" x14ac:dyDescent="0.25">
      <c r="A45" s="94" t="s">
        <v>100</v>
      </c>
      <c r="B45" s="94" t="s">
        <v>285</v>
      </c>
      <c r="C45" s="96" t="s">
        <v>296</v>
      </c>
      <c r="D45" s="97" t="s">
        <v>297</v>
      </c>
    </row>
    <row r="46" spans="1:5" x14ac:dyDescent="0.25">
      <c r="A46" s="94" t="s">
        <v>101</v>
      </c>
      <c r="B46" s="94" t="s">
        <v>285</v>
      </c>
      <c r="C46" s="96" t="s">
        <v>298</v>
      </c>
      <c r="D46" s="97" t="s">
        <v>299</v>
      </c>
    </row>
    <row r="47" spans="1:5" x14ac:dyDescent="0.25">
      <c r="A47" s="94" t="s">
        <v>102</v>
      </c>
      <c r="B47" s="94" t="s">
        <v>285</v>
      </c>
      <c r="C47" s="96" t="s">
        <v>300</v>
      </c>
      <c r="D47" s="97" t="s">
        <v>301</v>
      </c>
    </row>
    <row r="48" spans="1:5" x14ac:dyDescent="0.25">
      <c r="A48" s="94" t="s">
        <v>103</v>
      </c>
      <c r="B48" s="94" t="s">
        <v>285</v>
      </c>
      <c r="C48" s="96" t="s">
        <v>302</v>
      </c>
      <c r="D48" s="97" t="s">
        <v>303</v>
      </c>
    </row>
    <row r="49" spans="1:5" x14ac:dyDescent="0.25">
      <c r="A49" s="94" t="s">
        <v>104</v>
      </c>
      <c r="B49" s="94" t="s">
        <v>285</v>
      </c>
      <c r="C49" s="96" t="s">
        <v>304</v>
      </c>
      <c r="D49" s="97" t="s">
        <v>305</v>
      </c>
    </row>
    <row r="50" spans="1:5" customFormat="1" x14ac:dyDescent="0.25">
      <c r="A50" t="s">
        <v>105</v>
      </c>
      <c r="B50" t="s">
        <v>240</v>
      </c>
      <c r="C50" s="1" t="s">
        <v>306</v>
      </c>
      <c r="D50" s="95" t="s">
        <v>307</v>
      </c>
      <c r="E50" t="s">
        <v>243</v>
      </c>
    </row>
    <row r="51" spans="1:5" customFormat="1" x14ac:dyDescent="0.25">
      <c r="A51" t="s">
        <v>106</v>
      </c>
      <c r="B51" t="s">
        <v>5</v>
      </c>
      <c r="C51" s="1" t="s">
        <v>308</v>
      </c>
      <c r="D51" s="95" t="s">
        <v>309</v>
      </c>
    </row>
    <row r="52" spans="1:5" customFormat="1" x14ac:dyDescent="0.25">
      <c r="A52" t="s">
        <v>107</v>
      </c>
      <c r="B52" t="s">
        <v>5</v>
      </c>
      <c r="C52" s="1" t="s">
        <v>310</v>
      </c>
      <c r="D52" s="95" t="s">
        <v>311</v>
      </c>
    </row>
    <row r="53" spans="1:5" x14ac:dyDescent="0.25">
      <c r="A53" s="94" t="s">
        <v>108</v>
      </c>
      <c r="B53" s="94" t="s">
        <v>285</v>
      </c>
      <c r="C53" s="96" t="s">
        <v>312</v>
      </c>
      <c r="D53" s="97" t="s">
        <v>313</v>
      </c>
    </row>
    <row r="54" spans="1:5" x14ac:dyDescent="0.25">
      <c r="A54" s="94" t="s">
        <v>109</v>
      </c>
      <c r="B54" s="94" t="s">
        <v>285</v>
      </c>
      <c r="C54" s="96" t="s">
        <v>314</v>
      </c>
      <c r="D54" s="97" t="s">
        <v>315</v>
      </c>
    </row>
    <row r="55" spans="1:5" x14ac:dyDescent="0.25">
      <c r="A55" s="94" t="s">
        <v>110</v>
      </c>
      <c r="B55" s="94" t="s">
        <v>285</v>
      </c>
      <c r="C55" s="96" t="s">
        <v>316</v>
      </c>
      <c r="D55" s="97" t="s">
        <v>317</v>
      </c>
    </row>
    <row r="56" spans="1:5" x14ac:dyDescent="0.25">
      <c r="A56" s="94" t="s">
        <v>111</v>
      </c>
      <c r="B56" s="94" t="s">
        <v>285</v>
      </c>
      <c r="C56" s="96" t="s">
        <v>318</v>
      </c>
      <c r="D56" s="97" t="s">
        <v>319</v>
      </c>
    </row>
    <row r="57" spans="1:5" x14ac:dyDescent="0.25">
      <c r="A57" s="94" t="s">
        <v>112</v>
      </c>
      <c r="B57" s="94" t="s">
        <v>285</v>
      </c>
      <c r="C57" s="96" t="s">
        <v>320</v>
      </c>
      <c r="D57" s="97" t="s">
        <v>321</v>
      </c>
    </row>
    <row r="58" spans="1:5" x14ac:dyDescent="0.25">
      <c r="A58" s="94" t="s">
        <v>113</v>
      </c>
      <c r="B58" s="94" t="s">
        <v>285</v>
      </c>
      <c r="C58" s="96" t="s">
        <v>322</v>
      </c>
      <c r="D58" s="97" t="s">
        <v>323</v>
      </c>
    </row>
    <row r="59" spans="1:5" x14ac:dyDescent="0.25">
      <c r="A59" s="94" t="s">
        <v>114</v>
      </c>
      <c r="B59" s="94" t="s">
        <v>285</v>
      </c>
      <c r="C59" s="96" t="s">
        <v>324</v>
      </c>
      <c r="D59" s="97" t="s">
        <v>325</v>
      </c>
    </row>
    <row r="60" spans="1:5" x14ac:dyDescent="0.25">
      <c r="A60" s="94" t="s">
        <v>115</v>
      </c>
      <c r="B60" s="94" t="s">
        <v>285</v>
      </c>
      <c r="C60" s="96" t="s">
        <v>326</v>
      </c>
      <c r="D60" s="97" t="s">
        <v>327</v>
      </c>
    </row>
    <row r="61" spans="1:5" x14ac:dyDescent="0.25">
      <c r="A61" s="94" t="s">
        <v>116</v>
      </c>
      <c r="B61" s="94" t="s">
        <v>285</v>
      </c>
      <c r="C61" s="96" t="s">
        <v>328</v>
      </c>
      <c r="D61" s="97" t="s">
        <v>329</v>
      </c>
    </row>
    <row r="62" spans="1:5" x14ac:dyDescent="0.25">
      <c r="A62" s="94" t="s">
        <v>117</v>
      </c>
      <c r="B62" s="94" t="s">
        <v>285</v>
      </c>
      <c r="C62" s="96" t="s">
        <v>330</v>
      </c>
      <c r="D62" s="97" t="s">
        <v>331</v>
      </c>
    </row>
    <row r="63" spans="1:5" x14ac:dyDescent="0.25">
      <c r="A63" s="94" t="s">
        <v>118</v>
      </c>
      <c r="B63" s="94" t="s">
        <v>285</v>
      </c>
      <c r="C63" s="96" t="s">
        <v>332</v>
      </c>
      <c r="D63" s="97" t="s">
        <v>333</v>
      </c>
    </row>
    <row r="64" spans="1:5" x14ac:dyDescent="0.25">
      <c r="A64" s="94" t="s">
        <v>119</v>
      </c>
      <c r="B64" s="94" t="s">
        <v>285</v>
      </c>
      <c r="C64" s="96" t="s">
        <v>334</v>
      </c>
      <c r="D64" s="97" t="s">
        <v>335</v>
      </c>
    </row>
    <row r="65" spans="1:5" x14ac:dyDescent="0.25">
      <c r="A65" s="94" t="s">
        <v>120</v>
      </c>
      <c r="B65" s="94" t="s">
        <v>285</v>
      </c>
      <c r="C65" s="96" t="s">
        <v>336</v>
      </c>
      <c r="D65" s="97" t="s">
        <v>337</v>
      </c>
    </row>
    <row r="66" spans="1:5" x14ac:dyDescent="0.25">
      <c r="A66" s="94" t="s">
        <v>121</v>
      </c>
      <c r="B66" s="94" t="s">
        <v>285</v>
      </c>
      <c r="C66" s="96" t="s">
        <v>338</v>
      </c>
      <c r="D66" s="97" t="s">
        <v>339</v>
      </c>
    </row>
    <row r="67" spans="1:5" x14ac:dyDescent="0.25">
      <c r="A67" s="94" t="s">
        <v>122</v>
      </c>
      <c r="B67" s="94" t="s">
        <v>285</v>
      </c>
      <c r="C67" s="96" t="s">
        <v>340</v>
      </c>
      <c r="D67" s="97" t="s">
        <v>341</v>
      </c>
    </row>
    <row r="68" spans="1:5" x14ac:dyDescent="0.25">
      <c r="A68" s="94" t="s">
        <v>123</v>
      </c>
      <c r="B68" s="94" t="s">
        <v>285</v>
      </c>
      <c r="C68" s="96" t="s">
        <v>342</v>
      </c>
      <c r="D68" s="97" t="s">
        <v>343</v>
      </c>
    </row>
    <row r="69" spans="1:5" x14ac:dyDescent="0.25">
      <c r="A69" s="94" t="s">
        <v>124</v>
      </c>
      <c r="B69" s="94" t="s">
        <v>285</v>
      </c>
      <c r="C69" s="96" t="s">
        <v>344</v>
      </c>
      <c r="D69" s="97" t="s">
        <v>345</v>
      </c>
    </row>
    <row r="70" spans="1:5" x14ac:dyDescent="0.25">
      <c r="A70" s="94" t="s">
        <v>125</v>
      </c>
      <c r="B70" s="94" t="s">
        <v>285</v>
      </c>
      <c r="C70" s="96" t="s">
        <v>346</v>
      </c>
      <c r="D70" s="97" t="s">
        <v>347</v>
      </c>
    </row>
    <row r="71" spans="1:5" customFormat="1" x14ac:dyDescent="0.25">
      <c r="A71" t="s">
        <v>126</v>
      </c>
      <c r="B71" t="s">
        <v>240</v>
      </c>
      <c r="C71" s="1" t="s">
        <v>348</v>
      </c>
      <c r="D71" s="95" t="s">
        <v>349</v>
      </c>
      <c r="E71" t="s">
        <v>243</v>
      </c>
    </row>
    <row r="72" spans="1:5" x14ac:dyDescent="0.25">
      <c r="A72" s="94" t="s">
        <v>127</v>
      </c>
      <c r="B72" s="94" t="s">
        <v>7</v>
      </c>
      <c r="C72" s="96" t="s">
        <v>350</v>
      </c>
      <c r="D72" s="97" t="s">
        <v>351</v>
      </c>
    </row>
    <row r="73" spans="1:5" x14ac:dyDescent="0.25">
      <c r="A73" s="94" t="s">
        <v>128</v>
      </c>
      <c r="B73" s="94" t="s">
        <v>7</v>
      </c>
      <c r="C73" s="96" t="s">
        <v>352</v>
      </c>
      <c r="D73" s="97" t="s">
        <v>353</v>
      </c>
    </row>
    <row r="74" spans="1:5" x14ac:dyDescent="0.25">
      <c r="A74" s="94" t="s">
        <v>129</v>
      </c>
      <c r="B74" s="94" t="s">
        <v>7</v>
      </c>
      <c r="C74" s="96" t="s">
        <v>354</v>
      </c>
      <c r="D74" s="97" t="s">
        <v>355</v>
      </c>
    </row>
    <row r="75" spans="1:5" x14ac:dyDescent="0.25">
      <c r="A75" s="94" t="s">
        <v>130</v>
      </c>
      <c r="B75" s="94" t="s">
        <v>7</v>
      </c>
      <c r="C75" s="96" t="s">
        <v>356</v>
      </c>
      <c r="D75" s="97" t="s">
        <v>357</v>
      </c>
    </row>
    <row r="76" spans="1:5" x14ac:dyDescent="0.25">
      <c r="A76" s="94" t="s">
        <v>131</v>
      </c>
      <c r="B76" s="94" t="s">
        <v>7</v>
      </c>
      <c r="C76" s="96" t="s">
        <v>358</v>
      </c>
      <c r="D76" s="97" t="s">
        <v>359</v>
      </c>
    </row>
    <row r="77" spans="1:5" x14ac:dyDescent="0.25">
      <c r="A77" s="94" t="s">
        <v>132</v>
      </c>
      <c r="B77" s="94" t="s">
        <v>7</v>
      </c>
      <c r="C77" s="96" t="s">
        <v>360</v>
      </c>
      <c r="D77" s="97" t="s">
        <v>361</v>
      </c>
    </row>
    <row r="78" spans="1:5" x14ac:dyDescent="0.25">
      <c r="A78" s="94" t="s">
        <v>133</v>
      </c>
      <c r="B78" s="94" t="s">
        <v>7</v>
      </c>
      <c r="C78" s="96" t="s">
        <v>362</v>
      </c>
      <c r="D78" s="97" t="s">
        <v>363</v>
      </c>
    </row>
    <row r="79" spans="1:5" customFormat="1" x14ac:dyDescent="0.25">
      <c r="A79" t="s">
        <v>134</v>
      </c>
      <c r="B79" t="s">
        <v>240</v>
      </c>
      <c r="C79" s="1" t="s">
        <v>364</v>
      </c>
      <c r="D79" s="95" t="s">
        <v>365</v>
      </c>
      <c r="E79" t="s">
        <v>243</v>
      </c>
    </row>
    <row r="80" spans="1:5" customFormat="1" x14ac:dyDescent="0.25">
      <c r="A80" t="s">
        <v>135</v>
      </c>
      <c r="B80" t="s">
        <v>9</v>
      </c>
      <c r="C80" s="1" t="s">
        <v>366</v>
      </c>
      <c r="D80" s="95" t="s">
        <v>367</v>
      </c>
      <c r="E80" t="s">
        <v>368</v>
      </c>
    </row>
    <row r="81" spans="1:5" customFormat="1" x14ac:dyDescent="0.25">
      <c r="A81" t="s">
        <v>136</v>
      </c>
      <c r="B81" t="s">
        <v>240</v>
      </c>
      <c r="C81" s="1" t="s">
        <v>369</v>
      </c>
      <c r="D81" s="95" t="s">
        <v>370</v>
      </c>
      <c r="E81" t="s">
        <v>243</v>
      </c>
    </row>
    <row r="82" spans="1:5" customFormat="1" x14ac:dyDescent="0.25">
      <c r="A82" t="s">
        <v>137</v>
      </c>
      <c r="B82" t="s">
        <v>5</v>
      </c>
      <c r="C82" s="1" t="s">
        <v>371</v>
      </c>
      <c r="D82" s="95" t="s">
        <v>372</v>
      </c>
    </row>
    <row r="83" spans="1:5" customFormat="1" x14ac:dyDescent="0.25">
      <c r="A83" t="s">
        <v>138</v>
      </c>
      <c r="B83" t="s">
        <v>240</v>
      </c>
      <c r="C83" s="1" t="s">
        <v>373</v>
      </c>
      <c r="D83" s="95" t="s">
        <v>374</v>
      </c>
      <c r="E83" t="s">
        <v>243</v>
      </c>
    </row>
    <row r="84" spans="1:5" customFormat="1" x14ac:dyDescent="0.25">
      <c r="A84" t="s">
        <v>139</v>
      </c>
      <c r="B84" t="s">
        <v>240</v>
      </c>
      <c r="C84" s="1" t="s">
        <v>375</v>
      </c>
      <c r="D84" s="95" t="s">
        <v>376</v>
      </c>
      <c r="E84" t="s">
        <v>243</v>
      </c>
    </row>
    <row r="85" spans="1:5" customFormat="1" x14ac:dyDescent="0.25">
      <c r="A85" t="s">
        <v>140</v>
      </c>
      <c r="B85" t="s">
        <v>240</v>
      </c>
      <c r="C85" s="1" t="s">
        <v>377</v>
      </c>
      <c r="D85" s="95" t="s">
        <v>378</v>
      </c>
      <c r="E85" t="s">
        <v>243</v>
      </c>
    </row>
    <row r="86" spans="1:5" customFormat="1" x14ac:dyDescent="0.25">
      <c r="A86" t="s">
        <v>141</v>
      </c>
      <c r="B86" t="s">
        <v>5</v>
      </c>
      <c r="C86" s="1" t="s">
        <v>379</v>
      </c>
      <c r="D86" s="95" t="s">
        <v>380</v>
      </c>
    </row>
    <row r="87" spans="1:5" x14ac:dyDescent="0.25">
      <c r="A87" s="94" t="s">
        <v>142</v>
      </c>
      <c r="B87" s="94" t="s">
        <v>3</v>
      </c>
      <c r="C87" s="96" t="s">
        <v>381</v>
      </c>
      <c r="D87" s="97" t="s">
        <v>382</v>
      </c>
    </row>
    <row r="88" spans="1:5" x14ac:dyDescent="0.25">
      <c r="A88" s="94" t="s">
        <v>143</v>
      </c>
      <c r="B88" s="94" t="s">
        <v>3</v>
      </c>
      <c r="C88" s="96" t="s">
        <v>383</v>
      </c>
      <c r="D88" s="97" t="s">
        <v>384</v>
      </c>
    </row>
    <row r="89" spans="1:5" x14ac:dyDescent="0.25">
      <c r="A89" s="94" t="s">
        <v>144</v>
      </c>
      <c r="B89" s="94" t="s">
        <v>3</v>
      </c>
      <c r="C89" s="96" t="s">
        <v>385</v>
      </c>
      <c r="D89" s="97" t="s">
        <v>386</v>
      </c>
    </row>
    <row r="90" spans="1:5" x14ac:dyDescent="0.25">
      <c r="A90" s="94" t="s">
        <v>145</v>
      </c>
      <c r="B90" s="94" t="s">
        <v>3</v>
      </c>
      <c r="C90" s="96" t="s">
        <v>387</v>
      </c>
      <c r="D90" s="97" t="s">
        <v>388</v>
      </c>
    </row>
    <row r="91" spans="1:5" x14ac:dyDescent="0.25">
      <c r="A91" s="94" t="s">
        <v>146</v>
      </c>
      <c r="B91" s="94" t="s">
        <v>3</v>
      </c>
      <c r="C91" s="96" t="s">
        <v>389</v>
      </c>
      <c r="D91" s="97" t="s">
        <v>390</v>
      </c>
    </row>
    <row r="92" spans="1:5" x14ac:dyDescent="0.25">
      <c r="A92" s="94" t="s">
        <v>147</v>
      </c>
      <c r="B92" s="94" t="s">
        <v>3</v>
      </c>
      <c r="C92" s="96" t="s">
        <v>391</v>
      </c>
      <c r="D92" s="97" t="s">
        <v>392</v>
      </c>
    </row>
    <row r="93" spans="1:5" x14ac:dyDescent="0.25">
      <c r="A93" s="94" t="s">
        <v>148</v>
      </c>
      <c r="B93" s="94" t="s">
        <v>3</v>
      </c>
      <c r="C93" s="96" t="s">
        <v>393</v>
      </c>
      <c r="D93" s="97" t="s">
        <v>394</v>
      </c>
    </row>
    <row r="94" spans="1:5" x14ac:dyDescent="0.25">
      <c r="A94" s="94" t="s">
        <v>149</v>
      </c>
      <c r="B94" s="94" t="s">
        <v>3</v>
      </c>
      <c r="C94" s="96" t="s">
        <v>395</v>
      </c>
      <c r="D94" s="97" t="s">
        <v>396</v>
      </c>
    </row>
    <row r="95" spans="1:5" x14ac:dyDescent="0.25">
      <c r="A95" s="94" t="s">
        <v>150</v>
      </c>
      <c r="B95" s="94" t="s">
        <v>3</v>
      </c>
      <c r="C95" s="96" t="s">
        <v>397</v>
      </c>
      <c r="D95" s="97" t="s">
        <v>398</v>
      </c>
    </row>
    <row r="96" spans="1:5" x14ac:dyDescent="0.25">
      <c r="A96" s="94" t="s">
        <v>151</v>
      </c>
      <c r="B96" s="94" t="s">
        <v>3</v>
      </c>
      <c r="C96" s="96" t="s">
        <v>399</v>
      </c>
      <c r="D96" s="97" t="s">
        <v>400</v>
      </c>
    </row>
    <row r="97" spans="1:4" x14ac:dyDescent="0.25">
      <c r="A97" s="94" t="s">
        <v>152</v>
      </c>
      <c r="B97" s="94" t="s">
        <v>3</v>
      </c>
      <c r="C97" s="96" t="s">
        <v>401</v>
      </c>
      <c r="D97" s="97" t="s">
        <v>402</v>
      </c>
    </row>
    <row r="98" spans="1:4" x14ac:dyDescent="0.25">
      <c r="A98" s="94" t="s">
        <v>153</v>
      </c>
      <c r="B98" s="94" t="s">
        <v>3</v>
      </c>
      <c r="C98" s="96" t="s">
        <v>403</v>
      </c>
      <c r="D98" s="97" t="s">
        <v>404</v>
      </c>
    </row>
    <row r="99" spans="1:4" x14ac:dyDescent="0.25">
      <c r="A99" s="94" t="s">
        <v>154</v>
      </c>
      <c r="B99" s="94" t="s">
        <v>3</v>
      </c>
      <c r="C99" s="96" t="s">
        <v>405</v>
      </c>
      <c r="D99" s="97" t="s">
        <v>406</v>
      </c>
    </row>
    <row r="100" spans="1:4" x14ac:dyDescent="0.25">
      <c r="A100" s="94" t="s">
        <v>155</v>
      </c>
      <c r="B100" s="94" t="s">
        <v>3</v>
      </c>
      <c r="C100" s="96" t="s">
        <v>407</v>
      </c>
      <c r="D100" s="97" t="s">
        <v>408</v>
      </c>
    </row>
    <row r="101" spans="1:4" x14ac:dyDescent="0.25">
      <c r="A101" s="94" t="s">
        <v>156</v>
      </c>
      <c r="B101" s="94" t="s">
        <v>3</v>
      </c>
      <c r="C101" s="96" t="s">
        <v>409</v>
      </c>
      <c r="D101" s="97" t="s">
        <v>410</v>
      </c>
    </row>
    <row r="102" spans="1:4" x14ac:dyDescent="0.25">
      <c r="A102" s="94" t="s">
        <v>157</v>
      </c>
      <c r="B102" s="94" t="s">
        <v>3</v>
      </c>
      <c r="C102" s="96" t="s">
        <v>411</v>
      </c>
      <c r="D102" s="97" t="s">
        <v>412</v>
      </c>
    </row>
    <row r="103" spans="1:4" x14ac:dyDescent="0.25">
      <c r="A103" s="94" t="s">
        <v>158</v>
      </c>
      <c r="B103" s="94" t="s">
        <v>3</v>
      </c>
      <c r="C103" s="96" t="s">
        <v>413</v>
      </c>
      <c r="D103" s="97" t="s">
        <v>414</v>
      </c>
    </row>
    <row r="104" spans="1:4" x14ac:dyDescent="0.25">
      <c r="A104" s="94" t="s">
        <v>159</v>
      </c>
      <c r="B104" s="94" t="s">
        <v>3</v>
      </c>
      <c r="C104" s="96" t="s">
        <v>415</v>
      </c>
      <c r="D104" s="97" t="s">
        <v>416</v>
      </c>
    </row>
    <row r="105" spans="1:4" x14ac:dyDescent="0.25">
      <c r="A105" s="94" t="s">
        <v>160</v>
      </c>
      <c r="B105" s="94" t="s">
        <v>3</v>
      </c>
      <c r="C105" s="96" t="s">
        <v>417</v>
      </c>
      <c r="D105" s="97" t="s">
        <v>418</v>
      </c>
    </row>
    <row r="106" spans="1:4" x14ac:dyDescent="0.25">
      <c r="A106" s="94" t="s">
        <v>161</v>
      </c>
      <c r="B106" s="94" t="s">
        <v>3</v>
      </c>
      <c r="C106" s="96" t="s">
        <v>419</v>
      </c>
      <c r="D106" s="97" t="s">
        <v>420</v>
      </c>
    </row>
    <row r="107" spans="1:4" x14ac:dyDescent="0.25">
      <c r="A107" s="94" t="s">
        <v>162</v>
      </c>
      <c r="B107" s="94" t="s">
        <v>3</v>
      </c>
      <c r="C107" s="96" t="s">
        <v>421</v>
      </c>
      <c r="D107" s="97" t="s">
        <v>422</v>
      </c>
    </row>
    <row r="108" spans="1:4" x14ac:dyDescent="0.25">
      <c r="A108" s="94" t="s">
        <v>163</v>
      </c>
      <c r="B108" s="94" t="s">
        <v>3</v>
      </c>
      <c r="C108" s="96" t="s">
        <v>423</v>
      </c>
      <c r="D108" s="97" t="s">
        <v>424</v>
      </c>
    </row>
    <row r="109" spans="1:4" x14ac:dyDescent="0.25">
      <c r="A109" s="94" t="s">
        <v>164</v>
      </c>
      <c r="B109" s="94" t="s">
        <v>3</v>
      </c>
      <c r="C109" s="96" t="s">
        <v>425</v>
      </c>
      <c r="D109" s="97" t="s">
        <v>426</v>
      </c>
    </row>
    <row r="110" spans="1:4" x14ac:dyDescent="0.25">
      <c r="A110" s="94" t="s">
        <v>165</v>
      </c>
      <c r="B110" s="94" t="s">
        <v>3</v>
      </c>
      <c r="C110" s="96" t="s">
        <v>427</v>
      </c>
      <c r="D110" s="97" t="s">
        <v>428</v>
      </c>
    </row>
    <row r="111" spans="1:4" x14ac:dyDescent="0.25">
      <c r="A111" s="94" t="s">
        <v>166</v>
      </c>
      <c r="B111" s="94" t="s">
        <v>3</v>
      </c>
      <c r="C111" s="96" t="s">
        <v>429</v>
      </c>
      <c r="D111" s="97" t="s">
        <v>430</v>
      </c>
    </row>
    <row r="112" spans="1:4" x14ac:dyDescent="0.25">
      <c r="A112" s="94" t="s">
        <v>167</v>
      </c>
      <c r="B112" s="94" t="s">
        <v>3</v>
      </c>
      <c r="C112" s="96" t="s">
        <v>431</v>
      </c>
      <c r="D112" s="97" t="s">
        <v>432</v>
      </c>
    </row>
    <row r="113" spans="1:5" x14ac:dyDescent="0.25">
      <c r="A113" s="94" t="s">
        <v>168</v>
      </c>
      <c r="B113" s="94" t="s">
        <v>3</v>
      </c>
      <c r="C113" s="96" t="s">
        <v>433</v>
      </c>
      <c r="D113" s="97" t="s">
        <v>434</v>
      </c>
    </row>
    <row r="114" spans="1:5" customFormat="1" x14ac:dyDescent="0.25">
      <c r="A114" t="s">
        <v>169</v>
      </c>
      <c r="B114" t="s">
        <v>240</v>
      </c>
      <c r="C114" s="1" t="s">
        <v>435</v>
      </c>
      <c r="D114" s="95" t="s">
        <v>436</v>
      </c>
      <c r="E114" t="s">
        <v>243</v>
      </c>
    </row>
    <row r="115" spans="1:5" customFormat="1" x14ac:dyDescent="0.25">
      <c r="A115" t="s">
        <v>170</v>
      </c>
      <c r="B115" t="s">
        <v>5</v>
      </c>
      <c r="C115" s="1" t="s">
        <v>437</v>
      </c>
      <c r="D115" s="95" t="s">
        <v>438</v>
      </c>
    </row>
    <row r="116" spans="1:5" x14ac:dyDescent="0.25">
      <c r="A116" s="94" t="s">
        <v>171</v>
      </c>
      <c r="B116" s="94" t="s">
        <v>3</v>
      </c>
      <c r="C116" s="96" t="s">
        <v>439</v>
      </c>
      <c r="D116" s="97" t="s">
        <v>440</v>
      </c>
    </row>
    <row r="117" spans="1:5" x14ac:dyDescent="0.25">
      <c r="A117" s="94" t="s">
        <v>172</v>
      </c>
      <c r="B117" s="94" t="s">
        <v>3</v>
      </c>
      <c r="C117" s="96" t="s">
        <v>441</v>
      </c>
      <c r="D117" s="97" t="s">
        <v>442</v>
      </c>
    </row>
    <row r="118" spans="1:5" x14ac:dyDescent="0.25">
      <c r="A118" s="94" t="s">
        <v>173</v>
      </c>
      <c r="B118" s="94" t="s">
        <v>3</v>
      </c>
      <c r="C118" s="96" t="s">
        <v>443</v>
      </c>
      <c r="D118" s="97" t="s">
        <v>444</v>
      </c>
    </row>
    <row r="119" spans="1:5" x14ac:dyDescent="0.25">
      <c r="A119" s="94" t="s">
        <v>174</v>
      </c>
      <c r="B119" s="94" t="s">
        <v>3</v>
      </c>
      <c r="C119" s="96" t="s">
        <v>445</v>
      </c>
      <c r="D119" s="97" t="s">
        <v>446</v>
      </c>
    </row>
    <row r="120" spans="1:5" x14ac:dyDescent="0.25">
      <c r="A120" s="94" t="s">
        <v>175</v>
      </c>
      <c r="B120" s="94" t="s">
        <v>3</v>
      </c>
      <c r="C120" s="96" t="s">
        <v>447</v>
      </c>
      <c r="D120" s="97" t="s">
        <v>448</v>
      </c>
    </row>
    <row r="121" spans="1:5" x14ac:dyDescent="0.25">
      <c r="A121" s="94" t="s">
        <v>176</v>
      </c>
      <c r="B121" s="94" t="s">
        <v>3</v>
      </c>
      <c r="C121" s="96" t="s">
        <v>449</v>
      </c>
      <c r="D121" s="97" t="s">
        <v>450</v>
      </c>
    </row>
    <row r="122" spans="1:5" x14ac:dyDescent="0.25">
      <c r="A122" s="94" t="s">
        <v>177</v>
      </c>
      <c r="B122" s="94" t="s">
        <v>3</v>
      </c>
      <c r="C122" s="96" t="s">
        <v>451</v>
      </c>
      <c r="D122" s="97" t="s">
        <v>452</v>
      </c>
    </row>
    <row r="123" spans="1:5" x14ac:dyDescent="0.25">
      <c r="A123" s="94" t="s">
        <v>178</v>
      </c>
      <c r="B123" s="94" t="s">
        <v>3</v>
      </c>
      <c r="C123" s="96" t="s">
        <v>453</v>
      </c>
      <c r="D123" s="97" t="s">
        <v>454</v>
      </c>
    </row>
    <row r="124" spans="1:5" x14ac:dyDescent="0.25">
      <c r="A124" s="94" t="s">
        <v>179</v>
      </c>
      <c r="B124" s="94" t="s">
        <v>3</v>
      </c>
      <c r="C124" s="96" t="s">
        <v>455</v>
      </c>
      <c r="D124" s="97" t="s">
        <v>456</v>
      </c>
    </row>
    <row r="125" spans="1:5" x14ac:dyDescent="0.25">
      <c r="A125" s="94" t="s">
        <v>180</v>
      </c>
      <c r="B125" s="94" t="s">
        <v>3</v>
      </c>
      <c r="C125" s="96" t="s">
        <v>457</v>
      </c>
      <c r="D125" s="97" t="s">
        <v>458</v>
      </c>
    </row>
    <row r="126" spans="1:5" x14ac:dyDescent="0.25">
      <c r="A126" s="94" t="s">
        <v>181</v>
      </c>
      <c r="B126" s="94" t="s">
        <v>3</v>
      </c>
      <c r="C126" s="96" t="s">
        <v>459</v>
      </c>
      <c r="D126" s="97" t="s">
        <v>460</v>
      </c>
    </row>
    <row r="127" spans="1:5" x14ac:dyDescent="0.25">
      <c r="A127" s="94" t="s">
        <v>182</v>
      </c>
      <c r="B127" s="94" t="s">
        <v>3</v>
      </c>
      <c r="C127" s="96" t="s">
        <v>461</v>
      </c>
      <c r="D127" s="97" t="s">
        <v>462</v>
      </c>
    </row>
    <row r="128" spans="1:5" x14ac:dyDescent="0.25">
      <c r="A128" s="94" t="s">
        <v>183</v>
      </c>
      <c r="B128" s="94" t="s">
        <v>3</v>
      </c>
      <c r="C128" s="96" t="s">
        <v>463</v>
      </c>
      <c r="D128" s="97" t="s">
        <v>464</v>
      </c>
    </row>
    <row r="129" spans="1:5" x14ac:dyDescent="0.25">
      <c r="A129" s="94" t="s">
        <v>184</v>
      </c>
      <c r="B129" s="94" t="s">
        <v>3</v>
      </c>
      <c r="C129" s="96" t="s">
        <v>465</v>
      </c>
      <c r="D129" s="97" t="s">
        <v>466</v>
      </c>
    </row>
    <row r="130" spans="1:5" customFormat="1" x14ac:dyDescent="0.25">
      <c r="A130" t="s">
        <v>185</v>
      </c>
      <c r="B130" t="s">
        <v>240</v>
      </c>
      <c r="C130" s="1" t="s">
        <v>467</v>
      </c>
      <c r="D130" s="95" t="s">
        <v>468</v>
      </c>
      <c r="E130" t="s">
        <v>243</v>
      </c>
    </row>
    <row r="131" spans="1:5" customFormat="1" x14ac:dyDescent="0.25">
      <c r="A131" t="s">
        <v>186</v>
      </c>
      <c r="B131" t="s">
        <v>5</v>
      </c>
      <c r="C131" s="1" t="s">
        <v>469</v>
      </c>
      <c r="D131" s="95" t="s">
        <v>470</v>
      </c>
    </row>
    <row r="132" spans="1:5" x14ac:dyDescent="0.25">
      <c r="A132" s="94" t="s">
        <v>187</v>
      </c>
      <c r="B132" s="94" t="s">
        <v>3</v>
      </c>
      <c r="C132" s="96" t="s">
        <v>471</v>
      </c>
      <c r="D132" s="97" t="s">
        <v>472</v>
      </c>
    </row>
    <row r="133" spans="1:5" x14ac:dyDescent="0.25">
      <c r="A133" s="94" t="s">
        <v>188</v>
      </c>
      <c r="B133" s="94" t="s">
        <v>3</v>
      </c>
      <c r="C133" s="96" t="s">
        <v>473</v>
      </c>
      <c r="D133" s="97" t="s">
        <v>474</v>
      </c>
    </row>
    <row r="134" spans="1:5" x14ac:dyDescent="0.25">
      <c r="A134" s="94" t="s">
        <v>189</v>
      </c>
      <c r="B134" s="94" t="s">
        <v>3</v>
      </c>
      <c r="C134" s="96" t="s">
        <v>475</v>
      </c>
      <c r="D134" s="97" t="s">
        <v>476</v>
      </c>
    </row>
    <row r="135" spans="1:5" x14ac:dyDescent="0.25">
      <c r="A135" s="94" t="s">
        <v>190</v>
      </c>
      <c r="B135" s="94" t="s">
        <v>3</v>
      </c>
      <c r="C135" s="96" t="s">
        <v>477</v>
      </c>
      <c r="D135" s="97" t="s">
        <v>478</v>
      </c>
    </row>
    <row r="136" spans="1:5" x14ac:dyDescent="0.25">
      <c r="A136" s="94" t="s">
        <v>191</v>
      </c>
      <c r="B136" s="94" t="s">
        <v>3</v>
      </c>
      <c r="C136" s="96" t="s">
        <v>479</v>
      </c>
      <c r="D136" s="97" t="s">
        <v>480</v>
      </c>
    </row>
    <row r="137" spans="1:5" x14ac:dyDescent="0.25">
      <c r="A137" s="94" t="s">
        <v>192</v>
      </c>
      <c r="B137" s="94" t="s">
        <v>3</v>
      </c>
      <c r="C137" s="96" t="s">
        <v>481</v>
      </c>
      <c r="D137" s="97" t="s">
        <v>482</v>
      </c>
    </row>
    <row r="138" spans="1:5" customFormat="1" x14ac:dyDescent="0.25">
      <c r="A138" t="s">
        <v>483</v>
      </c>
      <c r="B138" t="s">
        <v>240</v>
      </c>
      <c r="C138" s="1" t="s">
        <v>484</v>
      </c>
      <c r="D138" s="95" t="s">
        <v>485</v>
      </c>
      <c r="E138" t="s">
        <v>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486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0</v>
      </c>
      <c r="E10" s="4">
        <f>COUNTIF(Resp4[4.25],B10)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COUNTIFS(Resp4[Vínculo],"tecnico",Resp4[4.25],B12)</f>
        <v>0</v>
      </c>
      <c r="D12" s="4">
        <f>COUNTIFS(Resp4[Vínculo],"docente",Resp4[4.25],B12)</f>
        <v>0</v>
      </c>
      <c r="E12" s="4">
        <f>COUNTIF(Resp4[4.25],B12)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486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COUNTIFS(Resp4[Vínculo],"tecnico",Resp4[4.26],B7)</f>
        <v>0</v>
      </c>
      <c r="D7" s="4">
        <f>COUNTIFS(Resp4[Vínculo],"docente",Resp4[4.26],B7)</f>
        <v>0</v>
      </c>
      <c r="E7" s="4">
        <f>COUNTIF(Resp4[4.26],B7)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COUNTIFS(Resp4[Vínculo],"tecnico",Resp4[4.26],B9)</f>
        <v>0</v>
      </c>
      <c r="D9" s="4">
        <f>COUNTIFS(Resp4[Vínculo],"docente",Resp4[4.26],B9)</f>
        <v>0</v>
      </c>
      <c r="E9" s="4">
        <f>COUNTIF(Resp4[4.26],B9)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0</v>
      </c>
      <c r="E10" s="4">
        <f>COUNTIF(Resp4[4.26],B10)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COUNTIFS(Resp4[Vínculo],"tecnico",Resp4[4.26],B12)</f>
        <v>0</v>
      </c>
      <c r="D12" s="4">
        <f>COUNTIFS(Resp4[Vínculo],"docente",Resp4[4.26],B12)</f>
        <v>0</v>
      </c>
      <c r="E12" s="4">
        <f>COUNTIF(Resp4[4.26],B12)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486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COUNTIFS(Resp4[Vínculo],"tecnico",Resp4[4.27],B11)</f>
        <v>0</v>
      </c>
      <c r="D11" s="4">
        <f>COUNTIFS(Resp4[Vínculo],"docente",Resp4[4.27],B11)</f>
        <v>0</v>
      </c>
      <c r="E11" s="4">
        <f>COUNTIF(Resp4[4.27],B11)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486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0</v>
      </c>
      <c r="E10" s="4">
        <f>COUNTIF(Resp4[4.28],B10)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COUNTIFS(Resp4[Vínculo],"tecnico",Resp4[4.28],B11)</f>
        <v>0</v>
      </c>
      <c r="D11" s="4">
        <f>COUNTIFS(Resp4[Vínculo],"docente",Resp4[4.28],B11)</f>
        <v>0</v>
      </c>
      <c r="E11" s="4">
        <f>COUNTIF(Resp4[4.28],B11)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COUNTIFS(Resp4[Vínculo],"tecnico",Resp4[4.28],B12)</f>
        <v>0</v>
      </c>
      <c r="D12" s="4">
        <f>COUNTIFS(Resp4[Vínculo],"docente",Resp4[4.28],B12)</f>
        <v>0</v>
      </c>
      <c r="E12" s="4">
        <f>COUNTIF(Resp4[4.28],B12)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486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486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486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486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0</v>
      </c>
      <c r="D7" s="4">
        <f>COUNTIFS(Resp4[Vínculo],"docente",Resp4[4.33],B7)</f>
        <v>0</v>
      </c>
      <c r="E7" s="2">
        <f>COUNTIF(Resp4[4.33],B7)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2</v>
      </c>
      <c r="D8" s="4">
        <f>COUNTIFS(Resp4[Vínculo],"docente",Resp4[4.33],B8)</f>
        <v>0</v>
      </c>
      <c r="E8" s="2">
        <f>COUNTIF(Resp4[4.33],B8)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486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0</v>
      </c>
      <c r="E10" s="4">
        <f>COUNTIF(Resp4[4.34],B10)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COUNTIFS(Resp4[Vínculo],"tecnico",Resp4[4.34],B11)</f>
        <v>0</v>
      </c>
      <c r="D11" s="4">
        <f>COUNTIFS(Resp4[Vínculo],"docente",Resp4[4.34],B11)</f>
        <v>0</v>
      </c>
      <c r="E11" s="4">
        <f>COUNTIF(Resp4[4.34],B11)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COUNTIFS(Resp4[Vínculo],"tecnico",Resp4[4.34],B12)</f>
        <v>0</v>
      </c>
      <c r="D12" s="4">
        <f>COUNTIFS(Resp4[Vínculo],"docente",Resp4[4.34],B12)</f>
        <v>0</v>
      </c>
      <c r="E12" s="4">
        <f>COUNTIF(Resp4[4.34],B12)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486</v>
      </c>
      <c r="B3" s="2" t="str">
        <f>VLOOKUP(A$2,Eixo4[],4,FALSE)</f>
        <v>Eixo 4: Questão 2</v>
      </c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  <c r="G6" s="3"/>
    </row>
    <row r="7" spans="1:7" x14ac:dyDescent="0.25">
      <c r="B7" s="2" t="s">
        <v>494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COUNTIFS(Resp4[Vínculo],"docente",Resp4[4.02],B12)</f>
        <v>0</v>
      </c>
      <c r="E12" s="4">
        <f>COUNTIF(Resp4[4.02],B12)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7" spans="2:5" x14ac:dyDescent="0.25">
      <c r="B17" s="21" t="s">
        <v>499</v>
      </c>
      <c r="C17" s="21" t="s">
        <v>500</v>
      </c>
      <c r="D17" s="5" t="s">
        <v>488</v>
      </c>
      <c r="E17" s="6" t="s">
        <v>491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</row>
    <row r="19" spans="2:5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5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5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5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5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486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0</v>
      </c>
      <c r="E10" s="4">
        <f>COUNTIF(Resp4[4.35],B10)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COUNTIFS(Resp4[Vínculo],"tecnico",Resp4[4.35],B11)</f>
        <v>0</v>
      </c>
      <c r="D11" s="4">
        <f>COUNTIFS(Resp4[Vínculo],"docente",Resp4[4.35],B11)</f>
        <v>0</v>
      </c>
      <c r="E11" s="4">
        <f>COUNTIF(Resp4[4.35],B11)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COUNTIFS(Resp4[Vínculo],"tecnico",Resp4[4.35],B12)</f>
        <v>0</v>
      </c>
      <c r="D12" s="4">
        <f>COUNTIFS(Resp4[Vínculo],"docente",Resp4[4.35],B12)</f>
        <v>0</v>
      </c>
      <c r="E12" s="4">
        <f>COUNTIF(Resp4[4.35],B12)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486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0</v>
      </c>
      <c r="E10" s="4">
        <f>COUNTIF(Resp4[4.36],B10)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COUNTIFS(Resp4[Vínculo],"tecnico",Resp4[4.36],B11)</f>
        <v>0</v>
      </c>
      <c r="D11" s="4">
        <f>COUNTIFS(Resp4[Vínculo],"docente",Resp4[4.36],B11)</f>
        <v>0</v>
      </c>
      <c r="E11" s="4">
        <f>COUNTIF(Resp4[4.36],B11)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COUNTIFS(Resp4[Vínculo],"tecnico",Resp4[4.36],B12)</f>
        <v>0</v>
      </c>
      <c r="D12" s="4">
        <f>COUNTIFS(Resp4[Vínculo],"docente",Resp4[4.36],B12)</f>
        <v>0</v>
      </c>
      <c r="E12" s="4">
        <f>COUNTIF(Resp4[4.36],B12)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0</v>
      </c>
      <c r="D7" s="4">
        <f>COUNTIFS(Resp4[Vínculo],"docente",Resp4[4.38],B7)</f>
        <v>0</v>
      </c>
      <c r="E7" s="2">
        <f>COUNTIF(Resp4[4.38],B7)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2</v>
      </c>
      <c r="D8" s="4">
        <f>COUNTIFS(Resp4[Vínculo],"docente",Resp4[4.38],B8)</f>
        <v>0</v>
      </c>
      <c r="E8" s="2">
        <f>COUNTIF(Resp4[4.38],B8)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486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0</v>
      </c>
      <c r="E10" s="4">
        <f>COUNTIF(Resp4[4.39],B10)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COUNTIFS(Resp4[Vínculo],"tecnico",Resp4[4.39],B11)</f>
        <v>0</v>
      </c>
      <c r="D11" s="4">
        <f>COUNTIFS(Resp4[Vínculo],"docente",Resp4[4.39],B11)</f>
        <v>0</v>
      </c>
      <c r="E11" s="4">
        <f>COUNTIF(Resp4[4.39],B11)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COUNTIFS(Resp4[Vínculo],"tecnico",Resp4[4.39],B12)</f>
        <v>0</v>
      </c>
      <c r="D12" s="4">
        <f>COUNTIFS(Resp4[Vínculo],"docente",Resp4[4.39],B12)</f>
        <v>0</v>
      </c>
      <c r="E12" s="4">
        <f>COUNTIF(Resp4[4.39],B12)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486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15">
        <f>ROUND($E6/E$13*100,2)</f>
        <v>100</v>
      </c>
    </row>
    <row r="7" spans="1:7" x14ac:dyDescent="0.25">
      <c r="B7" s="2" t="s">
        <v>494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0</v>
      </c>
      <c r="E10" s="4">
        <f>COUNTIF(Resp4[4.40],B10)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COUNTIFS(Resp4[Vínculo],"tecnico",Resp4[4.40],B11)</f>
        <v>0</v>
      </c>
      <c r="D11" s="4">
        <f>COUNTIFS(Resp4[Vínculo],"docente",Resp4[4.40],B11)</f>
        <v>0</v>
      </c>
      <c r="E11" s="4">
        <f>COUNTIF(Resp4[4.40],B11)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COUNTIFS(Resp4[Vínculo],"tecnico",Resp4[4.40],B12)</f>
        <v>0</v>
      </c>
      <c r="D12" s="4">
        <f>COUNTIFS(Resp4[Vínculo],"docente",Resp4[4.40],B12)</f>
        <v>0</v>
      </c>
      <c r="E12" s="4">
        <f>COUNTIF(Resp4[4.40],B12)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486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0</v>
      </c>
      <c r="E10" s="4">
        <f>COUNTIF(Resp4[4.41],B10)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COUNTIFS(Resp4[Vínculo],"tecnico",Resp4[4.41],B11)</f>
        <v>0</v>
      </c>
      <c r="D11" s="4">
        <f>COUNTIFS(Resp4[Vínculo],"docente",Resp4[4.41],B11)</f>
        <v>0</v>
      </c>
      <c r="E11" s="4">
        <f>COUNTIF(Resp4[4.41],B11)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486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COUNTIFS(Resp4[Vínculo],"tecnico",Resp4[4.42],B11)</f>
        <v>0</v>
      </c>
      <c r="D11" s="4">
        <f>COUNTIFS(Resp4[Vínculo],"docente",Resp4[4.42],B11)</f>
        <v>0</v>
      </c>
      <c r="E11" s="4">
        <f>COUNTIF(Resp4[4.42],B11)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COUNTIFS(Resp4[Vínculo],"tecnico",Resp4[4.42],B12)</f>
        <v>0</v>
      </c>
      <c r="D12" s="4">
        <f>COUNTIFS(Resp4[Vínculo],"docente",Resp4[4.42],B12)</f>
        <v>0</v>
      </c>
      <c r="E12" s="4">
        <f>COUNTIF(Resp4[4.42],B12)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486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0</v>
      </c>
      <c r="E10" s="4">
        <f>COUNTIF(Resp4[4.43],B10)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COUNTIFS(Resp4[Vínculo],"tecnico",Resp4[4.43],B11)</f>
        <v>0</v>
      </c>
      <c r="D11" s="4">
        <f>COUNTIFS(Resp4[Vínculo],"docente",Resp4[4.43],B11)</f>
        <v>0</v>
      </c>
      <c r="E11" s="4">
        <f>COUNTIF(Resp4[4.43],B11)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486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COUNTIFS(Resp4[Vínculo],"tecnico",Resp4[4.44],B11)</f>
        <v>0</v>
      </c>
      <c r="D11" s="4">
        <f>COUNTIFS(Resp4[Vínculo],"docente",Resp4[4.44],B11)</f>
        <v>0</v>
      </c>
      <c r="E11" s="4">
        <f>COUNTIF(Resp4[4.44],B11)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COUNTIFS(Resp4[Vínculo],"tecnico",Resp4[4.44],B12)</f>
        <v>0</v>
      </c>
      <c r="D12" s="4">
        <f>COUNTIFS(Resp4[Vínculo],"docente",Resp4[4.44],B12)</f>
        <v>0</v>
      </c>
      <c r="E12" s="4">
        <f>COUNTIF(Resp4[4.44],B12)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486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0</v>
      </c>
      <c r="E10" s="4">
        <f>COUNTIF(Resp4[4.45],B10)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COUNTIFS(Resp4[Vínculo],"tecnico",Resp4[4.45],B11)</f>
        <v>0</v>
      </c>
      <c r="D11" s="4">
        <f>COUNTIFS(Resp4[Vínculo],"docente",Resp4[4.45],B11)</f>
        <v>0</v>
      </c>
      <c r="E11" s="4">
        <f>COUNTIF(Resp4[4.45],B11)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0</v>
      </c>
      <c r="D7" s="4">
        <f>COUNTIFS(Resp4[Vínculo],"docente",Resp4[4.01],B7)</f>
        <v>0</v>
      </c>
      <c r="E7" s="2">
        <f>COUNTIF(Resp4[4.01],B7)</f>
        <v>0</v>
      </c>
      <c r="F7" s="3">
        <f t="shared" ref="F7:F8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</v>
      </c>
      <c r="D8" s="4">
        <f>COUNTIFS(Resp4[Vínculo],"docente",Resp4[4.01],B8)</f>
        <v>0</v>
      </c>
      <c r="E8" s="2">
        <f>COUNTIF(Resp4[4.01],B8)</f>
        <v>2</v>
      </c>
      <c r="F8" s="24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486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0</v>
      </c>
      <c r="E10" s="4">
        <f>COUNTIF(Resp4[4.46],B10)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COUNTIFS(Resp4[Vínculo],"tecnico",Resp4[4.46],B11)</f>
        <v>0</v>
      </c>
      <c r="D11" s="4">
        <f>COUNTIFS(Resp4[Vínculo],"docente",Resp4[4.46],B11)</f>
        <v>0</v>
      </c>
      <c r="E11" s="4">
        <f>COUNTIF(Resp4[4.46],B11)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COUNTIFS(Resp4[Vínculo],"tecnico",Resp4[4.46],B12)</f>
        <v>0</v>
      </c>
      <c r="D12" s="4">
        <f>COUNTIFS(Resp4[Vínculo],"docente",Resp4[4.46],B12)</f>
        <v>0</v>
      </c>
      <c r="E12" s="4">
        <f>COUNTIF(Resp4[4.46],B12)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486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0</v>
      </c>
      <c r="E10" s="4">
        <f>COUNTIF(Resp4[4.47],B10)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COUNTIFS(Resp4[Vínculo],"tecnico",Resp4[4.47],B11)</f>
        <v>0</v>
      </c>
      <c r="D11" s="4">
        <f>COUNTIFS(Resp4[Vínculo],"docente",Resp4[4.47],B11)</f>
        <v>0</v>
      </c>
      <c r="E11" s="4">
        <f>COUNTIF(Resp4[4.47],B11)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COUNTIFS(Resp4[Vínculo],"tecnico",Resp4[4.47],B12)</f>
        <v>0</v>
      </c>
      <c r="D12" s="4">
        <f>COUNTIFS(Resp4[Vínculo],"docente",Resp4[4.47],B12)</f>
        <v>0</v>
      </c>
      <c r="E12" s="4">
        <f>COUNTIF(Resp4[4.47],B12)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486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0</v>
      </c>
      <c r="E10" s="4">
        <f>COUNTIF(Resp4[4.48],B10)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COUNTIFS(Resp4[Vínculo],"tecnico",Resp4[4.48],B11)</f>
        <v>0</v>
      </c>
      <c r="D11" s="4">
        <f>COUNTIFS(Resp4[Vínculo],"docente",Resp4[4.48],B11)</f>
        <v>0</v>
      </c>
      <c r="E11" s="4">
        <f>COUNTIF(Resp4[4.48],B11)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COUNTIFS(Resp4[Vínculo],"tecnico",Resp4[4.48],B12)</f>
        <v>0</v>
      </c>
      <c r="D12" s="4">
        <f>COUNTIFS(Resp4[Vínculo],"docente",Resp4[4.48],B12)</f>
        <v>0</v>
      </c>
      <c r="E12" s="4">
        <f>COUNTIF(Resp4[4.48],B12)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0</v>
      </c>
      <c r="D7" s="4">
        <f>COUNTIFS(Resp4[Vínculo],"docente",Resp4[4.50],B7)</f>
        <v>0</v>
      </c>
      <c r="E7" s="2">
        <f>COUNTIF(Resp4[4.50],B7)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2</v>
      </c>
      <c r="D8" s="4">
        <f>COUNTIFS(Resp4[Vínculo],"docente",Resp4[4.50],B8)</f>
        <v>0</v>
      </c>
      <c r="E8" s="2">
        <f>COUNTIF(Resp4[4.50],B8)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0</v>
      </c>
      <c r="D7" s="4">
        <f>COUNTIFS(Resp4[Vínculo],"docente",Resp4[4.51],B7)</f>
        <v>0</v>
      </c>
      <c r="E7" s="2">
        <f>COUNTIF(Resp4[4.51],B7)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2</v>
      </c>
      <c r="D8" s="4">
        <f>COUNTIFS(Resp4[Vínculo],"docente",Resp4[4.51],B8)</f>
        <v>0</v>
      </c>
      <c r="E8" s="2">
        <f>COUNTIF(Resp4[4.51],B8)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486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COUNTIFS(Resp4[Vínculo],"tecnico",Resp4[4.52],B11)</f>
        <v>0</v>
      </c>
      <c r="D11" s="4">
        <f>COUNTIFS(Resp4[Vínculo],"docente",Resp4[4.52],B11)</f>
        <v>0</v>
      </c>
      <c r="E11" s="4">
        <f>COUNTIF(Resp4[4.52],B11)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COUNTIFS(Resp4[Vínculo],"tecnico",Resp4[4.52],B12)</f>
        <v>0</v>
      </c>
      <c r="D12" s="4">
        <f>COUNTIFS(Resp4[Vínculo],"docente",Resp4[4.52],B12)</f>
        <v>0</v>
      </c>
      <c r="E12" s="4">
        <f>COUNTIF(Resp4[4.52],B12)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486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0</v>
      </c>
      <c r="E10" s="4">
        <f>COUNTIF(Resp4[4.53],B10)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COUNTIFS(Resp4[Vínculo],"tecnico",Resp4[4.53],B11)</f>
        <v>0</v>
      </c>
      <c r="D11" s="4">
        <f>COUNTIFS(Resp4[Vínculo],"docente",Resp4[4.53],B11)</f>
        <v>0</v>
      </c>
      <c r="E11" s="4">
        <f>COUNTIF(Resp4[4.53],B11)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COUNTIFS(Resp4[Vínculo],"tecnico",Resp4[4.53],B12)</f>
        <v>0</v>
      </c>
      <c r="D12" s="4">
        <f>COUNTIFS(Resp4[Vínculo],"docente",Resp4[4.53],B12)</f>
        <v>0</v>
      </c>
      <c r="E12" s="4">
        <f>COUNTIF(Resp4[4.53],B12)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486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0</v>
      </c>
      <c r="E10" s="4">
        <f>COUNTIF(Resp4[4.54],B10)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COUNTIFS(Resp4[Vínculo],"tecnico",Resp4[4.02],B$8)</f>
        <v>0</v>
      </c>
      <c r="D11" s="4">
        <f>COUNTIFS(Resp4[Vínculo],"docente",Resp4[4.02],B11)</f>
        <v>0</v>
      </c>
      <c r="E11" s="4">
        <f>COUNTIF(Resp4[4.54],B11)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COUNTIFS(Resp4[Vínculo],"tecnico",Resp4[4.02],B$8)</f>
        <v>0</v>
      </c>
      <c r="D12" s="4">
        <f>COUNTIFS(Resp4[Vínculo],"docente",Resp4[4.02],B12)</f>
        <v>0</v>
      </c>
      <c r="E12" s="4">
        <f>COUNTIF(Resp4[4.54],B12)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486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0</v>
      </c>
      <c r="E10" s="4">
        <f>COUNTIF(Resp4[4.55],B10)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COUNTIFS(Resp4[Vínculo],"tecnico",Resp4[4.55],B11)</f>
        <v>0</v>
      </c>
      <c r="D11" s="4">
        <f>COUNTIFS(Resp4[Vínculo],"docente",Resp4[4.55],B11)</f>
        <v>0</v>
      </c>
      <c r="E11" s="4">
        <f>COUNTIF(Resp4[4.55],B11)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COUNTIFS(Resp4[Vínculo],"tecnico",Resp4[4.55],B12)</f>
        <v>0</v>
      </c>
      <c r="D12" s="4">
        <f>COUNTIFS(Resp4[Vínculo],"docente",Resp4[4.55],B12)</f>
        <v>0</v>
      </c>
      <c r="E12" s="4">
        <f>COUNTIF(Resp4[4.55],B12)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486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COUNTIFS(Resp4[Vínculo],"tecnico",Resp4[4.56],B9)</f>
        <v>0</v>
      </c>
      <c r="D9" s="4">
        <f>COUNTIFS(Resp4[Vínculo],"docente",Resp4[4.56],B9)</f>
        <v>0</v>
      </c>
      <c r="E9" s="4">
        <f>COUNTIF(Resp4[4.56],B9)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0</v>
      </c>
      <c r="E10" s="4">
        <f>COUNTIF(Resp4[4.56],B10)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COUNTIFS(Resp4[Vínculo],"tecnico",Resp4[4.56],B11)</f>
        <v>0</v>
      </c>
      <c r="D11" s="4">
        <f>COUNTIFS(Resp4[Vínculo],"docente",Resp4[4.56],B11)</f>
        <v>0</v>
      </c>
      <c r="E11" s="4">
        <f>COUNTIF(Resp4[4.56],B11)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COUNTIFS(Resp4[Vínculo],"tecnico",Resp4[4.56],B12)</f>
        <v>0</v>
      </c>
      <c r="D12" s="4">
        <f>COUNTIFS(Resp4[Vínculo],"docente",Resp4[4.56],B12)</f>
        <v>0</v>
      </c>
      <c r="E12" s="4">
        <f>COUNTIF(Resp4[4.56],B12)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486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COUNTIFS(Resp4[Vínculo],"tecnico",Resp4[4.71],B7)</f>
        <v>0</v>
      </c>
      <c r="D7" s="4">
        <f>COUNTIFS(Resp4[Vínculo],"docente",Resp4[4.71],B7)</f>
        <v>0</v>
      </c>
      <c r="E7" s="4">
        <f>COUNTIF(Resp4[4.71],B7)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COUNTIFS(Resp4[Vínculo],"tecnico",Resp4[4.71],B11)</f>
        <v>0</v>
      </c>
      <c r="D11" s="4">
        <f>COUNTIFS(Resp4[Vínculo],"docente",Resp4[4.71],B11)</f>
        <v>0</v>
      </c>
      <c r="E11" s="4">
        <f>COUNTIF(Resp4[4.71],B11)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COUNTIFS(Resp4[Vínculo],"tecnico",Resp4[4.71],B12)</f>
        <v>2</v>
      </c>
      <c r="D12" s="4">
        <f>COUNTIFS(Resp4[Vínculo],"docente",Resp4[4.71],B12)</f>
        <v>0</v>
      </c>
      <c r="E12" s="4">
        <f>COUNTIF(Resp4[4.71],B12)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486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COUNTIFS(Resp4[Vínculo],"tecnico",Resp4[4.57],B7)</f>
        <v>0</v>
      </c>
      <c r="D7" s="4">
        <f>COUNTIFS(Resp4[Vínculo],"docente",Resp4[4.57],B7)</f>
        <v>0</v>
      </c>
      <c r="E7" s="4">
        <f>COUNTIF(Resp4[4.57],B7)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0</v>
      </c>
      <c r="E10" s="4">
        <f>COUNTIF(Resp4[4.57],B10)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COUNTIFS(Resp4[Vínculo],"tecnico",Resp4[4.57],B11)</f>
        <v>0</v>
      </c>
      <c r="D11" s="4">
        <f>COUNTIFS(Resp4[Vínculo],"docente",Resp4[4.57],B11)</f>
        <v>0</v>
      </c>
      <c r="E11" s="4">
        <f>COUNTIF(Resp4[4.57],B11)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COUNTIFS(Resp4[Vínculo],"tecnico",Resp4[4.57],B12)</f>
        <v>0</v>
      </c>
      <c r="D12" s="4">
        <f>COUNTIFS(Resp4[Vínculo],"docente",Resp4[4.57],B12)</f>
        <v>0</v>
      </c>
      <c r="E12" s="4">
        <f>COUNTIF(Resp4[4.57],B12)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486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COUNTIFS(Resp4[Vínculo],"tecnico",Resp4[4.58],B7)</f>
        <v>0</v>
      </c>
      <c r="D7" s="4">
        <f>COUNTIFS(Resp4[Vínculo],"docente",Resp4[4.58],B7)</f>
        <v>0</v>
      </c>
      <c r="E7" s="4">
        <f>COUNTIF(Resp4[4.58],B7)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COUNTIFS(Resp4[Vínculo],"tecnico",Resp4[4.58],B9)</f>
        <v>0</v>
      </c>
      <c r="D9" s="4">
        <f>COUNTIFS(Resp4[Vínculo],"docente",Resp4[4.58],B9)</f>
        <v>0</v>
      </c>
      <c r="E9" s="4">
        <f>COUNTIF(Resp4[4.58],B9)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0</v>
      </c>
      <c r="E10" s="4">
        <f>COUNTIF(Resp4[4.58],B10)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COUNTIFS(Resp4[Vínculo],"tecnico",Resp4[4.58],B11)</f>
        <v>0</v>
      </c>
      <c r="D11" s="4">
        <f>COUNTIFS(Resp4[Vínculo],"docente",Resp4[4.58],B11)</f>
        <v>0</v>
      </c>
      <c r="E11" s="4">
        <f>COUNTIF(Resp4[4.58],B11)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COUNTIFS(Resp4[Vínculo],"tecnico",Resp4[4.58],B12)</f>
        <v>0</v>
      </c>
      <c r="D12" s="4">
        <f>COUNTIFS(Resp4[Vínculo],"docente",Resp4[4.58],B12)</f>
        <v>0</v>
      </c>
      <c r="E12" s="4">
        <f>COUNTIF(Resp4[4.58],B12)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486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COUNTIFS(Resp4[Vínculo],"tecnico",Resp4[4.59],B7)</f>
        <v>0</v>
      </c>
      <c r="D7" s="4">
        <f>COUNTIFS(Resp4[Vínculo],"docente",Resp4[4.59],B7)</f>
        <v>0</v>
      </c>
      <c r="E7" s="4">
        <f>COUNTIF(Resp4[4.59],B7)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COUNTIFS(Resp4[Vínculo],"tecnico",Resp4[4.59],B11)</f>
        <v>0</v>
      </c>
      <c r="D11" s="4">
        <f>COUNTIFS(Resp4[Vínculo],"docente",Resp4[4.59],B11)</f>
        <v>0</v>
      </c>
      <c r="E11" s="4">
        <f>COUNTIF(Resp4[4.59],B11)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COUNTIFS(Resp4[Vínculo],"tecnico",Resp4[4.59],B12)</f>
        <v>0</v>
      </c>
      <c r="D12" s="4">
        <f>COUNTIFS(Resp4[Vínculo],"docente",Resp4[4.59],B12)</f>
        <v>0</v>
      </c>
      <c r="E12" s="4">
        <f>COUNTIF(Resp4[4.59],B12)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486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COUNTIFS(Resp4[Vínculo],"tecnico",Resp4[4.60],B9)</f>
        <v>0</v>
      </c>
      <c r="D9" s="4">
        <f>COUNTIFS(Resp4[Vínculo],"docente",Resp4[4.60],B9)</f>
        <v>0</v>
      </c>
      <c r="E9" s="4">
        <f>COUNTIF(Resp4[4.60],B9)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0</v>
      </c>
      <c r="E10" s="4">
        <f>COUNTIF(Resp4[4.60],B10)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COUNTIFS(Resp4[Vínculo],"tecnico",Resp4[4.60],B11)</f>
        <v>0</v>
      </c>
      <c r="D11" s="4">
        <f>COUNTIFS(Resp4[Vínculo],"docente",Resp4[4.60],B11)</f>
        <v>0</v>
      </c>
      <c r="E11" s="4">
        <f>COUNTIF(Resp4[4.60],B11)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486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COUNTIFS(Resp4[Vínculo],"tecnico",Resp4[4.61],B7)</f>
        <v>0</v>
      </c>
      <c r="D7" s="4">
        <f>COUNTIFS(Resp4[Vínculo],"docente",Resp4[4.61],B7)</f>
        <v>0</v>
      </c>
      <c r="E7" s="4">
        <f>COUNTIF(Resp4[4.61],B7)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0</v>
      </c>
      <c r="E10" s="4">
        <f>COUNTIF(Resp4[4.61],B10)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COUNTIFS(Resp4[Vínculo],"tecnico",Resp4[4.61],B11)</f>
        <v>0</v>
      </c>
      <c r="D11" s="4">
        <f>COUNTIFS(Resp4[Vínculo],"docente",Resp4[4.61],B11)</f>
        <v>0</v>
      </c>
      <c r="E11" s="4">
        <f>COUNTIF(Resp4[4.61],B11)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COUNTIFS(Resp4[Vínculo],"tecnico",Resp4[4.61],B12)</f>
        <v>0</v>
      </c>
      <c r="D12" s="4">
        <f>COUNTIFS(Resp4[Vínculo],"docente",Resp4[4.61],B12)</f>
        <v>0</v>
      </c>
      <c r="E12" s="4">
        <f>COUNTIF(Resp4[4.61],B12)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486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COUNTIFS(Resp4[Vínculo],"tecnico",Resp4[4.62],B11)</f>
        <v>0</v>
      </c>
      <c r="D11" s="4">
        <f>COUNTIFS(Resp4[Vínculo],"docente",Resp4[4.62],B11)</f>
        <v>0</v>
      </c>
      <c r="E11" s="4">
        <f>COUNTIF(Resp4[4.62],B11)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COUNTIFS(Resp4[Vínculo],"tecnico",Resp4[4.62],B12)</f>
        <v>0</v>
      </c>
      <c r="D12" s="4">
        <f>COUNTIFS(Resp4[Vínculo],"docente",Resp4[4.62],B12)</f>
        <v>0</v>
      </c>
      <c r="E12" s="4">
        <f>COUNTIF(Resp4[4.62],B12)</f>
        <v>0</v>
      </c>
      <c r="F12" s="22">
        <f>ROUND($E12/E$13*100,2)</f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486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COUNTIFS(Resp4[Vínculo],"tecnico",Resp4[4.63],B11)</f>
        <v>0</v>
      </c>
      <c r="D11" s="4">
        <f>COUNTIFS(Resp4[Vínculo],"docente",Resp4[4.63],B11)</f>
        <v>0</v>
      </c>
      <c r="E11" s="4">
        <f>COUNTIF(Resp4[4.63],B11)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COUNTIFS(Resp4[Vínculo],"tecnico",Resp4[4.63],B12)</f>
        <v>0</v>
      </c>
      <c r="D12" s="4">
        <f>COUNTIFS(Resp4[Vínculo],"docente",Resp4[4.63],B12)</f>
        <v>0</v>
      </c>
      <c r="E12" s="4">
        <f>COUNTIF(Resp4[4.63],B12)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486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COUNTIFS(Resp4[Vínculo],"tecnico",Resp4[4.64],B7)</f>
        <v>0</v>
      </c>
      <c r="D7" s="4">
        <f>COUNTIFS(Resp4[Vínculo],"docente",Resp4[4.64],B7)</f>
        <v>0</v>
      </c>
      <c r="E7" s="4">
        <f>COUNTIF(Resp4[4.64],B7)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COUNTIFS(Resp4[Vínculo],"tecnico",Resp4[4.64],B9)</f>
        <v>0</v>
      </c>
      <c r="D9" s="4">
        <f>COUNTIFS(Resp4[Vínculo],"docente",Resp4[4.64],B9)</f>
        <v>0</v>
      </c>
      <c r="E9" s="4">
        <f>COUNTIF(Resp4[4.64],B9)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0</v>
      </c>
      <c r="E10" s="4">
        <f>COUNTIF(Resp4[4.64],B10)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COUNTIFS(Resp4[Vínculo],"tecnico",Resp4[4.64],B11)</f>
        <v>0</v>
      </c>
      <c r="D11" s="4">
        <f>COUNTIFS(Resp4[Vínculo],"docente",Resp4[4.64],B11)</f>
        <v>0</v>
      </c>
      <c r="E11" s="4">
        <f>COUNTIF(Resp4[4.64],B11)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486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COUNTIFS(Resp4[Vínculo],"tecnico",Resp4[4.65],B7)</f>
        <v>0</v>
      </c>
      <c r="D7" s="4">
        <f>COUNTIFS(Resp4[Vínculo],"docente",Resp4[4.65],B7)</f>
        <v>0</v>
      </c>
      <c r="E7" s="4">
        <f>COUNTIF(Resp4[4.65],B7)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COUNTIFS(Resp4[Vínculo],"tecnico",Resp4[4.65],B9)</f>
        <v>0</v>
      </c>
      <c r="D9" s="4">
        <f>COUNTIFS(Resp4[Vínculo],"docente",Resp4[4.65],B9)</f>
        <v>0</v>
      </c>
      <c r="E9" s="4">
        <f>COUNTIF(Resp4[4.65],B9)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0</v>
      </c>
      <c r="E10" s="4">
        <f>COUNTIF(Resp4[4.65],B10)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COUNTIFS(Resp4[Vínculo],"tecnico",Resp4[4.65],B11)</f>
        <v>0</v>
      </c>
      <c r="D11" s="4">
        <f>COUNTIFS(Resp4[Vínculo],"docente",Resp4[4.65],B11)</f>
        <v>0</v>
      </c>
      <c r="E11" s="4">
        <f>COUNTIF(Resp4[4.65],B11)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486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0</v>
      </c>
      <c r="E10" s="4">
        <f>COUNTIF(Resp4[4.66],B10)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COUNTIFS(Resp4[Vínculo],"tecnico",Resp4[4.66],B11)</f>
        <v>0</v>
      </c>
      <c r="D11" s="4">
        <f>COUNTIFS(Resp4[Vínculo],"docente",Resp4[4.66],B11)</f>
        <v>0</v>
      </c>
      <c r="E11" s="4">
        <f>COUNTIF(Resp4[4.66],B11)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COUNTIFS(Resp4[Vínculo],"tecnico",Resp4[4.66],B12)</f>
        <v>0</v>
      </c>
      <c r="D12" s="4">
        <f>COUNTIFS(Resp4[Vínculo],"docente",Resp4[4.66],B12)</f>
        <v>0</v>
      </c>
      <c r="E12" s="4">
        <f>COUNTIF(Resp4[4.66],B12)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0</v>
      </c>
      <c r="D7" s="4">
        <f>COUNTIFS(Resp4[Vínculo],"docente",Resp4[4.01],B7)</f>
        <v>0</v>
      </c>
      <c r="E7" s="2">
        <f>COUNTIF(Resp4[4.01],B7)</f>
        <v>0</v>
      </c>
      <c r="F7" s="3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</v>
      </c>
      <c r="D8" s="4">
        <f>COUNTIFS(Resp4[Vínculo],"docente",Resp4[4.01],B8)</f>
        <v>0</v>
      </c>
      <c r="E8" s="2">
        <f>COUNTIF(Resp4[4.01],B8)</f>
        <v>2</v>
      </c>
      <c r="F8" s="24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486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15">
        <f>ROUND($E6/E$13*100,2)</f>
        <v>100</v>
      </c>
    </row>
    <row r="7" spans="1:7" x14ac:dyDescent="0.25">
      <c r="B7" s="2" t="s">
        <v>494</v>
      </c>
      <c r="C7" s="4">
        <f>COUNTIFS(Resp4[Vínculo],"tecnico",Resp4[4.67],B7)</f>
        <v>0</v>
      </c>
      <c r="D7" s="4">
        <f>COUNTIFS(Resp4[Vínculo],"docente",Resp4[4.67],B7)</f>
        <v>0</v>
      </c>
      <c r="E7" s="4">
        <f>COUNTIF(Resp4[4.67],B7)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COUNTIFS(Resp4[Vínculo],"tecnico",Resp4[4.67],B9)</f>
        <v>0</v>
      </c>
      <c r="D9" s="4">
        <f>COUNTIFS(Resp4[Vínculo],"docente",Resp4[4.67],B9)</f>
        <v>0</v>
      </c>
      <c r="E9" s="4">
        <f>COUNTIF(Resp4[4.67],B9)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0</v>
      </c>
      <c r="E10" s="4">
        <f>COUNTIF(Resp4[4.67],B10)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COUNTIFS(Resp4[Vínculo],"tecnico",Resp4[4.67],B11)</f>
        <v>0</v>
      </c>
      <c r="D11" s="4">
        <f>COUNTIFS(Resp4[Vínculo],"docente",Resp4[4.67],B11)</f>
        <v>0</v>
      </c>
      <c r="E11" s="4">
        <f>COUNTIF(Resp4[4.67],B11)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486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COUNTIFS(Resp4[Vínculo],"tecnico",Resp4[4.68],B7)</f>
        <v>0</v>
      </c>
      <c r="D7" s="4">
        <f>COUNTIFS(Resp4[Vínculo],"docente",Resp4[4.68],B7)</f>
        <v>0</v>
      </c>
      <c r="E7" s="4">
        <f>COUNTIF(Resp4[4.68],B7)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0</v>
      </c>
      <c r="E10" s="4">
        <f>COUNTIF(Resp4[4.68],B10)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COUNTIFS(Resp4[Vínculo],"tecnico",Resp4[4.68],B11)</f>
        <v>0</v>
      </c>
      <c r="D11" s="4">
        <f>COUNTIFS(Resp4[Vínculo],"docente",Resp4[4.68],B11)</f>
        <v>0</v>
      </c>
      <c r="E11" s="4">
        <f>COUNTIF(Resp4[4.68],B11)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COUNTIFS(Resp4[Vínculo],"tecnico",Resp4[4.68],B12)</f>
        <v>0</v>
      </c>
      <c r="D12" s="4">
        <f>COUNTIFS(Resp4[Vínculo],"docente",Resp4[4.68],B12)</f>
        <v>0</v>
      </c>
      <c r="E12" s="4">
        <f>COUNTIF(Resp4[4.68],B12)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486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COUNTIFS(Resp4[Vínculo],"tecnico",Resp4[4.69],B7)</f>
        <v>0</v>
      </c>
      <c r="D7" s="4">
        <f>COUNTIFS(Resp4[Vínculo],"docente",Resp4[4.69],B7)</f>
        <v>0</v>
      </c>
      <c r="E7" s="4">
        <f>COUNTIF(Resp4[4.69],B7)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0</v>
      </c>
      <c r="E10" s="4">
        <f>COUNTIF(Resp4[4.69],B10)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COUNTIFS(Resp4[Vínculo],"tecnico",Resp4[4.69],B11)</f>
        <v>0</v>
      </c>
      <c r="D11" s="4">
        <f>COUNTIFS(Resp4[Vínculo],"docente",Resp4[4.69],B11)</f>
        <v>0</v>
      </c>
      <c r="E11" s="4">
        <f>COUNTIF(Resp4[4.69],B11)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COUNTIFS(Resp4[Vínculo],"tecnico",Resp4[4.69],B12)</f>
        <v>0</v>
      </c>
      <c r="D12" s="4">
        <f>COUNTIFS(Resp4[Vínculo],"docente",Resp4[4.69],B12)</f>
        <v>0</v>
      </c>
      <c r="E12" s="4">
        <f>COUNTIF(Resp4[4.69],B12)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486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COUNTIFS(Resp4[Vínculo],"tecnico",Resp4[4.71],B7)</f>
        <v>0</v>
      </c>
      <c r="D7" s="4">
        <f>COUNTIFS(Resp4[Vínculo],"docente",Resp4[4.71],B7)</f>
        <v>0</v>
      </c>
      <c r="E7" s="4">
        <f>COUNTIF(Resp4[4.71],B7)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COUNTIFS(Resp4[Vínculo],"tecnico",Resp4[4.71],B11)</f>
        <v>0</v>
      </c>
      <c r="D11" s="4">
        <f>COUNTIFS(Resp4[Vínculo],"docente",Resp4[4.71],B11)</f>
        <v>0</v>
      </c>
      <c r="E11" s="4">
        <f>COUNTIF(Resp4[4.71],B11)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COUNTIFS(Resp4[Vínculo],"tecnico",Resp4[4.71],B12)</f>
        <v>2</v>
      </c>
      <c r="D12" s="4">
        <f>COUNTIFS(Resp4[Vínculo],"docente",Resp4[4.71],B12)</f>
        <v>0</v>
      </c>
      <c r="E12" s="4">
        <f>COUNTIF(Resp4[4.71],B12)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486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s="90" t="s">
        <v>503</v>
      </c>
      <c r="C7" s="4">
        <f>COUNTIFS(Resp4[Vínculo],"tecnico",Resp4[4.72],B7)</f>
        <v>0</v>
      </c>
      <c r="D7" s="4">
        <f>COUNTIFS(Resp4[Vínculo],"docente",Resp4[4.72],B7)</f>
        <v>0</v>
      </c>
      <c r="E7" s="4">
        <f>COUNTIF(Resp4[4.72],B7)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COUNTIFS(Resp4[Vínculo],"tecnico",Resp4[4.72],B9)</f>
        <v>0</v>
      </c>
      <c r="D9" s="4">
        <f>COUNTIFS(Resp4[Vínculo],"docente",Resp4[4.72],B9)</f>
        <v>0</v>
      </c>
      <c r="E9" s="4">
        <f>COUNTIF(Resp4[4.72],B9)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COUNTIFS(Resp4[Vínculo],"tecnico",Resp4[4.72],B10)</f>
        <v>0</v>
      </c>
      <c r="D10" s="4">
        <f>COUNTIFS(Resp4[Vínculo],"docente",Resp4[4.72],B10)</f>
        <v>0</v>
      </c>
      <c r="E10" s="4">
        <f>COUNTIF(Resp4[4.72],B10)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COUNTIFS(Resp4[Vínculo],"tecnico",Resp4[4.72],B11)</f>
        <v>0</v>
      </c>
      <c r="D11" s="4">
        <f>COUNTIFS(Resp4[Vínculo],"docente",Resp4[4.72],B11)</f>
        <v>0</v>
      </c>
      <c r="E11" s="4">
        <f>COUNTIF(Resp4[4.72],B11)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COUNTIFS(Resp4[Vínculo],"tecnico",Resp4[4.72],B12)</f>
        <v>2</v>
      </c>
      <c r="D12" s="4">
        <f>COUNTIFS(Resp4[Vínculo],"docente",Resp4[4.72],B12)</f>
        <v>0</v>
      </c>
      <c r="E12" s="4">
        <f>COUNTIF(Resp4[4.72],B12)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486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s="90" t="s">
        <v>503</v>
      </c>
      <c r="C7" s="4">
        <f>COUNTIFS(Resp4[Vínculo],"tecnico",Resp4[4.73],B7)</f>
        <v>0</v>
      </c>
      <c r="D7" s="4">
        <f>COUNTIFS(Resp4[Vínculo],"docente",Resp4[4.73],B7)</f>
        <v>0</v>
      </c>
      <c r="E7" s="4">
        <f>COUNTIF(Resp4[4.73],B7)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0</v>
      </c>
      <c r="D10" s="4">
        <f>COUNTIFS(Resp4[Vínculo],"docente",Resp4[4.73],B10)</f>
        <v>0</v>
      </c>
      <c r="E10" s="4">
        <f>COUNTIF(Resp4[4.73],B10)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COUNTIFS(Resp4[Vínculo],"tecnico",Resp4[4.73],B11)</f>
        <v>0</v>
      </c>
      <c r="D11" s="4">
        <f>COUNTIFS(Resp4[Vínculo],"docente",Resp4[4.73],B11)</f>
        <v>0</v>
      </c>
      <c r="E11" s="4">
        <f>COUNTIF(Resp4[4.73],B11)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COUNTIFS(Resp4[Vínculo],"tecnico",Resp4[4.73],B12)</f>
        <v>2</v>
      </c>
      <c r="D12" s="4">
        <f>COUNTIFS(Resp4[Vínculo],"docente",Resp4[4.73],B12)</f>
        <v>0</v>
      </c>
      <c r="E12" s="4">
        <f>COUNTIF(Resp4[4.73],B12)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486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COUNTIFS(Resp4[Vínculo],"tecnico",Resp4[4.74],B7)</f>
        <v>0</v>
      </c>
      <c r="D7" s="4">
        <f>COUNTIFS(Resp4[Vínculo],"docente",Resp4[4.74],B7)</f>
        <v>0</v>
      </c>
      <c r="E7" s="4">
        <f>COUNTIF(Resp4[4.74],B7)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0</v>
      </c>
      <c r="E10" s="4">
        <f>COUNTIF(Resp4[4.74],B10)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COUNTIFS(Resp4[Vínculo],"tecnico",Resp4[4.74],B11)</f>
        <v>0</v>
      </c>
      <c r="D11" s="4">
        <f>COUNTIFS(Resp4[Vínculo],"docente",Resp4[4.74],B11)</f>
        <v>0</v>
      </c>
      <c r="E11" s="4">
        <f>COUNTIF(Resp4[4.74],B11)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COUNTIFS(Resp4[Vínculo],"tecnico",Resp4[4.74],B12)</f>
        <v>2</v>
      </c>
      <c r="D12" s="4">
        <f>COUNTIFS(Resp4[Vínculo],"docente",Resp4[4.74],B12)</f>
        <v>0</v>
      </c>
      <c r="E12" s="4">
        <f>COUNTIF(Resp4[4.74],B12)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486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COUNTIFS(Resp4[Vínculo],"tecnico",Resp4[4.75],B7)</f>
        <v>0</v>
      </c>
      <c r="D7" s="4">
        <f>COUNTIFS(Resp4[Vínculo],"docente",Resp4[4.75],B7)</f>
        <v>0</v>
      </c>
      <c r="E7" s="4">
        <f>COUNTIF(Resp4[4.75],B7)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0</v>
      </c>
      <c r="E10" s="4">
        <f>COUNTIF(Resp4[4.75],B10)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COUNTIFS(Resp4[Vínculo],"tecnico",Resp4[4.75],B11)</f>
        <v>0</v>
      </c>
      <c r="D11" s="4">
        <f>COUNTIFS(Resp4[Vínculo],"docente",Resp4[4.75],B11)</f>
        <v>0</v>
      </c>
      <c r="E11" s="4">
        <f>COUNTIF(Resp4[4.75],B11)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COUNTIFS(Resp4[Vínculo],"tecnico",Resp4[4.75],B12)</f>
        <v>2</v>
      </c>
      <c r="D12" s="4">
        <f>COUNTIFS(Resp4[Vínculo],"docente",Resp4[4.75],B12)</f>
        <v>0</v>
      </c>
      <c r="E12" s="4">
        <f>COUNTIF(Resp4[4.75],B12)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486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COUNTIFS(Resp4[Vínculo],"tecnico",Resp4[4.76],B7)</f>
        <v>0</v>
      </c>
      <c r="D7" s="4">
        <f>COUNTIFS(Resp4[Vínculo],"docente",Resp4[4.76],B7)</f>
        <v>0</v>
      </c>
      <c r="E7" s="4">
        <f>COUNTIF(Resp4[4.76],B7)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0</v>
      </c>
      <c r="D10" s="4">
        <f>COUNTIFS(Resp4[Vínculo],"docente",Resp4[4.76],B10)</f>
        <v>0</v>
      </c>
      <c r="E10" s="4">
        <f>COUNTIF(Resp4[4.76],B10)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COUNTIFS(Resp4[Vínculo],"tecnico",Resp4[4.76],B11)</f>
        <v>0</v>
      </c>
      <c r="D11" s="4">
        <f>COUNTIFS(Resp4[Vínculo],"docente",Resp4[4.76],B11)</f>
        <v>0</v>
      </c>
      <c r="E11" s="4">
        <f>COUNTIF(Resp4[4.76],B11)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COUNTIFS(Resp4[Vínculo],"tecnico",Resp4[4.76],B12)</f>
        <v>2</v>
      </c>
      <c r="D12" s="4">
        <f>COUNTIFS(Resp4[Vínculo],"docente",Resp4[4.76],B12)</f>
        <v>0</v>
      </c>
      <c r="E12" s="4">
        <f>COUNTIF(Resp4[4.76],B12)</f>
        <v>2</v>
      </c>
      <c r="F12" s="4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88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486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503</v>
      </c>
      <c r="C7" s="4">
        <f>COUNTIFS(Resp4[Vínculo],"tecnico",Resp4[4.77],B7)</f>
        <v>0</v>
      </c>
      <c r="D7" s="4">
        <f>COUNTIFS(Resp4[Vínculo],"docente",Resp4[4.77],B7)</f>
        <v>0</v>
      </c>
      <c r="E7" s="4">
        <f>COUNTIF(Resp4[4.77],B7)</f>
        <v>0</v>
      </c>
      <c r="F7" s="4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495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496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0</v>
      </c>
      <c r="E10" s="4">
        <f>COUNTIF(Resp4[4.74],B10)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497</v>
      </c>
      <c r="C11" s="4">
        <f>COUNTIFS(Resp4[Vínculo],"tecnico",Resp4[4.74],B11)</f>
        <v>0</v>
      </c>
      <c r="D11" s="4">
        <f>COUNTIFS(Resp4[Vínculo],"docente",Resp4[4.74],B11)</f>
        <v>0</v>
      </c>
      <c r="E11" s="4">
        <f>COUNTIF(Resp4[4.74],B11)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COUNTIFS(Resp4[Vínculo],"tecnico",Resp4[4.74],B12)</f>
        <v>2</v>
      </c>
      <c r="D12" s="4">
        <f>COUNTIFS(Resp4[Vínculo],"docente",Resp4[4.74],B12)</f>
        <v>0</v>
      </c>
      <c r="E12" s="4">
        <f>COUNTIF(Resp4[4.74],B12)</f>
        <v>2</v>
      </c>
      <c r="F12" s="22">
        <f t="shared" si="0"/>
        <v>100</v>
      </c>
      <c r="G12" s="3">
        <f t="shared" si="1"/>
        <v>100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89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486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3">
        <f>ROUND($E6/E$13*100,2)</f>
        <v>100</v>
      </c>
    </row>
    <row r="7" spans="1:7" x14ac:dyDescent="0.25">
      <c r="B7" s="2" t="s">
        <v>494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COUNTIFS(Resp4[Vínculo],"docente",Resp4[4.02],B12)</f>
        <v>0</v>
      </c>
      <c r="E12" s="4">
        <f>COUNTIF(Resp4[4.02],B12)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486</v>
      </c>
      <c r="B3" s="2" t="str">
        <f>VLOOKUP(A$2,Eixo4[],4,FALSE)</f>
        <v>Eixo 4: Questão 79</v>
      </c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t="s">
        <v>502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505</v>
      </c>
      <c r="C7" s="4">
        <f>COUNTIFS(Resp4[Vínculo],"tecnico",Resp4[4.79],C14)</f>
        <v>0</v>
      </c>
      <c r="D7" s="4">
        <f>COUNTIFS(Resp4[Vínculo],"docente",Resp4[4.79],C14)</f>
        <v>0</v>
      </c>
      <c r="E7" s="4">
        <f>COUNTIF(Resp4[4.79],C14)</f>
        <v>0</v>
      </c>
      <c r="F7" s="4">
        <f t="shared" ref="F7:F11" si="0">ROUND($E7/E$11*100,2)</f>
        <v>0</v>
      </c>
      <c r="G7" s="3">
        <f>ROUND($E7/SUM($E$7:$E$10)*100,3)</f>
        <v>0</v>
      </c>
    </row>
    <row r="8" spans="1:7" x14ac:dyDescent="0.25">
      <c r="B8" t="s">
        <v>506</v>
      </c>
      <c r="C8" s="4">
        <f>COUNTIFS(Resp4[Vínculo],"tecnico",Resp4[4.79],C15)</f>
        <v>0</v>
      </c>
      <c r="D8" s="4">
        <f>COUNTIFS(Resp4[Vínculo],"docente",Resp4[4.79],C15)</f>
        <v>0</v>
      </c>
      <c r="E8" s="4">
        <f>COUNTIF(Resp4[4.79],C15)</f>
        <v>0</v>
      </c>
      <c r="F8" s="4">
        <f t="shared" si="0"/>
        <v>0</v>
      </c>
      <c r="G8" s="3">
        <f>ROUND($E8/SUM($E$7:$E$10)*100,3)</f>
        <v>0</v>
      </c>
    </row>
    <row r="9" spans="1:7" x14ac:dyDescent="0.25">
      <c r="B9" t="s">
        <v>507</v>
      </c>
      <c r="C9" s="4">
        <f>COUNTIFS(Resp4[Vínculo],"tecnico",Resp4[4.79],C16)</f>
        <v>1</v>
      </c>
      <c r="D9" s="4">
        <f>COUNTIFS(Resp4[Vínculo],"docente",Resp4[4.79],C16)</f>
        <v>0</v>
      </c>
      <c r="E9" s="4">
        <f>COUNTIF(Resp4[4.79],C16)</f>
        <v>1</v>
      </c>
      <c r="F9" s="4">
        <f t="shared" si="0"/>
        <v>50</v>
      </c>
      <c r="G9" s="3">
        <f>ROUND($E9/SUM($E$7:$E$10)*100,3)</f>
        <v>50</v>
      </c>
    </row>
    <row r="10" spans="1:7" x14ac:dyDescent="0.25">
      <c r="B10" s="23" t="s">
        <v>198</v>
      </c>
      <c r="C10" s="22">
        <f>COUNTIFS(Resp4[Vínculo],"tecnico",Resp4[4.79],B10)</f>
        <v>1</v>
      </c>
      <c r="D10" s="22">
        <f>COUNTIFS(Resp4[Vínculo],"docente",Resp4[4.79],B10)</f>
        <v>0</v>
      </c>
      <c r="E10" s="22">
        <f>COUNTIF(Resp4[4.79],B10)</f>
        <v>1</v>
      </c>
      <c r="F10" s="22">
        <f t="shared" si="0"/>
        <v>50</v>
      </c>
      <c r="G10" s="24">
        <f>ROUND($E10/SUM($E$7:$E$10)*100,3)</f>
        <v>50</v>
      </c>
    </row>
    <row r="11" spans="1:7" x14ac:dyDescent="0.25">
      <c r="B11" t="s">
        <v>498</v>
      </c>
      <c r="C11">
        <f>SUM(C6:C10)</f>
        <v>2</v>
      </c>
      <c r="D11">
        <f>SUM(D6:D10)</f>
        <v>0</v>
      </c>
      <c r="E11">
        <f>SUM(C11:D11)</f>
        <v>2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508</v>
      </c>
      <c r="C13" s="26" t="s">
        <v>509</v>
      </c>
      <c r="D13" s="26"/>
      <c r="E13" s="26"/>
      <c r="F13" s="26"/>
    </row>
    <row r="14" spans="1:7" x14ac:dyDescent="0.25">
      <c r="B14" t="s">
        <v>505</v>
      </c>
      <c r="C14" t="s">
        <v>510</v>
      </c>
    </row>
    <row r="15" spans="1:7" x14ac:dyDescent="0.25">
      <c r="B15" t="s">
        <v>506</v>
      </c>
      <c r="C15" t="s">
        <v>511</v>
      </c>
    </row>
    <row r="16" spans="1:7" x14ac:dyDescent="0.25">
      <c r="B16" t="s">
        <v>507</v>
      </c>
      <c r="C16" t="s">
        <v>200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2</v>
      </c>
      <c r="D7" s="4">
        <f>COUNTIFS(Resp4[Vínculo],"docente",Resp4[4.81],B7)</f>
        <v>0</v>
      </c>
      <c r="E7" s="2">
        <f>COUNTIF(Resp4[4.81],B7)</f>
        <v>2</v>
      </c>
      <c r="F7" s="15">
        <f t="shared" ref="F7:F9" si="0">ROUND($E7/E$9*100,2)</f>
        <v>100</v>
      </c>
      <c r="G7" s="4">
        <f>ROUND($E7/SUM($E$7:$E$8)*100,2)</f>
        <v>100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0</v>
      </c>
      <c r="D8" s="4">
        <f>COUNTIFS(Resp4[Vínculo],"docente",Resp4[4.81],B8)</f>
        <v>0</v>
      </c>
      <c r="E8" s="2">
        <f>COUNTIF(Resp4[4.81],B8)</f>
        <v>0</v>
      </c>
      <c r="F8" s="19">
        <f t="shared" si="0"/>
        <v>0</v>
      </c>
      <c r="G8" s="4">
        <f>ROUND($E8/SUM($E$7:$E$8)*100,2)</f>
        <v>0</v>
      </c>
      <c r="H8" s="2"/>
    </row>
    <row r="9" spans="1:8" s="30" customFormat="1" ht="14.25" customHeight="1" x14ac:dyDescent="0.25">
      <c r="A9" s="29"/>
      <c r="B9" s="28" t="s">
        <v>498</v>
      </c>
      <c r="C9" s="28">
        <f>SUM(C6:C8)</f>
        <v>2</v>
      </c>
      <c r="D9" s="28">
        <f>SUM(D6:D8)</f>
        <v>0</v>
      </c>
      <c r="E9" s="28">
        <f>SUM(C9:D9)</f>
        <v>2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486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487</v>
      </c>
      <c r="C5" s="5" t="s">
        <v>196</v>
      </c>
      <c r="D5" s="5" t="s">
        <v>489</v>
      </c>
      <c r="E5" s="5" t="s">
        <v>490</v>
      </c>
      <c r="F5" s="6" t="s">
        <v>491</v>
      </c>
      <c r="G5" s="5" t="s">
        <v>492</v>
      </c>
      <c r="H5" s="2"/>
    </row>
    <row r="6" spans="1:8" x14ac:dyDescent="0.25">
      <c r="A6" s="2"/>
      <c r="B6" s="2" t="s">
        <v>502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0</v>
      </c>
      <c r="D7" s="4">
        <f>COUNTIFS(Resp4[Vínculo],"docente",Resp4[4.85],B7)</f>
        <v>0</v>
      </c>
      <c r="E7" s="2">
        <f>COUNTIF(Resp4[4.85],B7)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2</v>
      </c>
      <c r="D8" s="4">
        <f>COUNTIFS(Resp4[Vínculo],"docente",Resp4[4.85],B8)</f>
        <v>0</v>
      </c>
      <c r="E8" s="2">
        <f>COUNTIF(Resp4[4.85],B8)</f>
        <v>2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498</v>
      </c>
      <c r="C9" s="8">
        <f>SUM(C6:C8)</f>
        <v>2</v>
      </c>
      <c r="D9" s="8">
        <f>SUM(D6:D8)</f>
        <v>0</v>
      </c>
      <c r="E9" s="8">
        <f>SUM(C9:D9)</f>
        <v>2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486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0</v>
      </c>
      <c r="E10" s="4">
        <f>COUNTIF(Resp4[4.86],B10)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COUNTIFS(Resp4[Vínculo],"tecnico",Resp4[4.86],B11)</f>
        <v>0</v>
      </c>
      <c r="D11" s="4">
        <f>COUNTIFS(Resp4[Vínculo],"docente",Resp4[4.86],B11)</f>
        <v>0</v>
      </c>
      <c r="E11" s="4">
        <f>COUNTIF(Resp4[4.86],B11)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COUNTIFS(Resp4[Vínculo],"tecnico",Resp4[4.86],B12)</f>
        <v>0</v>
      </c>
      <c r="D12" s="4">
        <f>COUNTIFS(Resp4[Vínculo],"docente",Resp4[4.86],B12)</f>
        <v>0</v>
      </c>
      <c r="E12" s="4">
        <f>COUNTIF(Resp4[4.86],B12)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486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 t="e">
        <f t="shared" ref="G7:G12" si="0">ROUND($E7/SUM($E$7:$E$12)*100,3)</f>
        <v>#DIV/0!</v>
      </c>
    </row>
    <row r="8" spans="1:7" x14ac:dyDescent="0.25">
      <c r="B8" s="2" t="s">
        <v>495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 t="e">
        <f t="shared" si="0"/>
        <v>#DIV/0!</v>
      </c>
    </row>
    <row r="9" spans="1:7" x14ac:dyDescent="0.25">
      <c r="B9" s="2" t="s">
        <v>496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 t="e">
        <f t="shared" si="0"/>
        <v>#DIV/0!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0</v>
      </c>
      <c r="E10" s="4">
        <f>COUNTIF(Resp4[4.87],B10)</f>
        <v>0</v>
      </c>
      <c r="F10" s="4">
        <f>ROUND($E10/E$13*100,2)</f>
        <v>0</v>
      </c>
      <c r="G10" s="3" t="e">
        <f t="shared" si="0"/>
        <v>#DIV/0!</v>
      </c>
    </row>
    <row r="11" spans="1:7" x14ac:dyDescent="0.25">
      <c r="B11" s="2" t="s">
        <v>497</v>
      </c>
      <c r="C11" s="4">
        <f>COUNTIFS(Resp4[Vínculo],"tecnico",Resp4[4.87],B11)</f>
        <v>0</v>
      </c>
      <c r="D11" s="4">
        <f>COUNTIFS(Resp4[Vínculo],"docente",Resp4[4.87],B11)</f>
        <v>0</v>
      </c>
      <c r="E11" s="4">
        <f>COUNTIF(Resp4[4.87],B11)</f>
        <v>0</v>
      </c>
      <c r="F11" s="4">
        <f>ROUND($E11/E$13*100,2)</f>
        <v>0</v>
      </c>
      <c r="G11" s="3" t="e">
        <f t="shared" si="0"/>
        <v>#DIV/0!</v>
      </c>
    </row>
    <row r="12" spans="1:7" x14ac:dyDescent="0.25">
      <c r="B12" s="7" t="s">
        <v>197</v>
      </c>
      <c r="C12" s="4">
        <f>COUNTIFS(Resp4[Vínculo],"tecnico",Resp4[4.87],B12)</f>
        <v>0</v>
      </c>
      <c r="D12" s="4">
        <f>COUNTIFS(Resp4[Vínculo],"docente",Resp4[4.87],B12)</f>
        <v>0</v>
      </c>
      <c r="E12" s="4">
        <f>COUNTIF(Resp4[4.87],B12)</f>
        <v>0</v>
      </c>
      <c r="F12" s="22">
        <f>ROUND($E12/E$13*100,2)</f>
        <v>0</v>
      </c>
      <c r="G12" s="3" t="e">
        <f t="shared" si="0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1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486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15">
        <f>ROUND($E6/E$13*100,2)</f>
        <v>100</v>
      </c>
    </row>
    <row r="7" spans="1:7" x14ac:dyDescent="0.25">
      <c r="B7" s="2" t="s">
        <v>494</v>
      </c>
      <c r="C7" s="4">
        <f>COUNTIFS(Resp4[Vínculo],"tecnico",Resp4[4.88],B7)</f>
        <v>0</v>
      </c>
      <c r="D7" s="4">
        <f>COUNTIFS(Resp4[Vínculo],"docente",Resp4[4.88],B7)</f>
        <v>0</v>
      </c>
      <c r="E7" s="4">
        <f>COUNTIF(Resp4[4.88],B7)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COUNTIFS(Resp4[Vínculo],"tecnico",Resp4[4.88],B11)</f>
        <v>0</v>
      </c>
      <c r="D11" s="4">
        <f>COUNTIFS(Resp4[Vínculo],"docente",Resp4[4.88],B11)</f>
        <v>0</v>
      </c>
      <c r="E11" s="4">
        <f>COUNTIF(Resp4[4.88],B11)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COUNTIFS(Resp4[Vínculo],"tecnico",Resp4[4.88],B12)</f>
        <v>0</v>
      </c>
      <c r="D12" s="4">
        <f>COUNTIFS(Resp4[Vínculo],"docente",Resp4[4.88],B12)</f>
        <v>0</v>
      </c>
      <c r="E12" s="4">
        <f>COUNTIF(Resp4[4.88],B12)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486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COUNTIFS(Resp4[Vínculo],"tecnico",Resp4[4.89],B7)</f>
        <v>0</v>
      </c>
      <c r="D7" s="4">
        <f>COUNTIFS(Resp4[Vínculo],"docente",Resp4[4.89],B7)</f>
        <v>0</v>
      </c>
      <c r="E7" s="4">
        <f>COUNTIF(Resp4[4.89],B7)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0</v>
      </c>
      <c r="E10" s="4">
        <f>COUNTIF(Resp4[4.89],B10)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COUNTIFS(Resp4[Vínculo],"tecnico",Resp4[4.89],B11)</f>
        <v>0</v>
      </c>
      <c r="D11" s="4">
        <f>COUNTIFS(Resp4[Vínculo],"docente",Resp4[4.89],B11)</f>
        <v>0</v>
      </c>
      <c r="E11" s="4">
        <f>COUNTIF(Resp4[4.89],B11)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COUNTIFS(Resp4[Vínculo],"tecnico",Resp4[4.89],B12)</f>
        <v>0</v>
      </c>
      <c r="D12" s="4">
        <f>COUNTIFS(Resp4[Vínculo],"docente",Resp4[4.89],B12)</f>
        <v>0</v>
      </c>
      <c r="E12" s="4">
        <f>COUNTIF(Resp4[4.89],B12)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486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COUNTIFS(Resp4[Vínculo],"tecnico",Resp4[4.90],B7)</f>
        <v>0</v>
      </c>
      <c r="D7" s="4">
        <f>COUNTIFS(Resp4[Vínculo],"docente",Resp4[4.90],B7)</f>
        <v>0</v>
      </c>
      <c r="E7" s="4">
        <f>COUNTIF(Resp4[4.90],B7)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COUNTIFS(Resp4[Vínculo],"tecnico",Resp4[4.90],B9)</f>
        <v>0</v>
      </c>
      <c r="D9" s="4">
        <f>COUNTIFS(Resp4[Vínculo],"docente",Resp4[4.90],B9)</f>
        <v>0</v>
      </c>
      <c r="E9" s="4">
        <f>COUNTIF(Resp4[4.90],B9)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COUNTIFS(Resp4[Vínculo],"tecnico",Resp4[4.90],B11)</f>
        <v>0</v>
      </c>
      <c r="D11" s="4">
        <f>COUNTIFS(Resp4[Vínculo],"docente",Resp4[4.90],B11)</f>
        <v>0</v>
      </c>
      <c r="E11" s="4">
        <f>COUNTIF(Resp4[4.90],B11)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COUNTIFS(Resp4[Vínculo],"tecnico",Resp4[4.90],B12)</f>
        <v>0</v>
      </c>
      <c r="D12" s="4">
        <f>COUNTIFS(Resp4[Vínculo],"docente",Resp4[4.90],B12)</f>
        <v>0</v>
      </c>
      <c r="E12" s="4">
        <f>COUNTIF(Resp4[4.90],B12)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486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COUNTIFS(Resp4[Vínculo],"tecnico",Resp4[4.91],B9)</f>
        <v>0</v>
      </c>
      <c r="D9" s="4">
        <f>COUNTIFS(Resp4[Vínculo],"docente",Resp4[4.91],B9)</f>
        <v>0</v>
      </c>
      <c r="E9" s="4">
        <f>COUNTIF(Resp4[4.91],B9)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0</v>
      </c>
      <c r="E10" s="4">
        <f>COUNTIF(Resp4[4.91],B10)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COUNTIFS(Resp4[Vínculo],"tecnico",Resp4[4.91],B11)</f>
        <v>0</v>
      </c>
      <c r="D11" s="4">
        <f>COUNTIFS(Resp4[Vínculo],"docente",Resp4[4.91],B11)</f>
        <v>0</v>
      </c>
      <c r="E11" s="4">
        <f>COUNTIF(Resp4[4.91],B11)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COUNTIFS(Resp4[Vínculo],"tecnico",Resp4[4.91],B12)</f>
        <v>0</v>
      </c>
      <c r="D12" s="4">
        <f>COUNTIFS(Resp4[Vínculo],"docente",Resp4[4.91],B12)</f>
        <v>0</v>
      </c>
      <c r="E12" s="4">
        <f>COUNTIF(Resp4[4.91],B12)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486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0</v>
      </c>
      <c r="E10" s="4">
        <f>COUNTIF(Resp4[4.92],B10)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COUNTIFS(Resp4[Vínculo],"tecnico",Resp4[4.92],B11)</f>
        <v>0</v>
      </c>
      <c r="D11" s="4">
        <f>COUNTIFS(Resp4[Vínculo],"docente",Resp4[4.92],B11)</f>
        <v>0</v>
      </c>
      <c r="E11" s="4">
        <f>COUNTIF(Resp4[4.92],B11)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COUNTIFS(Resp4[Vínculo],"tecnico",Resp4[4.92],B12)</f>
        <v>0</v>
      </c>
      <c r="D12" s="4">
        <f>COUNTIFS(Resp4[Vínculo],"docente",Resp4[4.92],B12)</f>
        <v>0</v>
      </c>
      <c r="E12" s="4">
        <f>COUNTIF(Resp4[4.92],B12)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486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103">
        <f t="shared" ref="F6:F13" si="0">ROUND($E6/E$13*100,2)</f>
        <v>100</v>
      </c>
    </row>
    <row r="7" spans="1:7" x14ac:dyDescent="0.25">
      <c r="B7" s="2" t="s">
        <v>494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10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0</v>
      </c>
      <c r="E10" s="4">
        <f>COUNTIF(Resp4[4.03],B10)</f>
        <v>0</v>
      </c>
      <c r="F10" s="103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COUNTIFS(Resp4[Vínculo],"tecnico",Resp4[4.03],B11)</f>
        <v>0</v>
      </c>
      <c r="D11" s="4">
        <f>COUNTIFS(Resp4[Vínculo],"docente",Resp4[4.03],B11)</f>
        <v>0</v>
      </c>
      <c r="E11" s="4">
        <f>COUNTIF(Resp4[4.03],B11)</f>
        <v>0</v>
      </c>
      <c r="F11" s="10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COUNTIFS(Resp4[Vínculo],"tecnico",Resp4[4.03],B12)</f>
        <v>0</v>
      </c>
      <c r="D12" s="4">
        <f>COUNTIFS(Resp4[Vínculo],"docente",Resp4[4.03],B12)</f>
        <v>0</v>
      </c>
      <c r="E12" s="4">
        <f>COUNTIF(Resp4[4.03],B12)</f>
        <v>0</v>
      </c>
      <c r="F12" s="104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486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COUNTIFS(Resp4[Vínculo],"tecnico",Resp4[4.93],B7)</f>
        <v>0</v>
      </c>
      <c r="D7" s="4">
        <f>COUNTIFS(Resp4[Vínculo],"docente",Resp4[4.93],B7)</f>
        <v>0</v>
      </c>
      <c r="E7" s="4">
        <f>COUNTIF(Resp4[4.93],B7)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0</v>
      </c>
      <c r="E10" s="4">
        <f>COUNTIF(Resp4[4.93],B10)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COUNTIFS(Resp4[Vínculo],"tecnico",Resp4[4.93],B11)</f>
        <v>0</v>
      </c>
      <c r="D11" s="4">
        <f>COUNTIFS(Resp4[Vínculo],"docente",Resp4[4.93],B11)</f>
        <v>0</v>
      </c>
      <c r="E11" s="4">
        <f>COUNTIF(Resp4[4.93],B11)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COUNTIFS(Resp4[Vínculo],"tecnico",Resp4[4.93],B12)</f>
        <v>0</v>
      </c>
      <c r="D12" s="4">
        <f>COUNTIFS(Resp4[Vínculo],"docente",Resp4[4.93],B12)</f>
        <v>0</v>
      </c>
      <c r="E12" s="4">
        <f>COUNTIF(Resp4[4.93],B12)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486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COUNTIFS(Resp4[Vínculo],"tecnico",Resp4[4.94],B8)</f>
        <v>0</v>
      </c>
      <c r="D8" s="4">
        <f>COUNTIFS(Resp4[Vínculo],"docente",Resp4[4.94],B8)</f>
        <v>0</v>
      </c>
      <c r="E8" s="4">
        <f>COUNTIF(Resp4[4.94],B8)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COUNTIFS(Resp4[Vínculo],"tecnico",Resp4[4.94],B9)</f>
        <v>0</v>
      </c>
      <c r="D9" s="4">
        <f>COUNTIFS(Resp4[Vínculo],"docente",Resp4[4.94],B9)</f>
        <v>0</v>
      </c>
      <c r="E9" s="4">
        <f>COUNTIF(Resp4[4.94],B9)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COUNTIFS(Resp4[Vínculo],"tecnico",Resp4[4.94],B10)</f>
        <v>0</v>
      </c>
      <c r="D10" s="4">
        <f>COUNTIFS(Resp4[Vínculo],"docente",Resp4[4.94],B10)</f>
        <v>0</v>
      </c>
      <c r="E10" s="4">
        <f>COUNTIF(Resp4[4.94],B10)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COUNTIFS(Resp4[Vínculo],"tecnico",Resp4[4.94],B11)</f>
        <v>0</v>
      </c>
      <c r="D11" s="4">
        <f>COUNTIFS(Resp4[Vínculo],"docente",Resp4[4.94],B11)</f>
        <v>0</v>
      </c>
      <c r="E11" s="4">
        <f>COUNTIF(Resp4[4.94],B11)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486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0</v>
      </c>
      <c r="E10" s="4">
        <f>COUNTIF(Resp4[4.95],B10)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COUNTIFS(Resp4[Vínculo],"tecnico",Resp4[4.95],B11)</f>
        <v>0</v>
      </c>
      <c r="D11" s="4">
        <f>COUNTIFS(Resp4[Vínculo],"docente",Resp4[4.95],B11)</f>
        <v>0</v>
      </c>
      <c r="E11" s="4">
        <f>COUNTIF(Resp4[4.95],B11)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COUNTIFS(Resp4[Vínculo],"tecnico",Resp4[4.95],B12)</f>
        <v>0</v>
      </c>
      <c r="D12" s="4">
        <f>COUNTIFS(Resp4[Vínculo],"docente",Resp4[4.95],B12)</f>
        <v>0</v>
      </c>
      <c r="E12" s="4">
        <f>COUNTIF(Resp4[4.95],B12)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486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0</v>
      </c>
      <c r="E10" s="4">
        <f>COUNTIF(Resp4[4.96],B10)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COUNTIFS(Resp4[Vínculo],"tecnico",Resp4[4.96],B11)</f>
        <v>0</v>
      </c>
      <c r="D11" s="4">
        <f>COUNTIFS(Resp4[Vínculo],"docente",Resp4[4.96],B11)</f>
        <v>0</v>
      </c>
      <c r="E11" s="4">
        <f>COUNTIF(Resp4[4.96],B11)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COUNTIFS(Resp4[Vínculo],"tecnico",Resp4[4.96],B12)</f>
        <v>0</v>
      </c>
      <c r="D12" s="4">
        <f>COUNTIFS(Resp4[Vínculo],"docente",Resp4[4.96],B12)</f>
        <v>0</v>
      </c>
      <c r="E12" s="4">
        <f>COUNTIF(Resp4[4.96],B12)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486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COUNTIFS(Resp4[Vínculo],"tecnico",Resp4[4.97],B11)</f>
        <v>0</v>
      </c>
      <c r="D11" s="4">
        <f>COUNTIFS(Resp4[Vínculo],"docente",Resp4[4.97],B11)</f>
        <v>0</v>
      </c>
      <c r="E11" s="4">
        <f>COUNTIF(Resp4[4.97],B11)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COUNTIFS(Resp4[Vínculo],"tecnico",Resp4[4.97],B12)</f>
        <v>0</v>
      </c>
      <c r="D12" s="4">
        <f>COUNTIFS(Resp4[Vínculo],"docente",Resp4[4.97],B12)</f>
        <v>0</v>
      </c>
      <c r="E12" s="4">
        <f>COUNTIF(Resp4[4.97],B12)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486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COUNTIFS(Resp4[Vínculo],"tecnico",Resp4[4.98],B7)</f>
        <v>0</v>
      </c>
      <c r="D7" s="4">
        <f>COUNTIFS(Resp4[Vínculo],"docente",Resp4[4.98],B7)</f>
        <v>0</v>
      </c>
      <c r="E7" s="4">
        <f>COUNTIF(Resp4[4.98],B7)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COUNTIFS(Resp4[Vínculo],"tecnico",Resp4[4.98],B9)</f>
        <v>0</v>
      </c>
      <c r="D9" s="4">
        <f>COUNTIFS(Resp4[Vínculo],"docente",Resp4[4.98],B9)</f>
        <v>0</v>
      </c>
      <c r="E9" s="4">
        <f>COUNTIF(Resp4[4.98],B9)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0</v>
      </c>
      <c r="E10" s="4">
        <f>COUNTIF(Resp4[4.98],B10)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COUNTIFS(Resp4[Vínculo],"tecnico",Resp4[4.98],B11)</f>
        <v>0</v>
      </c>
      <c r="D11" s="4">
        <f>COUNTIFS(Resp4[Vínculo],"docente",Resp4[4.98],B11)</f>
        <v>0</v>
      </c>
      <c r="E11" s="4">
        <f>COUNTIF(Resp4[4.98],B11)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COUNTIFS(Resp4[Vínculo],"tecnico",Resp4[4.98],B12)</f>
        <v>0</v>
      </c>
      <c r="D12" s="4">
        <f>COUNTIFS(Resp4[Vínculo],"docente",Resp4[4.98],B12)</f>
        <v>0</v>
      </c>
      <c r="E12" s="4">
        <f>COUNTIF(Resp4[4.98],B12)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4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486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COUNTIFS(Resp4[Vínculo],"tecnico",Resp4[4.99],B11)</f>
        <v>0</v>
      </c>
      <c r="D11" s="4">
        <f>COUNTIFS(Resp4[Vínculo],"docente",Resp4[4.99],B11)</f>
        <v>0</v>
      </c>
      <c r="E11" s="4">
        <f>COUNTIF(Resp4[4.99],B11)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COUNTIFS(Resp4[Vínculo],"tecnico",Resp4[4.99],B12)</f>
        <v>0</v>
      </c>
      <c r="D12" s="4">
        <f>COUNTIFS(Resp4[Vínculo],"docente",Resp4[4.99],B12)</f>
        <v>0</v>
      </c>
      <c r="E12" s="4">
        <f>COUNTIF(Resp4[4.99],B12)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486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COUNTIFS(Resp4[Vínculo],"tecnico",Resp4[4.100],B7)</f>
        <v>0</v>
      </c>
      <c r="D7" s="4">
        <f>COUNTIFS(Resp4[Vínculo],"docente",Resp4[4.100],B7)</f>
        <v>0</v>
      </c>
      <c r="E7" s="4">
        <f>COUNTIF(Resp4[4.100],B7)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0</v>
      </c>
      <c r="E10" s="4">
        <f>COUNTIF(Resp4[4.100],B10)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COUNTIFS(Resp4[Vínculo],"tecnico",Resp4[4.100],B11)</f>
        <v>0</v>
      </c>
      <c r="D11" s="4">
        <f>COUNTIFS(Resp4[Vínculo],"docente",Resp4[4.100],B11)</f>
        <v>0</v>
      </c>
      <c r="E11" s="4">
        <f>COUNTIF(Resp4[4.100],B11)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COUNTIFS(Resp4[Vínculo],"tecnico",Resp4[4.100],B12)</f>
        <v>0</v>
      </c>
      <c r="D12" s="4">
        <f>COUNTIFS(Resp4[Vínculo],"docente",Resp4[4.100],B12)</f>
        <v>0</v>
      </c>
      <c r="E12" s="4">
        <f>COUNTIF(Resp4[4.100],B12)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486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0</v>
      </c>
      <c r="E10" s="4">
        <f>COUNTIF(Resp4[4.101],B10)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COUNTIFS(Resp4[Vínculo],"tecnico",Resp4[4.101],B11)</f>
        <v>0</v>
      </c>
      <c r="D11" s="4">
        <f>COUNTIFS(Resp4[Vínculo],"docente",Resp4[4.101],B11)</f>
        <v>0</v>
      </c>
      <c r="E11" s="4">
        <f>COUNTIF(Resp4[4.101],B11)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COUNTIFS(Resp4[Vínculo],"tecnico",Resp4[4.101],B12)</f>
        <v>0</v>
      </c>
      <c r="D12" s="4">
        <f>COUNTIFS(Resp4[Vínculo],"docente",Resp4[4.101],B12)</f>
        <v>0</v>
      </c>
      <c r="E12" s="4">
        <f>COUNTIF(Resp4[4.101],B12)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486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487</v>
      </c>
      <c r="C5" s="5" t="s">
        <v>488</v>
      </c>
      <c r="D5" s="5" t="s">
        <v>489</v>
      </c>
      <c r="E5" s="5" t="s">
        <v>490</v>
      </c>
      <c r="F5" s="6" t="s">
        <v>491</v>
      </c>
      <c r="G5" s="6" t="s">
        <v>492</v>
      </c>
    </row>
    <row r="6" spans="1:7" x14ac:dyDescent="0.25">
      <c r="B6" s="2" t="s">
        <v>493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100</v>
      </c>
    </row>
    <row r="7" spans="1:7" x14ac:dyDescent="0.25">
      <c r="B7" s="2" t="s">
        <v>494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495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496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0</v>
      </c>
      <c r="E10" s="4">
        <f>COUNTIF(Resp4[4.102],B10)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497</v>
      </c>
      <c r="C11" s="4">
        <f>COUNTIFS(Resp4[Vínculo],"tecnico",Resp4[4.102],B11)</f>
        <v>0</v>
      </c>
      <c r="D11" s="4">
        <f>COUNTIFS(Resp4[Vínculo],"docente",Resp4[4.102],B11)</f>
        <v>0</v>
      </c>
      <c r="E11" s="4">
        <f>COUNTIF(Resp4[4.102],B11)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COUNTIFS(Resp4[Vínculo],"tecnico",Resp4[4.102],B12)</f>
        <v>0</v>
      </c>
      <c r="D12" s="4">
        <f>COUNTIFS(Resp4[Vínculo],"docente",Resp4[4.102],B12)</f>
        <v>0</v>
      </c>
      <c r="E12" s="4">
        <f>COUNTIF(Resp4[4.102],B12)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498</v>
      </c>
      <c r="C13" s="8">
        <f>SUM(C6:C12)</f>
        <v>2</v>
      </c>
      <c r="D13" s="8">
        <f>SUM(D6:D12)</f>
        <v>0</v>
      </c>
      <c r="E13" s="8">
        <f>SUM(C13:D13)</f>
        <v>2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499</v>
      </c>
      <c r="C17" s="21" t="s">
        <v>500</v>
      </c>
      <c r="D17" s="5" t="s">
        <v>488</v>
      </c>
      <c r="E17" s="6" t="s">
        <v>491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494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499</v>
      </c>
      <c r="C24" s="21" t="s">
        <v>500</v>
      </c>
      <c r="D24" s="5" t="s">
        <v>489</v>
      </c>
      <c r="E24" s="6" t="s">
        <v>491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494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2022-02-04T14:59:54Z</dcterms:modified>
  <cp:category/>
  <cp:contentStatus/>
</cp:coreProperties>
</file>