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<sst xmlns="http://schemas.openxmlformats.org/spreadsheetml/2006/main" count="7655" uniqueCount="512">
  <si>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</si>
  <si>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</si>
  <si>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</si>
  <si>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</si>
  <si>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</si>
  <si>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</si>
  <si>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</si>
  <si>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</si>
  <si>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</si>
  <si>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</si>
  <si>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</si>
  <si>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</si>
  <si>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</si>
  <si>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</si>
  <si>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</si>
  <si>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</si>
  <si>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</si>
  <si>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</si>
  <si>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</si>
  <si>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</si>
  <si>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</si>
  <si>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</si>
  <si>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</si>
  <si>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</si>
  <si>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</si>
  <si>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</si>
  <si>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</si>
  <si>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</si>
  <si>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</si>
  <si>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</si>
  <si>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</si>
  <si>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</si>
  <si>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</si>
  <si>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</si>
  <si>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</si>
  <si>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</si>
  <si>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</si>
  <si>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</si>
  <si>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</si>
  <si>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</si>
  <si>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</si>
  <si>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</si>
  <si>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</si>
  <si>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</si>
  <si>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</si>
  <si>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</si>
  <si>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</si>
  <si>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</si>
  <si>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</si>
  <si>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</si>
  <si>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</si>
  <si>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</si>
  <si>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</si>
  <si>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</si>
  <si>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</si>
  <si>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</si>
  <si>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</si>
  <si>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</si>
  <si>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</si>
  <si>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</si>
  <si>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</si>
  <si>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</si>
  <si>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</si>
  <si>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</si>
  <si>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</si>
  <si>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</si>
  <si>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</si>
  <si>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</si>
  <si>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</si>
  <si>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</si>
  <si>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</si>
  <si>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</si>
  <si>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</si>
  <si>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</si>
  <si>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</si>
  <si>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</si>
  <si>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</si>
  <si>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</si>
  <si>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</si>
  <si>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</si>
  <si>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</si>
  <si>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</si>
  <si>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</si>
  <si>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</si>
  <si>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</si>
  <si>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</si>
  <si>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</si>
  <si>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</si>
  <si>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</si>
  <si>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</si>
  <si>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</si>
  <si>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</si>
  <si>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</si>
  <si>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</si>
  <si>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</si>
  <si>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</si>
  <si>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</si>
  <si>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</si>
  <si>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</si>
  <si>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</si>
  <si>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</si>
  <si>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</si>
  <si>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</si>
  <si>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</si>
  <si>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</si>
  <si>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</si>
  <si>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</si>
  <si>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</si>
  <si>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</si>
  <si>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</si>
  <si>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</si>
  <si>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</si>
  <si>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</si>
  <si>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</si>
  <si>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</si>
  <si>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</si>
  <si>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</si>
  <si>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</si>
  <si>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</si>
  <si>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</si>
  <si>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</si>
  <si>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</si>
  <si>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</si>
  <si>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</si>
  <si>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</si>
  <si>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</si>
  <si>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</si>
  <si>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</si>
  <si>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</si>
  <si>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</si>
  <si>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</si>
  <si>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</si>
  <si>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</si>
  <si>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</si>
  <si>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</si>
  <si>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</si>
  <si>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</si>
  <si>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</si>
  <si>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</si>
  <si>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</si>
  <si>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</si>
  <si>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</si>
  <si>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</si>
  <si>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</si>
  <si>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</si>
  <si>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</si>
  <si>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</si>
  <si>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</si>
  <si>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</si>
  <si>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</si>
  <si>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</si>
  <si>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</si>
  <si>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</si>
  <si>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</si>
  <si>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</si>
  <si>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</si>
  <si>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</si>
  <si>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</si>
  <si>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</si>
  <si>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</si>
  <si>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</si>
  <si>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</si>
  <si>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</si>
  <si>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</si>
  <si>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</si>
  <si>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</si>
  <si>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</si>
  <si>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</si>
  <si>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</si>
  <si>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</si>
  <si>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</si>
  <si>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</si>
  <si>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</si>
  <si>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</si>
  <si>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</si>
  <si>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</si>
  <si>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</si>
  <si>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</si>
  <si>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</si>
  <si>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</si>
  <si>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</si>
  <si>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</si>
  <si>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</si>
  <si>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</si>
  <si>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</si>
  <si>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</si>
  <si>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</si>
  <si>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</si>
  <si>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</si>
  <si>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</si>
  <si>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</si>
  <si>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</si>
  <si>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</si>
  <si>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JD</t>
  </si>
  <si>
    <t>Não</t>
  </si>
  <si>
    <t>NULL</t>
  </si>
  <si>
    <t>Técnico</t>
  </si>
  <si>
    <t>Não se aplica</t>
  </si>
  <si>
    <t>Não são atividades do meu interesse</t>
  </si>
  <si>
    <t>Sim</t>
  </si>
  <si>
    <t>Bom</t>
  </si>
  <si>
    <t>Não tive condições em acessar as ações</t>
  </si>
  <si>
    <t>Ruim</t>
  </si>
  <si>
    <t>Não sei responder</t>
  </si>
  <si>
    <t>Péssimo</t>
  </si>
  <si>
    <t>Excelente</t>
  </si>
  <si>
    <t>Outro</t>
  </si>
  <si>
    <t>Docente</t>
  </si>
  <si>
    <t>Não tive conhecimento das ações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</si>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</sst>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624064"/>
        <c:axId val="225625600"/>
      </c:barChart>
      <c:catAx>
        <c:axId val="2256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625600"/>
        <c:crosses val="autoZero"/>
        <c:auto val="1"/>
        <c:lblAlgn val="ctr"/>
        <c:lblOffset val="100"/>
        <c:noMultiLvlLbl val="0"/>
      </c:catAx>
      <c:valAx>
        <c:axId val="22562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62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498688"/>
        <c:axId val="126500224"/>
      </c:barChart>
      <c:catAx>
        <c:axId val="1264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00224"/>
        <c:crosses val="autoZero"/>
        <c:auto val="1"/>
        <c:lblAlgn val="ctr"/>
        <c:lblOffset val="100"/>
        <c:noMultiLvlLbl val="0"/>
      </c:catAx>
      <c:valAx>
        <c:axId val="1265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9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38112"/>
        <c:axId val="126952192"/>
      </c:barChart>
      <c:catAx>
        <c:axId val="12693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52192"/>
        <c:crosses val="autoZero"/>
        <c:auto val="1"/>
        <c:lblAlgn val="ctr"/>
        <c:lblOffset val="100"/>
        <c:noMultiLvlLbl val="0"/>
      </c:catAx>
      <c:valAx>
        <c:axId val="12695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3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37440"/>
        <c:axId val="127038976"/>
      </c:barChart>
      <c:catAx>
        <c:axId val="1270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38976"/>
        <c:crosses val="autoZero"/>
        <c:auto val="1"/>
        <c:lblAlgn val="ctr"/>
        <c:lblOffset val="100"/>
        <c:noMultiLvlLbl val="0"/>
      </c:catAx>
      <c:valAx>
        <c:axId val="12703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3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243776"/>
        <c:axId val="127245312"/>
      </c:barChart>
      <c:catAx>
        <c:axId val="1272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45312"/>
        <c:crosses val="autoZero"/>
        <c:auto val="1"/>
        <c:lblAlgn val="ctr"/>
        <c:lblOffset val="100"/>
        <c:noMultiLvlLbl val="0"/>
      </c:catAx>
      <c:valAx>
        <c:axId val="12724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71968"/>
        <c:axId val="84773504"/>
      </c:barChart>
      <c:catAx>
        <c:axId val="8477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73504"/>
        <c:crosses val="autoZero"/>
        <c:auto val="1"/>
        <c:lblAlgn val="ctr"/>
        <c:lblOffset val="100"/>
        <c:noMultiLvlLbl val="0"/>
      </c:catAx>
      <c:valAx>
        <c:axId val="847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7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88672"/>
        <c:axId val="127390464"/>
      </c:barChart>
      <c:catAx>
        <c:axId val="1273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90464"/>
        <c:crosses val="autoZero"/>
        <c:auto val="1"/>
        <c:lblAlgn val="ctr"/>
        <c:lblOffset val="100"/>
        <c:noMultiLvlLbl val="0"/>
      </c:catAx>
      <c:valAx>
        <c:axId val="12739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8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87776"/>
        <c:axId val="127789312"/>
      </c:barChart>
      <c:catAx>
        <c:axId val="1277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89312"/>
        <c:crosses val="autoZero"/>
        <c:auto val="1"/>
        <c:lblAlgn val="ctr"/>
        <c:lblOffset val="100"/>
        <c:noMultiLvlLbl val="0"/>
      </c:catAx>
      <c:valAx>
        <c:axId val="12778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8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079360"/>
        <c:axId val="128080896"/>
      </c:barChart>
      <c:catAx>
        <c:axId val="1280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80896"/>
        <c:crosses val="autoZero"/>
        <c:auto val="1"/>
        <c:lblAlgn val="ctr"/>
        <c:lblOffset val="100"/>
        <c:noMultiLvlLbl val="0"/>
      </c:catAx>
      <c:valAx>
        <c:axId val="12808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7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4576"/>
        <c:axId val="85466112"/>
      </c:barChart>
      <c:catAx>
        <c:axId val="854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6112"/>
        <c:crosses val="autoZero"/>
        <c:auto val="1"/>
        <c:lblAlgn val="ctr"/>
        <c:lblOffset val="100"/>
        <c:noMultiLvlLbl val="0"/>
      </c:catAx>
      <c:valAx>
        <c:axId val="8546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03104"/>
        <c:axId val="128704896"/>
      </c:barChart>
      <c:catAx>
        <c:axId val="12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4896"/>
        <c:crosses val="autoZero"/>
        <c:auto val="1"/>
        <c:lblAlgn val="ctr"/>
        <c:lblOffset val="100"/>
        <c:noMultiLvlLbl val="0"/>
      </c:catAx>
      <c:valAx>
        <c:axId val="1287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404928"/>
        <c:axId val="129406464"/>
      </c:barChart>
      <c:catAx>
        <c:axId val="1294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06464"/>
        <c:crosses val="autoZero"/>
        <c:auto val="1"/>
        <c:lblAlgn val="ctr"/>
        <c:lblOffset val="100"/>
        <c:noMultiLvlLbl val="0"/>
      </c:catAx>
      <c:valAx>
        <c:axId val="12940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0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16480"/>
        <c:axId val="130518016"/>
      </c:barChart>
      <c:catAx>
        <c:axId val="1305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18016"/>
        <c:crosses val="autoZero"/>
        <c:auto val="1"/>
        <c:lblAlgn val="ctr"/>
        <c:lblOffset val="100"/>
        <c:noMultiLvlLbl val="0"/>
      </c:catAx>
      <c:valAx>
        <c:axId val="1305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931712"/>
        <c:axId val="131728128"/>
      </c:barChart>
      <c:catAx>
        <c:axId val="1309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28128"/>
        <c:crosses val="autoZero"/>
        <c:auto val="1"/>
        <c:lblAlgn val="ctr"/>
        <c:lblOffset val="100"/>
        <c:noMultiLvlLbl val="0"/>
      </c:catAx>
      <c:valAx>
        <c:axId val="13172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93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530560"/>
        <c:axId val="132532096"/>
      </c:barChart>
      <c:catAx>
        <c:axId val="1325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32096"/>
        <c:crosses val="autoZero"/>
        <c:auto val="1"/>
        <c:lblAlgn val="ctr"/>
        <c:lblOffset val="100"/>
        <c:noMultiLvlLbl val="0"/>
      </c:catAx>
      <c:valAx>
        <c:axId val="1325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06144"/>
        <c:axId val="132807680"/>
      </c:barChart>
      <c:catAx>
        <c:axId val="1328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7680"/>
        <c:crosses val="autoZero"/>
        <c:auto val="1"/>
        <c:lblAlgn val="ctr"/>
        <c:lblOffset val="100"/>
        <c:noMultiLvlLbl val="0"/>
      </c:catAx>
      <c:valAx>
        <c:axId val="13280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98048"/>
        <c:axId val="133299584"/>
      </c:barChart>
      <c:catAx>
        <c:axId val="1332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99584"/>
        <c:crosses val="autoZero"/>
        <c:auto val="1"/>
        <c:lblAlgn val="ctr"/>
        <c:lblOffset val="100"/>
        <c:noMultiLvlLbl val="0"/>
      </c:catAx>
      <c:valAx>
        <c:axId val="1332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9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62656"/>
        <c:axId val="133464448"/>
      </c:barChart>
      <c:catAx>
        <c:axId val="133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64448"/>
        <c:crosses val="autoZero"/>
        <c:auto val="1"/>
        <c:lblAlgn val="ctr"/>
        <c:lblOffset val="100"/>
        <c:noMultiLvlLbl val="0"/>
      </c:catAx>
      <c:valAx>
        <c:axId val="13346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6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07360"/>
        <c:axId val="135808896"/>
      </c:barChart>
      <c:catAx>
        <c:axId val="1358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08896"/>
        <c:crosses val="autoZero"/>
        <c:auto val="1"/>
        <c:lblAlgn val="ctr"/>
        <c:lblOffset val="100"/>
        <c:noMultiLvlLbl val="0"/>
      </c:catAx>
      <c:valAx>
        <c:axId val="13580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0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181248"/>
        <c:axId val="136182784"/>
      </c:barChart>
      <c:catAx>
        <c:axId val="1361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82784"/>
        <c:crosses val="autoZero"/>
        <c:auto val="1"/>
        <c:lblAlgn val="ctr"/>
        <c:lblOffset val="100"/>
        <c:noMultiLvlLbl val="0"/>
      </c:catAx>
      <c:valAx>
        <c:axId val="13618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8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64416"/>
        <c:axId val="136778496"/>
      </c:barChart>
      <c:catAx>
        <c:axId val="1367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78496"/>
        <c:crosses val="autoZero"/>
        <c:auto val="1"/>
        <c:lblAlgn val="ctr"/>
        <c:lblOffset val="100"/>
        <c:noMultiLvlLbl val="0"/>
      </c:catAx>
      <c:valAx>
        <c:axId val="13677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6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06816"/>
        <c:axId val="86712704"/>
      </c:barChart>
      <c:catAx>
        <c:axId val="867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12704"/>
        <c:crosses val="autoZero"/>
        <c:auto val="1"/>
        <c:lblAlgn val="ctr"/>
        <c:lblOffset val="100"/>
        <c:noMultiLvlLbl val="0"/>
      </c:catAx>
      <c:valAx>
        <c:axId val="867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0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401088"/>
        <c:axId val="137402624"/>
      </c:barChart>
      <c:catAx>
        <c:axId val="1374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02624"/>
        <c:crosses val="autoZero"/>
        <c:auto val="1"/>
        <c:lblAlgn val="ctr"/>
        <c:lblOffset val="100"/>
        <c:noMultiLvlLbl val="0"/>
      </c:catAx>
      <c:valAx>
        <c:axId val="13740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0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87648"/>
        <c:axId val="137793536"/>
      </c:barChart>
      <c:catAx>
        <c:axId val="1377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793536"/>
        <c:crosses val="autoZero"/>
        <c:auto val="1"/>
        <c:lblAlgn val="ctr"/>
        <c:lblOffset val="100"/>
        <c:noMultiLvlLbl val="0"/>
      </c:catAx>
      <c:valAx>
        <c:axId val="13779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78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11392"/>
        <c:axId val="138413184"/>
      </c:barChart>
      <c:catAx>
        <c:axId val="13841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13184"/>
        <c:crosses val="autoZero"/>
        <c:auto val="1"/>
        <c:lblAlgn val="ctr"/>
        <c:lblOffset val="100"/>
        <c:noMultiLvlLbl val="0"/>
      </c:catAx>
      <c:valAx>
        <c:axId val="13841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1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82848"/>
        <c:axId val="139184384"/>
      </c:barChart>
      <c:catAx>
        <c:axId val="1391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84384"/>
        <c:crosses val="autoZero"/>
        <c:auto val="1"/>
        <c:lblAlgn val="ctr"/>
        <c:lblOffset val="100"/>
        <c:noMultiLvlLbl val="0"/>
      </c:catAx>
      <c:valAx>
        <c:axId val="13918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8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72800"/>
        <c:axId val="139374592"/>
      </c:barChart>
      <c:catAx>
        <c:axId val="139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74592"/>
        <c:crosses val="autoZero"/>
        <c:auto val="1"/>
        <c:lblAlgn val="ctr"/>
        <c:lblOffset val="100"/>
        <c:noMultiLvlLbl val="0"/>
      </c:catAx>
      <c:valAx>
        <c:axId val="13937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7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032832"/>
        <c:axId val="141108352"/>
      </c:barChart>
      <c:catAx>
        <c:axId val="141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08352"/>
        <c:crosses val="autoZero"/>
        <c:auto val="1"/>
        <c:lblAlgn val="ctr"/>
        <c:lblOffset val="100"/>
        <c:noMultiLvlLbl val="0"/>
      </c:catAx>
      <c:valAx>
        <c:axId val="14110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3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84096"/>
        <c:axId val="141285632"/>
      </c:barChart>
      <c:catAx>
        <c:axId val="1412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85632"/>
        <c:crosses val="autoZero"/>
        <c:auto val="1"/>
        <c:lblAlgn val="ctr"/>
        <c:lblOffset val="100"/>
        <c:noMultiLvlLbl val="0"/>
      </c:catAx>
      <c:valAx>
        <c:axId val="14128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8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830016"/>
        <c:axId val="141831552"/>
      </c:barChart>
      <c:catAx>
        <c:axId val="1418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31552"/>
        <c:crosses val="autoZero"/>
        <c:auto val="1"/>
        <c:lblAlgn val="ctr"/>
        <c:lblOffset val="100"/>
        <c:noMultiLvlLbl val="0"/>
      </c:catAx>
      <c:valAx>
        <c:axId val="14183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3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142464"/>
        <c:axId val="142549760"/>
      </c:barChart>
      <c:catAx>
        <c:axId val="1421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549760"/>
        <c:crosses val="autoZero"/>
        <c:auto val="1"/>
        <c:lblAlgn val="ctr"/>
        <c:lblOffset val="100"/>
        <c:noMultiLvlLbl val="0"/>
      </c:catAx>
      <c:valAx>
        <c:axId val="14254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1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34528"/>
        <c:axId val="144136064"/>
      </c:barChart>
      <c:catAx>
        <c:axId val="14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6064"/>
        <c:crosses val="autoZero"/>
        <c:auto val="1"/>
        <c:lblAlgn val="ctr"/>
        <c:lblOffset val="100"/>
        <c:noMultiLvlLbl val="0"/>
      </c:catAx>
      <c:valAx>
        <c:axId val="144136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4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67968"/>
        <c:axId val="86869504"/>
      </c:barChart>
      <c:catAx>
        <c:axId val="868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9504"/>
        <c:crosses val="autoZero"/>
        <c:auto val="1"/>
        <c:lblAlgn val="ctr"/>
        <c:lblOffset val="100"/>
        <c:noMultiLvlLbl val="0"/>
      </c:catAx>
      <c:valAx>
        <c:axId val="8686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750080"/>
        <c:axId val="144751616"/>
      </c:barChart>
      <c:catAx>
        <c:axId val="144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751616"/>
        <c:crosses val="autoZero"/>
        <c:auto val="1"/>
        <c:lblAlgn val="ctr"/>
        <c:lblOffset val="100"/>
        <c:noMultiLvlLbl val="0"/>
      </c:catAx>
      <c:valAx>
        <c:axId val="14475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75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803904"/>
        <c:axId val="146026880"/>
      </c:barChart>
      <c:catAx>
        <c:axId val="1458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26880"/>
        <c:crosses val="autoZero"/>
        <c:auto val="1"/>
        <c:lblAlgn val="ctr"/>
        <c:lblOffset val="100"/>
        <c:noMultiLvlLbl val="0"/>
      </c:catAx>
      <c:valAx>
        <c:axId val="14602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80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444288"/>
        <c:axId val="146445824"/>
      </c:barChart>
      <c:catAx>
        <c:axId val="1464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5824"/>
        <c:crosses val="autoZero"/>
        <c:auto val="1"/>
        <c:lblAlgn val="ctr"/>
        <c:lblOffset val="100"/>
        <c:noMultiLvlLbl val="0"/>
      </c:catAx>
      <c:valAx>
        <c:axId val="14644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235392"/>
        <c:axId val="148236928"/>
      </c:barChart>
      <c:catAx>
        <c:axId val="1482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36928"/>
        <c:crosses val="autoZero"/>
        <c:auto val="1"/>
        <c:lblAlgn val="ctr"/>
        <c:lblOffset val="100"/>
        <c:noMultiLvlLbl val="0"/>
      </c:catAx>
      <c:valAx>
        <c:axId val="1482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3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973824"/>
        <c:axId val="148975616"/>
      </c:barChart>
      <c:catAx>
        <c:axId val="1489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975616"/>
        <c:crosses val="autoZero"/>
        <c:auto val="1"/>
        <c:lblAlgn val="ctr"/>
        <c:lblOffset val="100"/>
        <c:noMultiLvlLbl val="0"/>
      </c:catAx>
      <c:valAx>
        <c:axId val="1489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9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06656"/>
        <c:axId val="152008192"/>
      </c:barChart>
      <c:catAx>
        <c:axId val="1520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08192"/>
        <c:crosses val="autoZero"/>
        <c:auto val="1"/>
        <c:lblAlgn val="ctr"/>
        <c:lblOffset val="100"/>
        <c:noMultiLvlLbl val="0"/>
      </c:catAx>
      <c:valAx>
        <c:axId val="1520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11616"/>
        <c:axId val="152513152"/>
      </c:barChart>
      <c:catAx>
        <c:axId val="1525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13152"/>
        <c:crosses val="autoZero"/>
        <c:auto val="1"/>
        <c:lblAlgn val="ctr"/>
        <c:lblOffset val="100"/>
        <c:noMultiLvlLbl val="0"/>
      </c:catAx>
      <c:valAx>
        <c:axId val="15251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1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41152"/>
        <c:axId val="153051136"/>
      </c:barChart>
      <c:catAx>
        <c:axId val="153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51136"/>
        <c:crosses val="autoZero"/>
        <c:auto val="1"/>
        <c:lblAlgn val="ctr"/>
        <c:lblOffset val="100"/>
        <c:noMultiLvlLbl val="0"/>
      </c:catAx>
      <c:valAx>
        <c:axId val="1530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4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587072"/>
        <c:axId val="153592960"/>
      </c:barChart>
      <c:catAx>
        <c:axId val="15358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592960"/>
        <c:crosses val="autoZero"/>
        <c:auto val="1"/>
        <c:lblAlgn val="ctr"/>
        <c:lblOffset val="100"/>
        <c:noMultiLvlLbl val="0"/>
      </c:catAx>
      <c:valAx>
        <c:axId val="15359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58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8855936"/>
        <c:axId val="158857472"/>
      </c:barChart>
      <c:catAx>
        <c:axId val="1588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857472"/>
        <c:crosses val="autoZero"/>
        <c:auto val="1"/>
        <c:lblAlgn val="ctr"/>
        <c:lblOffset val="100"/>
        <c:noMultiLvlLbl val="0"/>
      </c:catAx>
      <c:valAx>
        <c:axId val="15885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85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83936"/>
        <c:axId val="88185472"/>
      </c:barChart>
      <c:catAx>
        <c:axId val="881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85472"/>
        <c:crosses val="autoZero"/>
        <c:auto val="1"/>
        <c:lblAlgn val="ctr"/>
        <c:lblOffset val="100"/>
        <c:noMultiLvlLbl val="0"/>
      </c:catAx>
      <c:valAx>
        <c:axId val="8818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8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70912"/>
        <c:axId val="160472448"/>
      </c:barChart>
      <c:catAx>
        <c:axId val="1604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72448"/>
        <c:crosses val="autoZero"/>
        <c:auto val="1"/>
        <c:lblAlgn val="ctr"/>
        <c:lblOffset val="100"/>
        <c:noMultiLvlLbl val="0"/>
      </c:catAx>
      <c:valAx>
        <c:axId val="1604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7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857088"/>
        <c:axId val="160875264"/>
      </c:barChart>
      <c:catAx>
        <c:axId val="1608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75264"/>
        <c:crosses val="autoZero"/>
        <c:auto val="1"/>
        <c:lblAlgn val="ctr"/>
        <c:lblOffset val="100"/>
        <c:noMultiLvlLbl val="0"/>
      </c:catAx>
      <c:valAx>
        <c:axId val="16087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5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36000"/>
        <c:axId val="161137792"/>
      </c:barChart>
      <c:catAx>
        <c:axId val="1611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37792"/>
        <c:crosses val="autoZero"/>
        <c:auto val="1"/>
        <c:lblAlgn val="ctr"/>
        <c:lblOffset val="100"/>
        <c:noMultiLvlLbl val="0"/>
      </c:catAx>
      <c:valAx>
        <c:axId val="1611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3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378304"/>
        <c:axId val="161379840"/>
      </c:barChart>
      <c:catAx>
        <c:axId val="1613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79840"/>
        <c:crosses val="autoZero"/>
        <c:auto val="1"/>
        <c:lblAlgn val="ctr"/>
        <c:lblOffset val="100"/>
        <c:noMultiLvlLbl val="0"/>
      </c:catAx>
      <c:valAx>
        <c:axId val="16137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7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52800"/>
        <c:axId val="161454336"/>
      </c:barChart>
      <c:catAx>
        <c:axId val="1614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54336"/>
        <c:crosses val="autoZero"/>
        <c:auto val="1"/>
        <c:lblAlgn val="ctr"/>
        <c:lblOffset val="100"/>
        <c:noMultiLvlLbl val="0"/>
      </c:catAx>
      <c:valAx>
        <c:axId val="16145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5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80192"/>
        <c:axId val="164281728"/>
      </c:barChart>
      <c:catAx>
        <c:axId val="1642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81728"/>
        <c:crosses val="autoZero"/>
        <c:auto val="1"/>
        <c:lblAlgn val="ctr"/>
        <c:lblOffset val="100"/>
        <c:noMultiLvlLbl val="0"/>
      </c:catAx>
      <c:valAx>
        <c:axId val="1642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8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641792"/>
        <c:axId val="164643584"/>
      </c:barChart>
      <c:catAx>
        <c:axId val="1646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43584"/>
        <c:crosses val="autoZero"/>
        <c:auto val="1"/>
        <c:lblAlgn val="ctr"/>
        <c:lblOffset val="100"/>
        <c:noMultiLvlLbl val="0"/>
      </c:catAx>
      <c:valAx>
        <c:axId val="16464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4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03648"/>
        <c:axId val="165005184"/>
      </c:barChart>
      <c:catAx>
        <c:axId val="1650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05184"/>
        <c:crosses val="autoZero"/>
        <c:auto val="1"/>
        <c:lblAlgn val="ctr"/>
        <c:lblOffset val="100"/>
        <c:noMultiLvlLbl val="0"/>
      </c:catAx>
      <c:valAx>
        <c:axId val="16500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0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21888"/>
        <c:axId val="165223424"/>
      </c:barChart>
      <c:catAx>
        <c:axId val="1652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23424"/>
        <c:crosses val="autoZero"/>
        <c:auto val="1"/>
        <c:lblAlgn val="ctr"/>
        <c:lblOffset val="100"/>
        <c:noMultiLvlLbl val="0"/>
      </c:catAx>
      <c:valAx>
        <c:axId val="16522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2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14976"/>
        <c:axId val="166416768"/>
      </c:barChart>
      <c:catAx>
        <c:axId val="1664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16768"/>
        <c:crosses val="autoZero"/>
        <c:auto val="1"/>
        <c:lblAlgn val="ctr"/>
        <c:lblOffset val="100"/>
        <c:noMultiLvlLbl val="0"/>
      </c:catAx>
      <c:valAx>
        <c:axId val="1664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1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7759872"/>
        <c:axId val="167761408"/>
      </c:barChart>
      <c:catAx>
        <c:axId val="1677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61408"/>
        <c:crosses val="autoZero"/>
        <c:auto val="1"/>
        <c:lblAlgn val="ctr"/>
        <c:lblOffset val="100"/>
        <c:noMultiLvlLbl val="0"/>
      </c:catAx>
      <c:valAx>
        <c:axId val="16776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5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49568"/>
        <c:axId val="169151104"/>
      </c:barChart>
      <c:catAx>
        <c:axId val="1691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51104"/>
        <c:crosses val="autoZero"/>
        <c:auto val="1"/>
        <c:lblAlgn val="ctr"/>
        <c:lblOffset val="100"/>
        <c:noMultiLvlLbl val="0"/>
      </c:catAx>
      <c:valAx>
        <c:axId val="16915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4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43840"/>
        <c:axId val="88645632"/>
      </c:barChart>
      <c:catAx>
        <c:axId val="8864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5632"/>
        <c:crosses val="autoZero"/>
        <c:auto val="1"/>
        <c:lblAlgn val="ctr"/>
        <c:lblOffset val="100"/>
        <c:noMultiLvlLbl val="0"/>
      </c:catAx>
      <c:valAx>
        <c:axId val="8864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4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490688"/>
        <c:axId val="169517056"/>
      </c:barChart>
      <c:catAx>
        <c:axId val="1694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517056"/>
        <c:crosses val="autoZero"/>
        <c:auto val="1"/>
        <c:lblAlgn val="ctr"/>
        <c:lblOffset val="100"/>
        <c:noMultiLvlLbl val="0"/>
      </c:catAx>
      <c:valAx>
        <c:axId val="16951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9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487808"/>
        <c:axId val="170489344"/>
      </c:barChart>
      <c:catAx>
        <c:axId val="1704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489344"/>
        <c:crosses val="autoZero"/>
        <c:auto val="1"/>
        <c:lblAlgn val="ctr"/>
        <c:lblOffset val="100"/>
        <c:noMultiLvlLbl val="0"/>
      </c:catAx>
      <c:valAx>
        <c:axId val="1704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4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08864"/>
        <c:axId val="171510400"/>
      </c:barChart>
      <c:catAx>
        <c:axId val="1715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10400"/>
        <c:crosses val="autoZero"/>
        <c:auto val="1"/>
        <c:lblAlgn val="ctr"/>
        <c:lblOffset val="100"/>
        <c:noMultiLvlLbl val="0"/>
      </c:catAx>
      <c:valAx>
        <c:axId val="1715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0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01952"/>
        <c:axId val="172716032"/>
      </c:barChart>
      <c:catAx>
        <c:axId val="17270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16032"/>
        <c:crosses val="autoZero"/>
        <c:auto val="1"/>
        <c:lblAlgn val="ctr"/>
        <c:lblOffset val="100"/>
        <c:noMultiLvlLbl val="0"/>
      </c:catAx>
      <c:valAx>
        <c:axId val="17271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0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96032"/>
        <c:axId val="173601920"/>
      </c:barChart>
      <c:catAx>
        <c:axId val="1735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601920"/>
        <c:crosses val="autoZero"/>
        <c:auto val="1"/>
        <c:lblAlgn val="ctr"/>
        <c:lblOffset val="100"/>
        <c:noMultiLvlLbl val="0"/>
      </c:catAx>
      <c:valAx>
        <c:axId val="17360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9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41504"/>
        <c:axId val="173943040"/>
      </c:barChart>
      <c:catAx>
        <c:axId val="1739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43040"/>
        <c:crosses val="autoZero"/>
        <c:auto val="1"/>
        <c:lblAlgn val="ctr"/>
        <c:lblOffset val="100"/>
        <c:noMultiLvlLbl val="0"/>
      </c:catAx>
      <c:valAx>
        <c:axId val="17394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4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503808"/>
        <c:axId val="174505344"/>
      </c:barChart>
      <c:catAx>
        <c:axId val="17450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505344"/>
        <c:crosses val="autoZero"/>
        <c:auto val="1"/>
        <c:lblAlgn val="ctr"/>
        <c:lblOffset val="100"/>
        <c:noMultiLvlLbl val="0"/>
      </c:catAx>
      <c:valAx>
        <c:axId val="17450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5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67648"/>
        <c:axId val="176677632"/>
      </c:barChart>
      <c:catAx>
        <c:axId val="1766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77632"/>
        <c:crosses val="autoZero"/>
        <c:auto val="1"/>
        <c:lblAlgn val="ctr"/>
        <c:lblOffset val="100"/>
        <c:noMultiLvlLbl val="0"/>
      </c:catAx>
      <c:valAx>
        <c:axId val="17667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6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49984"/>
        <c:axId val="177051520"/>
      </c:barChart>
      <c:catAx>
        <c:axId val="1770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51520"/>
        <c:crosses val="autoZero"/>
        <c:auto val="1"/>
        <c:lblAlgn val="ctr"/>
        <c:lblOffset val="100"/>
        <c:noMultiLvlLbl val="0"/>
      </c:catAx>
      <c:valAx>
        <c:axId val="17705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4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510272"/>
        <c:axId val="177511808"/>
      </c:barChart>
      <c:catAx>
        <c:axId val="17751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11808"/>
        <c:crosses val="autoZero"/>
        <c:auto val="1"/>
        <c:lblAlgn val="ctr"/>
        <c:lblOffset val="100"/>
        <c:noMultiLvlLbl val="0"/>
      </c:catAx>
      <c:valAx>
        <c:axId val="1775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1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88352"/>
        <c:axId val="88798336"/>
      </c:barChart>
      <c:catAx>
        <c:axId val="887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98336"/>
        <c:crosses val="autoZero"/>
        <c:auto val="1"/>
        <c:lblAlgn val="ctr"/>
        <c:lblOffset val="100"/>
        <c:noMultiLvlLbl val="0"/>
      </c:catAx>
      <c:valAx>
        <c:axId val="8879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8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23424"/>
        <c:axId val="178025216"/>
      </c:barChart>
      <c:catAx>
        <c:axId val="1780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25216"/>
        <c:crosses val="autoZero"/>
        <c:auto val="1"/>
        <c:lblAlgn val="ctr"/>
        <c:lblOffset val="100"/>
        <c:noMultiLvlLbl val="0"/>
      </c:catAx>
      <c:valAx>
        <c:axId val="17802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2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58304"/>
        <c:axId val="178259840"/>
      </c:barChart>
      <c:catAx>
        <c:axId val="1782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59840"/>
        <c:crosses val="autoZero"/>
        <c:auto val="1"/>
        <c:lblAlgn val="ctr"/>
        <c:lblOffset val="100"/>
        <c:noMultiLvlLbl val="0"/>
      </c:catAx>
      <c:valAx>
        <c:axId val="17825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5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75552"/>
        <c:axId val="178777088"/>
      </c:barChart>
      <c:catAx>
        <c:axId val="1787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77088"/>
        <c:crosses val="autoZero"/>
        <c:auto val="1"/>
        <c:lblAlgn val="ctr"/>
        <c:lblOffset val="100"/>
        <c:noMultiLvlLbl val="0"/>
      </c:catAx>
      <c:valAx>
        <c:axId val="17877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7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61696"/>
        <c:axId val="182067584"/>
      </c:barChart>
      <c:catAx>
        <c:axId val="1820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67584"/>
        <c:crosses val="autoZero"/>
        <c:auto val="1"/>
        <c:lblAlgn val="ctr"/>
        <c:lblOffset val="100"/>
        <c:noMultiLvlLbl val="0"/>
      </c:catAx>
      <c:valAx>
        <c:axId val="18206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6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60416"/>
        <c:axId val="182461952"/>
      </c:barChart>
      <c:catAx>
        <c:axId val="1824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61952"/>
        <c:crosses val="autoZero"/>
        <c:auto val="1"/>
        <c:lblAlgn val="ctr"/>
        <c:lblOffset val="100"/>
        <c:noMultiLvlLbl val="0"/>
      </c:catAx>
      <c:valAx>
        <c:axId val="18246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6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31584"/>
        <c:axId val="186133120"/>
      </c:barChart>
      <c:catAx>
        <c:axId val="18613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33120"/>
        <c:crosses val="autoZero"/>
        <c:auto val="1"/>
        <c:lblAlgn val="ctr"/>
        <c:lblOffset val="100"/>
        <c:noMultiLvlLbl val="0"/>
      </c:catAx>
      <c:valAx>
        <c:axId val="18613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3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702080"/>
        <c:axId val="187170816"/>
      </c:barChart>
      <c:catAx>
        <c:axId val="1867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170816"/>
        <c:crosses val="autoZero"/>
        <c:auto val="1"/>
        <c:lblAlgn val="ctr"/>
        <c:lblOffset val="100"/>
        <c:noMultiLvlLbl val="0"/>
      </c:catAx>
      <c:valAx>
        <c:axId val="18717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70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616640"/>
        <c:axId val="187626624"/>
      </c:barChart>
      <c:catAx>
        <c:axId val="1876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626624"/>
        <c:crosses val="autoZero"/>
        <c:auto val="1"/>
        <c:lblAlgn val="ctr"/>
        <c:lblOffset val="100"/>
        <c:noMultiLvlLbl val="0"/>
      </c:catAx>
      <c:valAx>
        <c:axId val="18762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61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347136"/>
        <c:axId val="188348672"/>
      </c:barChart>
      <c:catAx>
        <c:axId val="1883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48672"/>
        <c:crosses val="autoZero"/>
        <c:auto val="1"/>
        <c:lblAlgn val="ctr"/>
        <c:lblOffset val="100"/>
        <c:noMultiLvlLbl val="0"/>
      </c:catAx>
      <c:valAx>
        <c:axId val="18834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4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749696"/>
        <c:axId val="188751232"/>
      </c:barChart>
      <c:catAx>
        <c:axId val="18874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751232"/>
        <c:crosses val="autoZero"/>
        <c:auto val="1"/>
        <c:lblAlgn val="ctr"/>
        <c:lblOffset val="100"/>
        <c:noMultiLvlLbl val="0"/>
      </c:catAx>
      <c:valAx>
        <c:axId val="18875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74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48384"/>
        <c:axId val="188862464"/>
      </c:barChart>
      <c:catAx>
        <c:axId val="18884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62464"/>
        <c:crosses val="autoZero"/>
        <c:auto val="1"/>
        <c:lblAlgn val="ctr"/>
        <c:lblOffset val="100"/>
        <c:noMultiLvlLbl val="0"/>
      </c:catAx>
      <c:valAx>
        <c:axId val="18886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4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20640"/>
        <c:axId val="106322176"/>
      </c:barChart>
      <c:catAx>
        <c:axId val="1063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22176"/>
        <c:crosses val="autoZero"/>
        <c:auto val="1"/>
        <c:lblAlgn val="ctr"/>
        <c:lblOffset val="100"/>
        <c:noMultiLvlLbl val="0"/>
      </c:catAx>
      <c:valAx>
        <c:axId val="10632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2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513088"/>
        <c:axId val="189527168"/>
      </c:barChart>
      <c:catAx>
        <c:axId val="1895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27168"/>
        <c:crosses val="autoZero"/>
        <c:auto val="1"/>
        <c:lblAlgn val="ctr"/>
        <c:lblOffset val="100"/>
        <c:noMultiLvlLbl val="0"/>
      </c:catAx>
      <c:valAx>
        <c:axId val="18952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1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933504"/>
        <c:axId val="194935040"/>
      </c:barChart>
      <c:catAx>
        <c:axId val="19493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35040"/>
        <c:crosses val="autoZero"/>
        <c:auto val="1"/>
        <c:lblAlgn val="ctr"/>
        <c:lblOffset val="100"/>
        <c:noMultiLvlLbl val="0"/>
      </c:catAx>
      <c:valAx>
        <c:axId val="1949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389120"/>
        <c:axId val="196407296"/>
      </c:barChart>
      <c:catAx>
        <c:axId val="196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7296"/>
        <c:crosses val="autoZero"/>
        <c:auto val="1"/>
        <c:lblAlgn val="ctr"/>
        <c:lblOffset val="100"/>
        <c:noMultiLvlLbl val="0"/>
      </c:catAx>
      <c:valAx>
        <c:axId val="19640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8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47168"/>
        <c:axId val="198653056"/>
      </c:barChart>
      <c:catAx>
        <c:axId val="198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53056"/>
        <c:crosses val="autoZero"/>
        <c:auto val="1"/>
        <c:lblAlgn val="ctr"/>
        <c:lblOffset val="100"/>
        <c:noMultiLvlLbl val="0"/>
      </c:catAx>
      <c:valAx>
        <c:axId val="19865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4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697152"/>
        <c:axId val="199698688"/>
      </c:barChart>
      <c:catAx>
        <c:axId val="1996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8688"/>
        <c:crosses val="autoZero"/>
        <c:auto val="1"/>
        <c:lblAlgn val="ctr"/>
        <c:lblOffset val="100"/>
        <c:noMultiLvlLbl val="0"/>
      </c:catAx>
      <c:valAx>
        <c:axId val="19969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75840"/>
        <c:axId val="200277376"/>
      </c:barChart>
      <c:catAx>
        <c:axId val="2002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77376"/>
        <c:crosses val="autoZero"/>
        <c:auto val="1"/>
        <c:lblAlgn val="ctr"/>
        <c:lblOffset val="100"/>
        <c:noMultiLvlLbl val="0"/>
      </c:catAx>
      <c:valAx>
        <c:axId val="2002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51840"/>
        <c:axId val="201253632"/>
      </c:barChart>
      <c:catAx>
        <c:axId val="2012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53632"/>
        <c:crosses val="autoZero"/>
        <c:auto val="1"/>
        <c:lblAlgn val="ctr"/>
        <c:lblOffset val="100"/>
        <c:noMultiLvlLbl val="0"/>
      </c:catAx>
      <c:valAx>
        <c:axId val="20125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5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83840"/>
        <c:axId val="206485376"/>
      </c:barChart>
      <c:catAx>
        <c:axId val="2064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85376"/>
        <c:crosses val="autoZero"/>
        <c:auto val="1"/>
        <c:lblAlgn val="ctr"/>
        <c:lblOffset val="100"/>
        <c:noMultiLvlLbl val="0"/>
      </c:catAx>
      <c:valAx>
        <c:axId val="20648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8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11072"/>
        <c:axId val="207412608"/>
      </c:barChart>
      <c:catAx>
        <c:axId val="2074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2608"/>
        <c:crosses val="autoZero"/>
        <c:auto val="1"/>
        <c:lblAlgn val="ctr"/>
        <c:lblOffset val="100"/>
        <c:noMultiLvlLbl val="0"/>
      </c:catAx>
      <c:valAx>
        <c:axId val="2074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161792"/>
        <c:axId val="208179968"/>
      </c:barChart>
      <c:catAx>
        <c:axId val="2081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79968"/>
        <c:crosses val="autoZero"/>
        <c:auto val="1"/>
        <c:lblAlgn val="ctr"/>
        <c:lblOffset val="100"/>
        <c:noMultiLvlLbl val="0"/>
      </c:catAx>
      <c:valAx>
        <c:axId val="20817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6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189376"/>
        <c:axId val="109199360"/>
      </c:barChart>
      <c:catAx>
        <c:axId val="109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99360"/>
        <c:crosses val="autoZero"/>
        <c:auto val="1"/>
        <c:lblAlgn val="ctr"/>
        <c:lblOffset val="100"/>
        <c:noMultiLvlLbl val="0"/>
      </c:catAx>
      <c:valAx>
        <c:axId val="1091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8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66720"/>
        <c:axId val="209168256"/>
      </c:barChart>
      <c:catAx>
        <c:axId val="2091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68256"/>
        <c:crosses val="autoZero"/>
        <c:auto val="1"/>
        <c:lblAlgn val="ctr"/>
        <c:lblOffset val="100"/>
        <c:noMultiLvlLbl val="0"/>
      </c:catAx>
      <c:valAx>
        <c:axId val="20916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6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21536"/>
        <c:axId val="209923072"/>
      </c:barChart>
      <c:catAx>
        <c:axId val="2099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3072"/>
        <c:crosses val="autoZero"/>
        <c:auto val="1"/>
        <c:lblAlgn val="ctr"/>
        <c:lblOffset val="100"/>
        <c:noMultiLvlLbl val="0"/>
      </c:catAx>
      <c:valAx>
        <c:axId val="20992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516608"/>
        <c:axId val="210522496"/>
      </c:barChart>
      <c:catAx>
        <c:axId val="2105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22496"/>
        <c:crosses val="autoZero"/>
        <c:auto val="1"/>
        <c:lblAlgn val="ctr"/>
        <c:lblOffset val="100"/>
        <c:noMultiLvlLbl val="0"/>
      </c:catAx>
      <c:valAx>
        <c:axId val="21052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1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44000"/>
        <c:axId val="210945536"/>
      </c:barChart>
      <c:catAx>
        <c:axId val="2109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45536"/>
        <c:crosses val="autoZero"/>
        <c:auto val="1"/>
        <c:lblAlgn val="ctr"/>
        <c:lblOffset val="100"/>
        <c:noMultiLvlLbl val="0"/>
      </c:catAx>
      <c:valAx>
        <c:axId val="21094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28704"/>
        <c:axId val="211130240"/>
      </c:barChart>
      <c:catAx>
        <c:axId val="2111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30240"/>
        <c:crosses val="autoZero"/>
        <c:auto val="1"/>
        <c:lblAlgn val="ctr"/>
        <c:lblOffset val="100"/>
        <c:noMultiLvlLbl val="0"/>
      </c:catAx>
      <c:valAx>
        <c:axId val="2111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330560"/>
        <c:axId val="211332096"/>
      </c:barChart>
      <c:catAx>
        <c:axId val="2113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32096"/>
        <c:crosses val="autoZero"/>
        <c:auto val="1"/>
        <c:lblAlgn val="ctr"/>
        <c:lblOffset val="100"/>
        <c:noMultiLvlLbl val="0"/>
      </c:catAx>
      <c:valAx>
        <c:axId val="2113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392576"/>
        <c:axId val="212468096"/>
      </c:barChart>
      <c:catAx>
        <c:axId val="2123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468096"/>
        <c:crosses val="autoZero"/>
        <c:auto val="1"/>
        <c:lblAlgn val="ctr"/>
        <c:lblOffset val="100"/>
        <c:noMultiLvlLbl val="0"/>
      </c:catAx>
      <c:valAx>
        <c:axId val="21246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9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839872"/>
        <c:axId val="213841408"/>
      </c:barChart>
      <c:catAx>
        <c:axId val="21383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41408"/>
        <c:crosses val="autoZero"/>
        <c:auto val="1"/>
        <c:lblAlgn val="ctr"/>
        <c:lblOffset val="100"/>
        <c:noMultiLvlLbl val="0"/>
      </c:catAx>
      <c:valAx>
        <c:axId val="21384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3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369408"/>
        <c:axId val="214370944"/>
      </c:barChart>
      <c:catAx>
        <c:axId val="2143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70944"/>
        <c:crosses val="autoZero"/>
        <c:auto val="1"/>
        <c:lblAlgn val="ctr"/>
        <c:lblOffset val="100"/>
        <c:noMultiLvlLbl val="0"/>
      </c:catAx>
      <c:valAx>
        <c:axId val="21437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6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817408"/>
        <c:axId val="214892928"/>
      </c:barChart>
      <c:catAx>
        <c:axId val="2148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892928"/>
        <c:crosses val="autoZero"/>
        <c:auto val="1"/>
        <c:lblAlgn val="ctr"/>
        <c:lblOffset val="100"/>
        <c:noMultiLvlLbl val="0"/>
      </c:catAx>
      <c:valAx>
        <c:axId val="21489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81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22304"/>
        <c:axId val="109524096"/>
      </c:barChart>
      <c:catAx>
        <c:axId val="1095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24096"/>
        <c:crosses val="autoZero"/>
        <c:auto val="1"/>
        <c:lblAlgn val="ctr"/>
        <c:lblOffset val="100"/>
        <c:noMultiLvlLbl val="0"/>
      </c:catAx>
      <c:valAx>
        <c:axId val="10952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12896"/>
        <c:axId val="109714432"/>
      </c:barChart>
      <c:catAx>
        <c:axId val="1097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14432"/>
        <c:crosses val="autoZero"/>
        <c:auto val="1"/>
        <c:lblAlgn val="ctr"/>
        <c:lblOffset val="100"/>
        <c:noMultiLvlLbl val="0"/>
      </c:catAx>
      <c:valAx>
        <c:axId val="10971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1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83968"/>
        <c:axId val="83685760"/>
      </c:barChart>
      <c:catAx>
        <c:axId val="83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85760"/>
        <c:crosses val="autoZero"/>
        <c:auto val="1"/>
        <c:lblAlgn val="ctr"/>
        <c:lblOffset val="100"/>
        <c:noMultiLvlLbl val="0"/>
      </c:catAx>
      <c:valAx>
        <c:axId val="8368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8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61504"/>
        <c:axId val="109863296"/>
      </c:barChart>
      <c:catAx>
        <c:axId val="1098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63296"/>
        <c:crosses val="autoZero"/>
        <c:auto val="1"/>
        <c:lblAlgn val="ctr"/>
        <c:lblOffset val="100"/>
        <c:noMultiLvlLbl val="0"/>
      </c:catAx>
      <c:valAx>
        <c:axId val="10986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6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366720"/>
        <c:axId val="110368256"/>
      </c:barChart>
      <c:catAx>
        <c:axId val="1103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68256"/>
        <c:crosses val="autoZero"/>
        <c:auto val="1"/>
        <c:lblAlgn val="ctr"/>
        <c:lblOffset val="100"/>
        <c:noMultiLvlLbl val="0"/>
      </c:catAx>
      <c:valAx>
        <c:axId val="11036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6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33600"/>
        <c:axId val="118635136"/>
      </c:barChart>
      <c:catAx>
        <c:axId val="11863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35136"/>
        <c:crosses val="autoZero"/>
        <c:auto val="1"/>
        <c:lblAlgn val="ctr"/>
        <c:lblOffset val="100"/>
        <c:noMultiLvlLbl val="0"/>
      </c:catAx>
      <c:valAx>
        <c:axId val="1186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3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89568"/>
        <c:axId val="84603648"/>
      </c:barChart>
      <c:catAx>
        <c:axId val="845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03648"/>
        <c:crosses val="autoZero"/>
        <c:auto val="1"/>
        <c:lblAlgn val="ctr"/>
        <c:lblOffset val="100"/>
        <c:noMultiLvlLbl val="0"/>
      </c:catAx>
      <c:valAx>
        <c:axId val="846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8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539968"/>
        <c:axId val="119554048"/>
      </c:barChart>
      <c:catAx>
        <c:axId val="1195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54048"/>
        <c:crosses val="autoZero"/>
        <c:auto val="1"/>
        <c:lblAlgn val="ctr"/>
        <c:lblOffset val="100"/>
        <c:noMultiLvlLbl val="0"/>
      </c:catAx>
      <c:valAx>
        <c:axId val="11955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3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66720"/>
        <c:axId val="119976704"/>
      </c:barChart>
      <c:catAx>
        <c:axId val="1199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76704"/>
        <c:crosses val="autoZero"/>
        <c:auto val="1"/>
        <c:lblAlgn val="ctr"/>
        <c:lblOffset val="100"/>
        <c:noMultiLvlLbl val="0"/>
      </c:catAx>
      <c:valAx>
        <c:axId val="11997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6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60640"/>
        <c:axId val="120162176"/>
      </c:barChart>
      <c:catAx>
        <c:axId val="1201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62176"/>
        <c:crosses val="autoZero"/>
        <c:auto val="1"/>
        <c:lblAlgn val="ctr"/>
        <c:lblOffset val="100"/>
        <c:noMultiLvlLbl val="0"/>
      </c:catAx>
      <c:valAx>
        <c:axId val="12016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6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321152"/>
        <c:axId val="120322688"/>
      </c:barChart>
      <c:catAx>
        <c:axId val="1203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322688"/>
        <c:crosses val="autoZero"/>
        <c:auto val="1"/>
        <c:lblAlgn val="ctr"/>
        <c:lblOffset val="100"/>
        <c:noMultiLvlLbl val="0"/>
      </c:catAx>
      <c:valAx>
        <c:axId val="12032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32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03232"/>
        <c:axId val="120721408"/>
      </c:barChart>
      <c:catAx>
        <c:axId val="1207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1408"/>
        <c:crosses val="autoZero"/>
        <c:auto val="1"/>
        <c:lblAlgn val="ctr"/>
        <c:lblOffset val="100"/>
        <c:noMultiLvlLbl val="0"/>
      </c:catAx>
      <c:valAx>
        <c:axId val="12072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0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63072"/>
        <c:axId val="120964608"/>
      </c:barChart>
      <c:catAx>
        <c:axId val="12096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64608"/>
        <c:crosses val="autoZero"/>
        <c:auto val="1"/>
        <c:lblAlgn val="ctr"/>
        <c:lblOffset val="100"/>
        <c:noMultiLvlLbl val="0"/>
      </c:catAx>
      <c:valAx>
        <c:axId val="1209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6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91904"/>
        <c:axId val="121293440"/>
      </c:barChart>
      <c:catAx>
        <c:axId val="1212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3440"/>
        <c:crosses val="autoZero"/>
        <c:auto val="1"/>
        <c:lblAlgn val="ctr"/>
        <c:lblOffset val="100"/>
        <c:noMultiLvlLbl val="0"/>
      </c:catAx>
      <c:valAx>
        <c:axId val="12129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77088"/>
        <c:axId val="121982976"/>
      </c:barChart>
      <c:catAx>
        <c:axId val="12197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82976"/>
        <c:crosses val="autoZero"/>
        <c:auto val="1"/>
        <c:lblAlgn val="ctr"/>
        <c:lblOffset val="100"/>
        <c:noMultiLvlLbl val="0"/>
      </c:catAx>
      <c:valAx>
        <c:axId val="12198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7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165888"/>
        <c:axId val="122175872"/>
      </c:barChart>
      <c:catAx>
        <c:axId val="12216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175872"/>
        <c:crosses val="autoZero"/>
        <c:auto val="1"/>
        <c:lblAlgn val="ctr"/>
        <c:lblOffset val="100"/>
        <c:noMultiLvlLbl val="0"/>
      </c:catAx>
      <c:valAx>
        <c:axId val="1221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16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528128"/>
        <c:axId val="122529664"/>
      </c:barChart>
      <c:catAx>
        <c:axId val="1225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29664"/>
        <c:crosses val="autoZero"/>
        <c:auto val="1"/>
        <c:lblAlgn val="ctr"/>
        <c:lblOffset val="100"/>
        <c:noMultiLvlLbl val="0"/>
      </c:catAx>
      <c:valAx>
        <c:axId val="12252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2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24992"/>
        <c:axId val="123526528"/>
      </c:barChart>
      <c:catAx>
        <c:axId val="123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26528"/>
        <c:crosses val="autoZero"/>
        <c:auto val="1"/>
        <c:lblAlgn val="ctr"/>
        <c:lblOffset val="100"/>
        <c:noMultiLvlLbl val="0"/>
      </c:catAx>
      <c:valAx>
        <c:axId val="12352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2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76992"/>
        <c:axId val="84678528"/>
      </c:barChart>
      <c:catAx>
        <c:axId val="846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8528"/>
        <c:crosses val="autoZero"/>
        <c:auto val="1"/>
        <c:lblAlgn val="ctr"/>
        <c:lblOffset val="100"/>
        <c:noMultiLvlLbl val="0"/>
      </c:catAx>
      <c:valAx>
        <c:axId val="8467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86272"/>
        <c:axId val="123688064"/>
      </c:barChart>
      <c:catAx>
        <c:axId val="12368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88064"/>
        <c:crosses val="autoZero"/>
        <c:auto val="1"/>
        <c:lblAlgn val="ctr"/>
        <c:lblOffset val="100"/>
        <c:noMultiLvlLbl val="0"/>
      </c:catAx>
      <c:valAx>
        <c:axId val="12368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8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089088"/>
        <c:axId val="124090624"/>
      </c:barChart>
      <c:catAx>
        <c:axId val="124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90624"/>
        <c:crosses val="autoZero"/>
        <c:auto val="1"/>
        <c:lblAlgn val="ctr"/>
        <c:lblOffset val="100"/>
        <c:noMultiLvlLbl val="0"/>
      </c:catAx>
      <c:valAx>
        <c:axId val="1240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59264"/>
        <c:axId val="124469248"/>
      </c:barChart>
      <c:catAx>
        <c:axId val="1244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69248"/>
        <c:crosses val="autoZero"/>
        <c:auto val="1"/>
        <c:lblAlgn val="ctr"/>
        <c:lblOffset val="100"/>
        <c:noMultiLvlLbl val="0"/>
      </c:catAx>
      <c:valAx>
        <c:axId val="1244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649472"/>
        <c:axId val="124651008"/>
      </c:barChart>
      <c:catAx>
        <c:axId val="1246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51008"/>
        <c:crosses val="autoZero"/>
        <c:auto val="1"/>
        <c:lblAlgn val="ctr"/>
        <c:lblOffset val="100"/>
        <c:noMultiLvlLbl val="0"/>
      </c:catAx>
      <c:valAx>
        <c:axId val="1246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4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66400"/>
        <c:axId val="124967936"/>
      </c:barChart>
      <c:catAx>
        <c:axId val="1249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67936"/>
        <c:crosses val="autoZero"/>
        <c:auto val="1"/>
        <c:lblAlgn val="ctr"/>
        <c:lblOffset val="100"/>
        <c:noMultiLvlLbl val="0"/>
      </c:catAx>
      <c:valAx>
        <c:axId val="12496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6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295232"/>
        <c:axId val="125301120"/>
      </c:barChart>
      <c:catAx>
        <c:axId val="1252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01120"/>
        <c:crosses val="autoZero"/>
        <c:auto val="1"/>
        <c:lblAlgn val="ctr"/>
        <c:lblOffset val="100"/>
        <c:noMultiLvlLbl val="0"/>
      </c:catAx>
      <c:valAx>
        <c:axId val="1253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9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431168"/>
        <c:axId val="125432960"/>
      </c:barChart>
      <c:catAx>
        <c:axId val="1254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32960"/>
        <c:crosses val="autoZero"/>
        <c:auto val="1"/>
        <c:lblAlgn val="ctr"/>
        <c:lblOffset val="100"/>
        <c:noMultiLvlLbl val="0"/>
      </c:catAx>
      <c:valAx>
        <c:axId val="1254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3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924096"/>
        <c:axId val="125925632"/>
      </c:barChart>
      <c:catAx>
        <c:axId val="1259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25632"/>
        <c:crosses val="autoZero"/>
        <c:auto val="1"/>
        <c:lblAlgn val="ctr"/>
        <c:lblOffset val="100"/>
        <c:noMultiLvlLbl val="0"/>
      </c:catAx>
      <c:valAx>
        <c:axId val="12592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9</v>
      </c>
      <c r="C15" s="57">
        <v>24</v>
      </c>
      <c r="D15" s="58">
        <f>ROUND(B15/C15*100,3)</f>
        <v>37.5</v>
      </c>
    </row>
    <row r="16" spans="1:13" x14ac:dyDescent="0.2">
      <c r="A16" s="59" t="s">
        <v>17</v>
      </c>
      <c r="B16" s="57">
        <f>COUNTIF(Resp4[Vínculo],A16)</f>
        <v>8</v>
      </c>
      <c r="C16" s="57">
        <v>78</v>
      </c>
      <c r="D16" s="58">
        <f t="shared" ref="D16:D17" si="0">ROUND(B16/C16*100,3)</f>
        <v>10.256</v>
      </c>
    </row>
    <row r="17" spans="1:10" x14ac:dyDescent="0.2">
      <c r="A17" s="60" t="s">
        <v>18</v>
      </c>
      <c r="B17" s="57">
        <f>SUM(B15:B16)</f>
        <v>17</v>
      </c>
      <c r="C17" s="57">
        <f>SUM(C15:C16)</f>
        <v>102</v>
      </c>
      <c r="D17" s="58">
        <f t="shared" si="0"/>
        <v>16.667000000000002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COUNTIFS(Resp4[Vínculo],"tecnico",Resp4[4.04],B9)</f>
        <v>0</v>
      </c>
      <c r="D9" s="4">
        <f>COUNTIFS(Resp4[Vínculo],"docente",Resp4[4.04],B9)</f>
        <v>1</v>
      </c>
      <c r="E9" s="4">
        <f>COUNTIF(Resp4[4.04],B9)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1</v>
      </c>
      <c r="E10" s="4">
        <f>COUNTIF(Resp4[4.04],B10)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COUNTIFS(Resp4[Vínculo],"tecnico",Resp4[4.04],B11)</f>
        <v>0</v>
      </c>
      <c r="D11" s="4">
        <f>COUNTIFS(Resp4[Vínculo],"docente",Resp4[4.04],B11)</f>
        <v>2</v>
      </c>
      <c r="E11" s="4">
        <f>COUNTIF(Resp4[4.04],B11)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COUNTIFS(Resp4[Vínculo],"tecnico",Resp4[4.04],B12)</f>
        <v>2</v>
      </c>
      <c r="D12" s="4">
        <f>COUNTIFS(Resp4[Vínculo],"docente",Resp4[4.04],B12)</f>
        <v>1</v>
      </c>
      <c r="E12" s="4">
        <f>COUNTIF(Resp4[4.04],B12)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COUNTIFS(Resp4[Vínculo],"tecnico",Resp4[4.103],B9)</f>
        <v>1</v>
      </c>
      <c r="D9" s="4">
        <f>COUNTIFS(Resp4[Vínculo],"docente",Resp4[4.103],B9)</f>
        <v>0</v>
      </c>
      <c r="E9" s="4">
        <f>COUNTIF(Resp4[4.103],B9)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0</v>
      </c>
      <c r="E10" s="4">
        <f>COUNTIF(Resp4[4.103],B10)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COUNTIFS(Resp4[Vínculo],"tecnico",Resp4[4.103],B11)</f>
        <v>0</v>
      </c>
      <c r="D11" s="4">
        <f>COUNTIFS(Resp4[Vínculo],"docente",Resp4[4.103],B11)</f>
        <v>2</v>
      </c>
      <c r="E11" s="4">
        <f>COUNTIF(Resp4[4.103],B11)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COUNTIFS(Resp4[Vínculo],"tecnico",Resp4[4.103],B12)</f>
        <v>1</v>
      </c>
      <c r="D12" s="4">
        <f>COUNTIFS(Resp4[Vínculo],"docente",Resp4[4.103],B12)</f>
        <v>3</v>
      </c>
      <c r="E12" s="4">
        <f>COUNTIF(Resp4[4.103],B12)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COUNTIFS(Resp4[Vínculo],"tecnico",Resp4[4.104],B7)</f>
        <v>0</v>
      </c>
      <c r="D7" s="4">
        <f>COUNTIFS(Resp4[Vínculo],"docente",Resp4[4.104],B7)</f>
        <v>0</v>
      </c>
      <c r="E7" s="4">
        <f>COUNTIF(Resp4[4.104],B7)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1</v>
      </c>
      <c r="D10" s="4">
        <f>COUNTIFS(Resp4[Vínculo],"docente",Resp4[4.104],B10)</f>
        <v>0</v>
      </c>
      <c r="E10" s="4">
        <f>COUNTIF(Resp4[4.104],B10)</f>
        <v>1</v>
      </c>
      <c r="F10" s="15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COUNTIFS(Resp4[Vínculo],"tecnico",Resp4[4.104],B11)</f>
        <v>0</v>
      </c>
      <c r="D11" s="4">
        <f>COUNTIFS(Resp4[Vínculo],"docente",Resp4[4.104],B11)</f>
        <v>4</v>
      </c>
      <c r="E11" s="4">
        <f>COUNTIF(Resp4[4.104],B11)</f>
        <v>4</v>
      </c>
      <c r="F11" s="15">
        <f t="shared" si="0"/>
        <v>23.53</v>
      </c>
      <c r="G11" s="3">
        <f t="shared" si="1"/>
        <v>57.143000000000001</v>
      </c>
    </row>
    <row r="12" spans="1:7" x14ac:dyDescent="0.25">
      <c r="B12" s="7" t="s">
        <v>205</v>
      </c>
      <c r="C12" s="4">
        <f>COUNTIFS(Resp4[Vínculo],"tecnico",Resp4[4.104],B12)</f>
        <v>1</v>
      </c>
      <c r="D12" s="4">
        <f>COUNTIFS(Resp4[Vínculo],"docente",Resp4[4.104],B12)</f>
        <v>1</v>
      </c>
      <c r="E12" s="4">
        <f>COUNTIF(Resp4[4.104],B12)</f>
        <v>2</v>
      </c>
      <c r="F12" s="19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COUNTIFS(Resp4[Vínculo],"tecnico",Resp4[4.105],B7)</f>
        <v>0</v>
      </c>
      <c r="D7" s="4">
        <f>COUNTIFS(Resp4[Vínculo],"docente",Resp4[4.105],B7)</f>
        <v>0</v>
      </c>
      <c r="E7" s="4">
        <f>COUNTIF(Resp4[4.105],B7)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COUNTIFS(Resp4[Vínculo],"tecnico",Resp4[4.105],B9)</f>
        <v>1</v>
      </c>
      <c r="D9" s="4">
        <f>COUNTIFS(Resp4[Vínculo],"docente",Resp4[4.105],B9)</f>
        <v>0</v>
      </c>
      <c r="E9" s="4">
        <f>COUNTIF(Resp4[4.105],B9)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1</v>
      </c>
      <c r="E10" s="4">
        <f>COUNTIF(Resp4[4.105],B10)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COUNTIFS(Resp4[Vínculo],"tecnico",Resp4[4.105],B11)</f>
        <v>0</v>
      </c>
      <c r="D11" s="4">
        <f>COUNTIFS(Resp4[Vínculo],"docente",Resp4[4.105],B11)</f>
        <v>2</v>
      </c>
      <c r="E11" s="4">
        <f>COUNTIF(Resp4[4.105],B11)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COUNTIFS(Resp4[Vínculo],"tecnico",Resp4[4.105],B12)</f>
        <v>1</v>
      </c>
      <c r="D12" s="4">
        <f>COUNTIFS(Resp4[Vínculo],"docente",Resp4[4.105],B12)</f>
        <v>2</v>
      </c>
      <c r="E12" s="4">
        <f>COUNTIF(Resp4[4.105],B12)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COUNTIFS(Resp4[Vínculo],"tecnico",Resp4[4.106],B7)</f>
        <v>0</v>
      </c>
      <c r="D7" s="4">
        <f>COUNTIFS(Resp4[Vínculo],"docente",Resp4[4.106],B7)</f>
        <v>0</v>
      </c>
      <c r="E7" s="4">
        <f>COUNTIF(Resp4[4.106],B7)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COUNTIFS(Resp4[Vínculo],"tecnico",Resp4[4.106],B9)</f>
        <v>0</v>
      </c>
      <c r="D9" s="4">
        <f>COUNTIFS(Resp4[Vínculo],"docente",Resp4[4.106],B9)</f>
        <v>1</v>
      </c>
      <c r="E9" s="4">
        <f>COUNTIF(Resp4[4.106],B9)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COUNTIFS(Resp4[Vínculo],"tecnico",Resp4[4.106],B10)</f>
        <v>1</v>
      </c>
      <c r="D10" s="4">
        <f>COUNTIFS(Resp4[Vínculo],"docente",Resp4[4.106],B10)</f>
        <v>0</v>
      </c>
      <c r="E10" s="4">
        <f>COUNTIF(Resp4[4.106],B10)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COUNTIFS(Resp4[Vínculo],"tecnico",Resp4[4.106],B11)</f>
        <v>0</v>
      </c>
      <c r="D11" s="4">
        <f>COUNTIFS(Resp4[Vínculo],"docente",Resp4[4.106],B11)</f>
        <v>3</v>
      </c>
      <c r="E11" s="4">
        <f>COUNTIF(Resp4[4.106],B11)</f>
        <v>3</v>
      </c>
      <c r="F11" s="4">
        <f t="shared" si="0"/>
        <v>17.649999999999999</v>
      </c>
      <c r="G11" s="3">
        <f t="shared" si="1"/>
        <v>42.856999999999999</v>
      </c>
    </row>
    <row r="12" spans="1:7" x14ac:dyDescent="0.25">
      <c r="B12" s="7" t="s">
        <v>205</v>
      </c>
      <c r="C12" s="4">
        <f>COUNTIFS(Resp4[Vínculo],"tecnico",Resp4[4.106],B12)</f>
        <v>1</v>
      </c>
      <c r="D12" s="4">
        <f>COUNTIFS(Resp4[Vínculo],"docente",Resp4[4.106],B12)</f>
        <v>1</v>
      </c>
      <c r="E12" s="4">
        <f>COUNTIF(Resp4[4.106],B12)</f>
        <v>2</v>
      </c>
      <c r="F12" s="22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COUNTIFS(Resp4[Vínculo],"tecnico",Resp4[4.107],B7)</f>
        <v>0</v>
      </c>
      <c r="D7" s="4">
        <f>COUNTIFS(Resp4[Vínculo],"docente",Resp4[4.107],B7)</f>
        <v>0</v>
      </c>
      <c r="E7" s="4">
        <f>COUNTIF(Resp4[4.107],B7)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COUNTIFS(Resp4[Vínculo],"tecnico",Resp4[4.107],B9)</f>
        <v>1</v>
      </c>
      <c r="D9" s="4">
        <f>COUNTIFS(Resp4[Vínculo],"docente",Resp4[4.107],B9)</f>
        <v>1</v>
      </c>
      <c r="E9" s="4">
        <f>COUNTIF(Resp4[4.107],B9)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2</v>
      </c>
      <c r="E10" s="4">
        <f>COUNTIF(Resp4[4.107],B10)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COUNTIFS(Resp4[Vínculo],"tecnico",Resp4[4.107],B11)</f>
        <v>0</v>
      </c>
      <c r="D11" s="4">
        <f>COUNTIFS(Resp4[Vínculo],"docente",Resp4[4.107],B11)</f>
        <v>1</v>
      </c>
      <c r="E11" s="4">
        <f>COUNTIF(Resp4[4.107],B11)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COUNTIFS(Resp4[Vínculo],"tecnico",Resp4[4.107],B12)</f>
        <v>1</v>
      </c>
      <c r="D12" s="4">
        <f>COUNTIFS(Resp4[Vínculo],"docente",Resp4[4.107],B12)</f>
        <v>1</v>
      </c>
      <c r="E12" s="4">
        <f>COUNTIF(Resp4[4.107],B12)</f>
        <v>2</v>
      </c>
      <c r="F12" s="22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COUNTIFS(Resp4[Vínculo],"tecnico",Resp4[4.108],B7)</f>
        <v>0</v>
      </c>
      <c r="D7" s="4">
        <f>COUNTIFS(Resp4[Vínculo],"docente",Resp4[4.108],B7)</f>
        <v>0</v>
      </c>
      <c r="E7" s="4">
        <f>COUNTIF(Resp4[4.108],B7)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COUNTIFS(Resp4[Vínculo],"tecnico",Resp4[4.108],B9)</f>
        <v>1</v>
      </c>
      <c r="D9" s="4">
        <f>COUNTIFS(Resp4[Vínculo],"docente",Resp4[4.108],B9)</f>
        <v>0</v>
      </c>
      <c r="E9" s="4">
        <f>COUNTIF(Resp4[4.108],B9)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3</v>
      </c>
      <c r="E10" s="4">
        <f>COUNTIF(Resp4[4.108],B10)</f>
        <v>3</v>
      </c>
      <c r="F10" s="4">
        <f t="shared" si="0"/>
        <v>17.649999999999999</v>
      </c>
      <c r="G10" s="3">
        <f t="shared" si="1"/>
        <v>42.856999999999999</v>
      </c>
    </row>
    <row r="11" spans="1:7" x14ac:dyDescent="0.25">
      <c r="B11" s="2" t="s">
        <v>200</v>
      </c>
      <c r="C11" s="4">
        <f>COUNTIFS(Resp4[Vínculo],"tecnico",Resp4[4.108],B11)</f>
        <v>0</v>
      </c>
      <c r="D11" s="4">
        <f>COUNTIFS(Resp4[Vínculo],"docente",Resp4[4.108],B11)</f>
        <v>1</v>
      </c>
      <c r="E11" s="4">
        <f>COUNTIF(Resp4[4.108],B11)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COUNTIFS(Resp4[Vínculo],"tecnico",Resp4[4.108],B12)</f>
        <v>1</v>
      </c>
      <c r="D12" s="4">
        <f>COUNTIFS(Resp4[Vínculo],"docente",Resp4[4.108],B12)</f>
        <v>1</v>
      </c>
      <c r="E12" s="4">
        <f>COUNTIF(Resp4[4.108],B12)</f>
        <v>2</v>
      </c>
      <c r="F12" s="22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COUNTIFS(Resp4[Vínculo],"tecnico",Resp4[4.109],B7)</f>
        <v>0</v>
      </c>
      <c r="D7" s="4">
        <f>COUNTIFS(Resp4[Vínculo],"docente",Resp4[4.109],B7)</f>
        <v>0</v>
      </c>
      <c r="E7" s="4">
        <f>COUNTIF(Resp4[4.109],B7)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COUNTIFS(Resp4[Vínculo],"tecnico",Resp4[4.109],B9)</f>
        <v>1</v>
      </c>
      <c r="D9" s="4">
        <f>COUNTIFS(Resp4[Vínculo],"docente",Resp4[4.109],B9)</f>
        <v>0</v>
      </c>
      <c r="E9" s="4">
        <f>COUNTIF(Resp4[4.109],B9)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2</v>
      </c>
      <c r="E10" s="4">
        <f>COUNTIF(Resp4[4.109],B10)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COUNTIFS(Resp4[Vínculo],"tecnico",Resp4[4.109],B11)</f>
        <v>0</v>
      </c>
      <c r="D11" s="4">
        <f>COUNTIFS(Resp4[Vínculo],"docente",Resp4[4.109],B11)</f>
        <v>3</v>
      </c>
      <c r="E11" s="4">
        <f>COUNTIF(Resp4[4.109],B11)</f>
        <v>3</v>
      </c>
      <c r="F11" s="4">
        <f t="shared" si="0"/>
        <v>17.649999999999999</v>
      </c>
      <c r="G11" s="3">
        <f t="shared" si="1"/>
        <v>42.856999999999999</v>
      </c>
    </row>
    <row r="12" spans="1:7" x14ac:dyDescent="0.25">
      <c r="B12" s="7" t="s">
        <v>205</v>
      </c>
      <c r="C12" s="4">
        <f>COUNTIFS(Resp4[Vínculo],"tecnico",Resp4[4.109],B12)</f>
        <v>1</v>
      </c>
      <c r="D12" s="4">
        <f>COUNTIFS(Resp4[Vínculo],"docente",Resp4[4.109],B12)</f>
        <v>0</v>
      </c>
      <c r="E12" s="4">
        <f>COUNTIF(Resp4[4.109],B12)</f>
        <v>1</v>
      </c>
      <c r="F12" s="22">
        <f t="shared" si="0"/>
        <v>5.88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COUNTIFS(Resp4[Vínculo],"tecnico",Resp4[4.110],B7)</f>
        <v>0</v>
      </c>
      <c r="D7" s="4">
        <f>COUNTIFS(Resp4[Vínculo],"docente",Resp4[4.110],B7)</f>
        <v>0</v>
      </c>
      <c r="E7" s="4">
        <f>COUNTIF(Resp4[4.110],B7)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COUNTIFS(Resp4[Vínculo],"tecnico",Resp4[4.110],B9)</f>
        <v>1</v>
      </c>
      <c r="D9" s="4">
        <f>COUNTIFS(Resp4[Vínculo],"docente",Resp4[4.110],B9)</f>
        <v>0</v>
      </c>
      <c r="E9" s="4">
        <f>COUNTIF(Resp4[4.110],B9)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2</v>
      </c>
      <c r="E10" s="4">
        <f>COUNTIF(Resp4[4.110],B10)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COUNTIFS(Resp4[Vínculo],"tecnico",Resp4[4.110],B11)</f>
        <v>0</v>
      </c>
      <c r="D11" s="4">
        <f>COUNTIFS(Resp4[Vínculo],"docente",Resp4[4.110],B11)</f>
        <v>3</v>
      </c>
      <c r="E11" s="4">
        <f>COUNTIF(Resp4[4.110],B11)</f>
        <v>3</v>
      </c>
      <c r="F11" s="4">
        <f t="shared" si="0"/>
        <v>17.649999999999999</v>
      </c>
      <c r="G11" s="3">
        <f t="shared" si="1"/>
        <v>42.856999999999999</v>
      </c>
    </row>
    <row r="12" spans="1:7" x14ac:dyDescent="0.25">
      <c r="B12" s="7" t="s">
        <v>205</v>
      </c>
      <c r="C12" s="4">
        <f>COUNTIFS(Resp4[Vínculo],"tecnico",Resp4[4.110],B12)</f>
        <v>1</v>
      </c>
      <c r="D12" s="4">
        <f>COUNTIFS(Resp4[Vínculo],"docente",Resp4[4.110],B12)</f>
        <v>0</v>
      </c>
      <c r="E12" s="4">
        <f>COUNTIF(Resp4[4.110],B12)</f>
        <v>1</v>
      </c>
      <c r="F12" s="22">
        <f t="shared" si="0"/>
        <v>5.88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COUNTIFS(Resp4[Vínculo],"tecnico",Resp4[4.111],B7)</f>
        <v>0</v>
      </c>
      <c r="D7" s="4">
        <f>COUNTIFS(Resp4[Vínculo],"docente",Resp4[4.111],B7)</f>
        <v>0</v>
      </c>
      <c r="E7" s="4">
        <f>COUNTIF(Resp4[4.111],B7)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COUNTIFS(Resp4[Vínculo],"tecnico",Resp4[4.111],B9)</f>
        <v>1</v>
      </c>
      <c r="D9" s="4">
        <f>COUNTIFS(Resp4[Vínculo],"docente",Resp4[4.111],B9)</f>
        <v>1</v>
      </c>
      <c r="E9" s="4">
        <f>COUNTIF(Resp4[4.111],B9)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1</v>
      </c>
      <c r="E10" s="4">
        <f>COUNTIF(Resp4[4.111],B10)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COUNTIFS(Resp4[Vínculo],"tecnico",Resp4[4.111],B11)</f>
        <v>0</v>
      </c>
      <c r="D11" s="4">
        <f>COUNTIFS(Resp4[Vínculo],"docente",Resp4[4.111],B11)</f>
        <v>2</v>
      </c>
      <c r="E11" s="4">
        <f>COUNTIF(Resp4[4.111],B11)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COUNTIFS(Resp4[Vínculo],"tecnico",Resp4[4.111],B12)</f>
        <v>1</v>
      </c>
      <c r="D12" s="4">
        <f>COUNTIFS(Resp4[Vínculo],"docente",Resp4[4.111],B12)</f>
        <v>1</v>
      </c>
      <c r="E12" s="4">
        <f>COUNTIF(Resp4[4.111],B12)</f>
        <v>2</v>
      </c>
      <c r="F12" s="22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COUNTIFS(Resp4[Vínculo],"tecnico",Resp4[4.112],B7)</f>
        <v>0</v>
      </c>
      <c r="D7" s="4">
        <f>COUNTIFS(Resp4[Vínculo],"docente",Resp4[4.112],B7)</f>
        <v>0</v>
      </c>
      <c r="E7" s="4">
        <f>COUNTIF(Resp4[4.112],B7)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COUNTIFS(Resp4[Vínculo],"tecnico",Resp4[4.112],B9)</f>
        <v>1</v>
      </c>
      <c r="D9" s="4">
        <f>COUNTIFS(Resp4[Vínculo],"docente",Resp4[4.112],B9)</f>
        <v>0</v>
      </c>
      <c r="E9" s="4">
        <f>COUNTIF(Resp4[4.112],B9)</f>
        <v>1</v>
      </c>
      <c r="F9" s="3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2</v>
      </c>
      <c r="E10" s="4">
        <f>COUNTIF(Resp4[4.112],B10)</f>
        <v>2</v>
      </c>
      <c r="F10" s="3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COUNTIFS(Resp4[Vínculo],"tecnico",Resp4[4.112],B11)</f>
        <v>0</v>
      </c>
      <c r="D11" s="4">
        <f>COUNTIFS(Resp4[Vínculo],"docente",Resp4[4.112],B11)</f>
        <v>1</v>
      </c>
      <c r="E11" s="4">
        <f>COUNTIF(Resp4[4.112],B11)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COUNTIFS(Resp4[Vínculo],"tecnico",Resp4[4.112],B12)</f>
        <v>1</v>
      </c>
      <c r="D12" s="4">
        <f>COUNTIFS(Resp4[Vínculo],"docente",Resp4[4.112],B12)</f>
        <v>2</v>
      </c>
      <c r="E12" s="4">
        <f>COUNTIF(Resp4[4.112],B12)</f>
        <v>3</v>
      </c>
      <c r="F12" s="24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COUNTIFS(Resp4[Vínculo],"tecnico",Resp4[4.05],B7)</f>
        <v>0</v>
      </c>
      <c r="D7" s="4">
        <f>COUNTIFS(Resp4[Vínculo],"docente",Resp4[4.05],B7)</f>
        <v>0</v>
      </c>
      <c r="E7" s="4">
        <f>COUNTIF(Resp4[4.05],B7)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3</v>
      </c>
      <c r="E10" s="4">
        <f>COUNTIF(Resp4[4.05],B10)</f>
        <v>3</v>
      </c>
      <c r="F10" s="4">
        <f t="shared" si="0"/>
        <v>17.649999999999999</v>
      </c>
      <c r="G10" s="3">
        <f t="shared" si="1"/>
        <v>42.856999999999999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COUNTIFS(Resp4[Vínculo],"docente",Resp4[4.05],B11)</f>
        <v>2</v>
      </c>
      <c r="E11" s="4">
        <f>COUNTIF(Resp4[4.05],B11)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COUNTIFS(Resp4[Vínculo],"docente",Resp4[4.05],B12)</f>
        <v>0</v>
      </c>
      <c r="E12" s="4">
        <f>COUNTIF(Resp4[4.05],B12)</f>
        <v>2</v>
      </c>
      <c r="F12" s="22">
        <f t="shared" si="0"/>
        <v>11.76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1</v>
      </c>
      <c r="D7" s="4">
        <f>COUNTIFS(Resp4[Vínculo],"docente",Resp4[4.114],B7)</f>
        <v>1</v>
      </c>
      <c r="E7" s="2">
        <f>COUNTIF(Resp4[4.114],B7)</f>
        <v>2</v>
      </c>
      <c r="F7" s="15">
        <f t="shared" ref="F7:F9" si="0">ROUND($E7/E$9*100,2)</f>
        <v>11.76</v>
      </c>
      <c r="G7" s="4">
        <f>ROUND($E7/SUM($E$7:$E$8)*100,2)</f>
        <v>11.76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8</v>
      </c>
      <c r="D8" s="4">
        <f>COUNTIFS(Resp4[Vínculo],"docente",Resp4[4.114],B8)</f>
        <v>7</v>
      </c>
      <c r="E8" s="2">
        <f>COUNTIF(Resp4[4.114],B8)</f>
        <v>15</v>
      </c>
      <c r="F8" s="19">
        <f t="shared" si="0"/>
        <v>88.24</v>
      </c>
      <c r="G8" s="4">
        <f>ROUND($E8/SUM($E$7:$E$8)*100,2)</f>
        <v>88.24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COUNTIFS(Resp4[Vínculo],"tecnico",Resp4[4.115],B12)</f>
        <v>1</v>
      </c>
      <c r="D12" s="4">
        <f>COUNTIFS(Resp4[Vínculo],"docente",Resp4[4.115],B12)</f>
        <v>1</v>
      </c>
      <c r="E12" s="4">
        <f>COUNTIF(Resp4[4.115],B12)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COUNTIFS(Resp4[Vínculo],"tecnico",Resp4[4.116],B12)</f>
        <v>1</v>
      </c>
      <c r="D12" s="4">
        <f>COUNTIFS(Resp4[Vínculo],"docente",Resp4[4.116],B12)</f>
        <v>1</v>
      </c>
      <c r="E12" s="4">
        <f>COUNTIF(Resp4[4.116],B12)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COUNTIFS(Resp4[Vínculo],"tecnico",Resp4[4.117],B12)</f>
        <v>1</v>
      </c>
      <c r="D12" s="4">
        <f>COUNTIFS(Resp4[Vínculo],"docente",Resp4[4.117],B12)</f>
        <v>1</v>
      </c>
      <c r="E12" s="4">
        <f>COUNTIF(Resp4[4.117],B12)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COUNTIFS(Resp4[Vínculo],"tecnico",Resp4[4.118],B12)</f>
        <v>1</v>
      </c>
      <c r="D12" s="4">
        <f>COUNTIFS(Resp4[Vínculo],"docente",Resp4[4.118],B12)</f>
        <v>1</v>
      </c>
      <c r="E12" s="4">
        <f>COUNTIF(Resp4[4.118],B12)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COUNTIFS(Resp4[Vínculo],"tecnico",Resp4[4.119],B11)</f>
        <v>0</v>
      </c>
      <c r="D11" s="4">
        <f>COUNTIFS(Resp4[Vínculo],"docente",Resp4[4.119],B11)</f>
        <v>0</v>
      </c>
      <c r="E11" s="4">
        <f>COUNTIF(Resp4[4.119],B11)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COUNTIFS(Resp4[Vínculo],"tecnico",Resp4[4.119],B12)</f>
        <v>1</v>
      </c>
      <c r="D12" s="4">
        <f>COUNTIFS(Resp4[Vínculo],"docente",Resp4[4.119],B12)</f>
        <v>1</v>
      </c>
      <c r="E12" s="4">
        <f>COUNTIF(Resp4[4.119],B12)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COUNTIFS(Resp4[Vínculo],"tecnico",Resp4[4.120],B11)</f>
        <v>0</v>
      </c>
      <c r="D11" s="4">
        <f>COUNTIFS(Resp4[Vínculo],"docente",Resp4[4.120],B11)</f>
        <v>0</v>
      </c>
      <c r="E11" s="4">
        <f>COUNTIF(Resp4[4.120],B11)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COUNTIFS(Resp4[Vínculo],"tecnico",Resp4[4.120],B12)</f>
        <v>1</v>
      </c>
      <c r="D12" s="4">
        <f>COUNTIFS(Resp4[Vínculo],"docente",Resp4[4.120],B12)</f>
        <v>1</v>
      </c>
      <c r="E12" s="4">
        <f>COUNTIF(Resp4[4.120],B12)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COUNTIFS(Resp4[Vínculo],"tecnico",Resp4[4.121],B12)</f>
        <v>1</v>
      </c>
      <c r="D12" s="4">
        <f>COUNTIFS(Resp4[Vínculo],"docente",Resp4[4.121],B12)</f>
        <v>1</v>
      </c>
      <c r="E12" s="4">
        <f>COUNTIF(Resp4[4.121],B12)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COUNTIFS(Resp4[Vínculo],"tecnico",Resp4[4.122],B11)</f>
        <v>0</v>
      </c>
      <c r="D11" s="4">
        <f>COUNTIFS(Resp4[Vínculo],"docente",Resp4[4.122],B11)</f>
        <v>0</v>
      </c>
      <c r="E11" s="4">
        <f>COUNTIF(Resp4[4.122],B11)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COUNTIFS(Resp4[Vínculo],"tecnico",Resp4[4.122],B12)</f>
        <v>1</v>
      </c>
      <c r="D12" s="4">
        <f>COUNTIFS(Resp4[Vínculo],"docente",Resp4[4.122],B12)</f>
        <v>1</v>
      </c>
      <c r="E12" s="4">
        <f>COUNTIF(Resp4[4.122],B12)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COUNTIFS(Resp4[Vínculo],"tecnico",Resp4[4.123],B12)</f>
        <v>1</v>
      </c>
      <c r="D12" s="4">
        <f>COUNTIFS(Resp4[Vínculo],"docente",Resp4[4.123],B12)</f>
        <v>1</v>
      </c>
      <c r="E12" s="4">
        <f>COUNTIF(Resp4[4.123],B12)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COUNTIFS(Resp4[Vínculo],"tecnico",Resp4[4.06],B7)</f>
        <v>0</v>
      </c>
      <c r="D7" s="4">
        <f>COUNTIFS(Resp4[Vínculo],"docente",Resp4[4.06],B7)</f>
        <v>1</v>
      </c>
      <c r="E7" s="4">
        <f>COUNTIF(Resp4[4.06],B7)</f>
        <v>1</v>
      </c>
      <c r="F7" s="4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COUNTIFS(Resp4[Vínculo],"tecnico",Resp4[4.06],B9)</f>
        <v>0</v>
      </c>
      <c r="D9" s="4">
        <f>COUNTIFS(Resp4[Vínculo],"docente",Resp4[4.06],B9)</f>
        <v>1</v>
      </c>
      <c r="E9" s="4">
        <f>COUNTIF(Resp4[4.06],B9)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1</v>
      </c>
      <c r="E10" s="4">
        <f>COUNTIF(Resp4[4.06],B10)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COUNTIFS(Resp4[Vínculo],"tecnico",Resp4[4.06],B11)</f>
        <v>0</v>
      </c>
      <c r="D11" s="4">
        <f>COUNTIFS(Resp4[Vínculo],"docente",Resp4[4.06],B11)</f>
        <v>0</v>
      </c>
      <c r="E11" s="4">
        <f>COUNTIF(Resp4[4.06],B11)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COUNTIFS(Resp4[Vínculo],"tecnico",Resp4[4.06],B12)</f>
        <v>2</v>
      </c>
      <c r="D12" s="4">
        <f>COUNTIFS(Resp4[Vínculo],"docente",Resp4[4.06],B12)</f>
        <v>2</v>
      </c>
      <c r="E12" s="4">
        <f>COUNTIF(Resp4[4.06],B12)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COUNTIFS(Resp4[Vínculo],"tecnico",Resp4[4.124],B11)</f>
        <v>0</v>
      </c>
      <c r="D11" s="4">
        <f>COUNTIFS(Resp4[Vínculo],"docente",Resp4[4.124],B11)</f>
        <v>0</v>
      </c>
      <c r="E11" s="4">
        <f>COUNTIF(Resp4[4.124],B11)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COUNTIFS(Resp4[Vínculo],"tecnico",Resp4[4.124],B12)</f>
        <v>1</v>
      </c>
      <c r="D12" s="4">
        <f>COUNTIFS(Resp4[Vínculo],"docente",Resp4[4.124],B12)</f>
        <v>1</v>
      </c>
      <c r="E12" s="4">
        <f>COUNTIF(Resp4[4.124],B12)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COUNTIFS(Resp4[Vínculo],"tecnico",Resp4[4.125],B12)</f>
        <v>1</v>
      </c>
      <c r="D12" s="4">
        <f>COUNTIFS(Resp4[Vínculo],"docente",Resp4[4.125],B12)</f>
        <v>1</v>
      </c>
      <c r="E12" s="4">
        <f>COUNTIF(Resp4[4.125],B12)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COUNTIFS(Resp4[Vínculo],"tecnico",Resp4[4.126],B12)</f>
        <v>1</v>
      </c>
      <c r="D12" s="4">
        <f>COUNTIFS(Resp4[Vínculo],"docente",Resp4[4.126],B12)</f>
        <v>1</v>
      </c>
      <c r="E12" s="4">
        <f>COUNTIF(Resp4[4.126],B12)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COUNTIFS(Resp4[Vínculo],"tecnico",Resp4[4.127],B12)</f>
        <v>1</v>
      </c>
      <c r="D12" s="4">
        <f>COUNTIFS(Resp4[Vínculo],"docente",Resp4[4.127],B12)</f>
        <v>1</v>
      </c>
      <c r="E12" s="4">
        <f>COUNTIF(Resp4[4.127],B12)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7</v>
      </c>
      <c r="E6" s="4">
        <f>E13-SUM(E7:E12)</f>
        <v>15</v>
      </c>
      <c r="F6" s="3">
        <f>ROUND($E6/E$13*100,2)</f>
        <v>88.24</v>
      </c>
    </row>
    <row r="7" spans="1:7" x14ac:dyDescent="0.25">
      <c r="B7" s="2" t="s">
        <v>203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COUNTIFS(Resp4[Vínculo],"tecnico",Resp4[4.128],B12)</f>
        <v>1</v>
      </c>
      <c r="D12" s="4">
        <f>COUNTIFS(Resp4[Vínculo],"docente",Resp4[4.128],B12)</f>
        <v>1</v>
      </c>
      <c r="E12" s="4">
        <f>COUNTIF(Resp4[4.128],B12)</f>
        <v>2</v>
      </c>
      <c r="F12" s="24">
        <f t="shared" si="0"/>
        <v>11.76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2</v>
      </c>
      <c r="D7" s="4">
        <f>COUNTIFS(Resp4[Vínculo],"docente",Resp4[4.130],B7)</f>
        <v>5</v>
      </c>
      <c r="E7" s="2">
        <f>COUNTIF(Resp4[4.130],B7)</f>
        <v>7</v>
      </c>
      <c r="F7" s="4">
        <f t="shared" ref="F7:F9" si="0">ROUND($E7/E$9*100,2)</f>
        <v>41.18</v>
      </c>
      <c r="G7" s="4">
        <f>ROUND($E7/SUM($E$7:$E$8)*100,2)</f>
        <v>41.18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7</v>
      </c>
      <c r="D8" s="4">
        <f>COUNTIFS(Resp4[Vínculo],"docente",Resp4[4.130],B8)</f>
        <v>3</v>
      </c>
      <c r="E8" s="2">
        <f>COUNTIF(Resp4[4.130],B8)</f>
        <v>10</v>
      </c>
      <c r="F8" s="22">
        <f t="shared" si="0"/>
        <v>58.82</v>
      </c>
      <c r="G8" s="4">
        <f>ROUND($E8/SUM($E$7:$E$8)*100,2)</f>
        <v>58.82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COUNTIFS(Resp4[Vínculo],"tecnico",Resp4[4.131],B7)</f>
        <v>0</v>
      </c>
      <c r="D7" s="4">
        <f>COUNTIFS(Resp4[Vínculo],"docente",Resp4[4.131],B7)</f>
        <v>0</v>
      </c>
      <c r="E7" s="4">
        <f>COUNTIF(Resp4[4.131],B7)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COUNTIFS(Resp4[Vínculo],"tecnico",Resp4[4.131],B8)</f>
        <v>0</v>
      </c>
      <c r="D8" s="4">
        <f>COUNTIFS(Resp4[Vínculo],"docente",Resp4[4.131],B8)</f>
        <v>1</v>
      </c>
      <c r="E8" s="4">
        <f>COUNTIF(Resp4[4.131],B8)</f>
        <v>1</v>
      </c>
      <c r="F8" s="3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2</v>
      </c>
      <c r="E10" s="4">
        <f>COUNTIF(Resp4[4.131],B10)</f>
        <v>2</v>
      </c>
      <c r="F10" s="3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COUNTIFS(Resp4[Vínculo],"tecnico",Resp4[4.131],B11)</f>
        <v>0</v>
      </c>
      <c r="D11" s="4">
        <f>COUNTIFS(Resp4[Vínculo],"docente",Resp4[4.131],B11)</f>
        <v>1</v>
      </c>
      <c r="E11" s="4">
        <f>COUNTIF(Resp4[4.131],B11)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COUNTIFS(Resp4[Vínculo],"tecnico",Resp4[4.131],B12)</f>
        <v>2</v>
      </c>
      <c r="D12" s="4">
        <f>COUNTIFS(Resp4[Vínculo],"docente",Resp4[4.131],B12)</f>
        <v>1</v>
      </c>
      <c r="E12" s="4">
        <f>COUNTIF(Resp4[4.131],B12)</f>
        <v>3</v>
      </c>
      <c r="F12" s="24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COUNTIFS(Resp4[Vínculo],"tecnico",Resp4[4.132],B7)</f>
        <v>0</v>
      </c>
      <c r="D7" s="4">
        <f>COUNTIFS(Resp4[Vínculo],"docente",Resp4[4.132],B7)</f>
        <v>0</v>
      </c>
      <c r="E7" s="4">
        <f>COUNTIF(Resp4[4.132],B7)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COUNTIFS(Resp4[Vínculo],"tecnico",Resp4[4.132],B8)</f>
        <v>0</v>
      </c>
      <c r="D8" s="4">
        <f>COUNTIFS(Resp4[Vínculo],"docente",Resp4[4.132],B8)</f>
        <v>1</v>
      </c>
      <c r="E8" s="4">
        <f>COUNTIF(Resp4[4.132],B8)</f>
        <v>1</v>
      </c>
      <c r="F8" s="3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COUNTIFS(Resp4[Vínculo],"tecnico",Resp4[4.132],B9)</f>
        <v>0</v>
      </c>
      <c r="D9" s="4">
        <f>COUNTIFS(Resp4[Vínculo],"docente",Resp4[4.132],B9)</f>
        <v>1</v>
      </c>
      <c r="E9" s="4">
        <f>COUNTIF(Resp4[4.132],B9)</f>
        <v>1</v>
      </c>
      <c r="F9" s="3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2</v>
      </c>
      <c r="E10" s="4">
        <f>COUNTIF(Resp4[4.132],B10)</f>
        <v>2</v>
      </c>
      <c r="F10" s="3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COUNTIFS(Resp4[Vínculo],"tecnico",Resp4[4.132],B12)</f>
        <v>2</v>
      </c>
      <c r="D12" s="4">
        <f>COUNTIFS(Resp4[Vínculo],"docente",Resp4[4.132],B12)</f>
        <v>1</v>
      </c>
      <c r="E12" s="4">
        <f>COUNTIF(Resp4[4.132],B12)</f>
        <v>3</v>
      </c>
      <c r="F12" s="24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COUNTIFS(Resp4[Vínculo],"tecnico",Resp4[4.133],B7)</f>
        <v>0</v>
      </c>
      <c r="D7" s="4">
        <f>COUNTIFS(Resp4[Vínculo],"docente",Resp4[4.133],B7)</f>
        <v>1</v>
      </c>
      <c r="E7" s="4">
        <f>COUNTIF(Resp4[4.133],B7)</f>
        <v>1</v>
      </c>
      <c r="F7" s="3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1</v>
      </c>
      <c r="E10" s="4">
        <f>COUNTIF(Resp4[4.133],B10)</f>
        <v>1</v>
      </c>
      <c r="F10" s="3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COUNTIFS(Resp4[Vínculo],"tecnico",Resp4[4.133],B11)</f>
        <v>0</v>
      </c>
      <c r="D11" s="4">
        <f>COUNTIFS(Resp4[Vínculo],"docente",Resp4[4.133],B11)</f>
        <v>1</v>
      </c>
      <c r="E11" s="4">
        <f>COUNTIF(Resp4[4.133],B11)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COUNTIFS(Resp4[Vínculo],"tecnico",Resp4[4.133],B12)</f>
        <v>2</v>
      </c>
      <c r="D12" s="4">
        <f>COUNTIFS(Resp4[Vínculo],"docente",Resp4[4.133],B12)</f>
        <v>2</v>
      </c>
      <c r="E12" s="4">
        <f>COUNTIF(Resp4[4.133],B12)</f>
        <v>4</v>
      </c>
      <c r="F12" s="24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COUNTIFS(Resp4[Vínculo],"tecnico",Resp4[4.134],B7)</f>
        <v>0</v>
      </c>
      <c r="D7" s="4">
        <f>COUNTIFS(Resp4[Vínculo],"docente",Resp4[4.134],B7)</f>
        <v>1</v>
      </c>
      <c r="E7" s="4">
        <f>COUNTIF(Resp4[4.134],B7)</f>
        <v>1</v>
      </c>
      <c r="F7" s="3">
        <f t="shared" ref="F7:F12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COUNTIFS(Resp4[Vínculo],"tecnico",Resp4[4.134],B8)</f>
        <v>0</v>
      </c>
      <c r="D8" s="4">
        <f>COUNTIFS(Resp4[Vínculo],"docente",Resp4[4.134],B8)</f>
        <v>1</v>
      </c>
      <c r="E8" s="4">
        <f>COUNTIF(Resp4[4.134],B8)</f>
        <v>1</v>
      </c>
      <c r="F8" s="3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COUNTIFS(Resp4[Vínculo],"tecnico",Resp4[4.134],B9)</f>
        <v>0</v>
      </c>
      <c r="D9" s="4">
        <f>COUNTIFS(Resp4[Vínculo],"docente",Resp4[4.134],B9)</f>
        <v>0</v>
      </c>
      <c r="E9" s="4">
        <f>COUNTIF(Resp4[4.134],B9)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2</v>
      </c>
      <c r="E10" s="4">
        <f>COUNTIF(Resp4[4.134],B10)</f>
        <v>2</v>
      </c>
      <c r="F10" s="3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COUNTIFS(Resp4[Vínculo],"tecnico",Resp4[4.134],B11)</f>
        <v>0</v>
      </c>
      <c r="D11" s="4">
        <f>COUNTIFS(Resp4[Vínculo],"docente",Resp4[4.134],B11)</f>
        <v>0</v>
      </c>
      <c r="E11" s="4">
        <f>COUNTIF(Resp4[4.134],B11)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COUNTIFS(Resp4[Vínculo],"tecnico",Resp4[4.134],B12)</f>
        <v>2</v>
      </c>
      <c r="D12" s="4">
        <f>COUNTIFS(Resp4[Vínculo],"docente",Resp4[4.134],B12)</f>
        <v>1</v>
      </c>
      <c r="E12" s="4">
        <f>COUNTIF(Resp4[4.134],B12)</f>
        <v>3</v>
      </c>
      <c r="F12" s="24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COUNTIFS(Resp4[Vínculo],"tecnico",Resp4[4.07],B9)</f>
        <v>0</v>
      </c>
      <c r="D9" s="4">
        <f>COUNTIFS(Resp4[Vínculo],"docente",Resp4[4.07],B9)</f>
        <v>1</v>
      </c>
      <c r="E9" s="4">
        <f>COUNTIF(Resp4[4.07],B9)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COUNTIFS(Resp4[Vínculo],"tecnico",Resp4[4.07],B11)</f>
        <v>0</v>
      </c>
      <c r="D11" s="4">
        <f>COUNTIFS(Resp4[Vínculo],"docente",Resp4[4.07],B11)</f>
        <v>1</v>
      </c>
      <c r="E11" s="4">
        <f>COUNTIF(Resp4[4.07],B11)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COUNTIFS(Resp4[Vínculo],"tecnico",Resp4[4.07],B12)</f>
        <v>2</v>
      </c>
      <c r="D12" s="4">
        <f>COUNTIFS(Resp4[Vínculo],"docente",Resp4[4.07],B12)</f>
        <v>3</v>
      </c>
      <c r="E12" s="4">
        <f>COUNTIF(Resp4[4.07],B12)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COUNTIFS(Resp4[Vínculo],"tecnico",Resp4[4.135],B9)</f>
        <v>0</v>
      </c>
      <c r="D9" s="4">
        <f>COUNTIFS(Resp4[Vínculo],"docente",Resp4[4.135],B9)</f>
        <v>2</v>
      </c>
      <c r="E9" s="4">
        <f>COUNTIF(Resp4[4.135],B9)</f>
        <v>2</v>
      </c>
      <c r="F9" s="3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0</v>
      </c>
      <c r="E10" s="4">
        <f>COUNTIF(Resp4[4.135],B10)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COUNTIFS(Resp4[Vínculo],"tecnico",Resp4[4.135],B11)</f>
        <v>0</v>
      </c>
      <c r="D11" s="4">
        <f>COUNTIFS(Resp4[Vínculo],"docente",Resp4[4.135],B11)</f>
        <v>1</v>
      </c>
      <c r="E11" s="4">
        <f>COUNTIF(Resp4[4.135],B11)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COUNTIFS(Resp4[Vínculo],"tecnico",Resp4[4.135],B12)</f>
        <v>2</v>
      </c>
      <c r="D12" s="4">
        <f>COUNTIFS(Resp4[Vínculo],"docente",Resp4[4.135],B12)</f>
        <v>2</v>
      </c>
      <c r="E12" s="4">
        <f>COUNTIF(Resp4[4.135],B12)</f>
        <v>4</v>
      </c>
      <c r="F12" s="24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COUNTIFS(Resp4[Vínculo],"tecnico",Resp4[4.136],B8)</f>
        <v>0</v>
      </c>
      <c r="D8" s="4">
        <f>COUNTIFS(Resp4[Vínculo],"docente",Resp4[4.136],B8)</f>
        <v>1</v>
      </c>
      <c r="E8" s="4">
        <f>COUNTIF(Resp4[4.136],B8)</f>
        <v>1</v>
      </c>
      <c r="F8" s="3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COUNTIFS(Resp4[Vínculo],"tecnico",Resp4[4.136],B9)</f>
        <v>0</v>
      </c>
      <c r="D9" s="4">
        <f>COUNTIFS(Resp4[Vínculo],"docente",Resp4[4.136],B9)</f>
        <v>2</v>
      </c>
      <c r="E9" s="4">
        <f>COUNTIF(Resp4[4.136],B9)</f>
        <v>2</v>
      </c>
      <c r="F9" s="3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0</v>
      </c>
      <c r="E10" s="4">
        <f>COUNTIF(Resp4[4.136],B10)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COUNTIFS(Resp4[Vínculo],"tecnico",Resp4[4.136],B11)</f>
        <v>0</v>
      </c>
      <c r="D11" s="4">
        <f>COUNTIFS(Resp4[Vínculo],"docente",Resp4[4.136],B11)</f>
        <v>0</v>
      </c>
      <c r="E11" s="4">
        <f>COUNTIF(Resp4[4.136],B11)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COUNTIFS(Resp4[Vínculo],"tecnico",Resp4[4.136],B12)</f>
        <v>2</v>
      </c>
      <c r="D12" s="4">
        <f>COUNTIFS(Resp4[Vínculo],"docente",Resp4[4.136],B12)</f>
        <v>2</v>
      </c>
      <c r="E12" s="4">
        <f>COUNTIF(Resp4[4.136],B12)</f>
        <v>4</v>
      </c>
      <c r="F12" s="24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COUNTIFS(Resp4[Vínculo],"tecnico",Resp4[4.08],B7)</f>
        <v>0</v>
      </c>
      <c r="D7" s="4">
        <f>COUNTIFS(Resp4[Vínculo],"docente",Resp4[4.08],B7)</f>
        <v>1</v>
      </c>
      <c r="E7" s="4">
        <f>COUNTIF(Resp4[4.08],B7)</f>
        <v>1</v>
      </c>
      <c r="F7" s="4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COUNTIFS(Resp4[Vínculo],"tecnico",Resp4[4.08],B9)</f>
        <v>0</v>
      </c>
      <c r="D9" s="4">
        <f>COUNTIFS(Resp4[Vínculo],"docente",Resp4[4.08],B9)</f>
        <v>1</v>
      </c>
      <c r="E9" s="4">
        <f>COUNTIF(Resp4[4.08],B9)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0</v>
      </c>
      <c r="E10" s="4">
        <f>COUNTIF(Resp4[4.08],B10)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COUNTIFS(Resp4[Vínculo],"tecnico",Resp4[4.08],B11)</f>
        <v>0</v>
      </c>
      <c r="D11" s="4">
        <f>COUNTIFS(Resp4[Vínculo],"docente",Resp4[4.08],B11)</f>
        <v>2</v>
      </c>
      <c r="E11" s="4">
        <f>COUNTIF(Resp4[4.08],B11)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COUNTIFS(Resp4[Vínculo],"tecnico",Resp4[4.08],B12)</f>
        <v>2</v>
      </c>
      <c r="D12" s="4">
        <f>COUNTIFS(Resp4[Vínculo],"docente",Resp4[4.08],B12)</f>
        <v>1</v>
      </c>
      <c r="E12" s="4">
        <f>COUNTIF(Resp4[4.08],B12)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COUNTIFS(Resp4[Vínculo],"tecnico",Resp4[4.09],B7)</f>
        <v>0</v>
      </c>
      <c r="D7" s="4">
        <f>COUNTIFS(Resp4[Vínculo],"docente",Resp4[4.09],B7)</f>
        <v>0</v>
      </c>
      <c r="E7" s="4">
        <f>COUNTIF(Resp4[4.09],B7)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COUNTIFS(Resp4[Vínculo],"tecnico",Resp4[4.09],B8)</f>
        <v>0</v>
      </c>
      <c r="D8" s="4">
        <f>COUNTIFS(Resp4[Vínculo],"docente",Resp4[4.09],B8)</f>
        <v>1</v>
      </c>
      <c r="E8" s="4">
        <f>COUNTIF(Resp4[4.09],B8)</f>
        <v>1</v>
      </c>
      <c r="F8" s="4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COUNTIFS(Resp4[Vínculo],"tecnico",Resp4[4.09],B9)</f>
        <v>0</v>
      </c>
      <c r="D9" s="4">
        <f>COUNTIFS(Resp4[Vínculo],"docente",Resp4[4.09],B9)</f>
        <v>1</v>
      </c>
      <c r="E9" s="4">
        <f>COUNTIF(Resp4[4.09],B9)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COUNTIFS(Resp4[Vínculo],"tecnico",Resp4[4.09],B11)</f>
        <v>0</v>
      </c>
      <c r="D11" s="4">
        <f>COUNTIFS(Resp4[Vínculo],"docente",Resp4[4.09],B11)</f>
        <v>2</v>
      </c>
      <c r="E11" s="4">
        <f>COUNTIF(Resp4[4.09],B11)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COUNTIFS(Resp4[Vínculo],"tecnico",Resp4[4.09],B12)</f>
        <v>2</v>
      </c>
      <c r="D12" s="4">
        <f>COUNTIFS(Resp4[Vínculo],"docente",Resp4[4.09],B12)</f>
        <v>1</v>
      </c>
      <c r="E12" s="22">
        <f>COUNTIF(Resp4[4.09],B12)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2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COUNTIFS(Resp4[Vínculo],"tecnico",Resp4[4.10],B7)</f>
        <v>0</v>
      </c>
      <c r="D7" s="4">
        <f>COUNTIFS(Resp4[Vínculo],"docente",Resp4[4.10],B7)</f>
        <v>0</v>
      </c>
      <c r="E7" s="4">
        <f>COUNTIF(Resp4[4.10],B7)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COUNTIFS(Resp4[Vínculo],"tecnico",Resp4[4.10],B8)</f>
        <v>0</v>
      </c>
      <c r="D8" s="4">
        <f>COUNTIFS(Resp4[Vínculo],"docente",Resp4[4.10],B8)</f>
        <v>1</v>
      </c>
      <c r="E8" s="4">
        <f>COUNTIF(Resp4[4.10],B8)</f>
        <v>1</v>
      </c>
      <c r="F8" s="4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COUNTIFS(Resp4[Vínculo],"tecnico",Resp4[4.10],B9)</f>
        <v>0</v>
      </c>
      <c r="D9" s="4">
        <f>COUNTIFS(Resp4[Vínculo],"docente",Resp4[4.10],B9)</f>
        <v>1</v>
      </c>
      <c r="E9" s="4">
        <f>COUNTIF(Resp4[4.10],B9)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0</v>
      </c>
      <c r="E10" s="4">
        <f>COUNTIF(Resp4[4.10],B10)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COUNTIFS(Resp4[Vínculo],"tecnico",Resp4[4.10],B11)</f>
        <v>0</v>
      </c>
      <c r="D11" s="4">
        <f>COUNTIFS(Resp4[Vínculo],"docente",Resp4[4.10],B11)</f>
        <v>1</v>
      </c>
      <c r="E11" s="4">
        <f>COUNTIF(Resp4[4.10],B11)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COUNTIFS(Resp4[Vínculo],"tecnico",Resp4[4.10],B12)</f>
        <v>2</v>
      </c>
      <c r="D12" s="4">
        <f>COUNTIFS(Resp4[Vínculo],"docente",Resp4[4.10],B12)</f>
        <v>2</v>
      </c>
      <c r="E12" s="4">
        <f>COUNTIF(Resp4[4.10],B12)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COUNTIFS(Resp4[Vínculo],"tecnico",Resp4[4.11],B7)</f>
        <v>0</v>
      </c>
      <c r="D7" s="4">
        <f>COUNTIFS(Resp4[Vínculo],"docente",Resp4[4.11],B7)</f>
        <v>1</v>
      </c>
      <c r="E7" s="4">
        <f>COUNTIF(Resp4[4.11],B7)</f>
        <v>1</v>
      </c>
      <c r="F7" s="4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COUNTIFS(Resp4[Vínculo],"tecnico",Resp4[4.11],B9)</f>
        <v>0</v>
      </c>
      <c r="D9" s="4">
        <f>COUNTIFS(Resp4[Vínculo],"docente",Resp4[4.11],B9)</f>
        <v>1</v>
      </c>
      <c r="E9" s="4">
        <f>COUNTIF(Resp4[4.11],B9)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1</v>
      </c>
      <c r="E10" s="4">
        <f>COUNTIF(Resp4[4.11],B10)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COUNTIFS(Resp4[Vínculo],"tecnico",Resp4[4.11],B11)</f>
        <v>0</v>
      </c>
      <c r="D11" s="4">
        <f>COUNTIFS(Resp4[Vínculo],"docente",Resp4[4.11],B11)</f>
        <v>0</v>
      </c>
      <c r="E11" s="4">
        <f>COUNTIF(Resp4[4.11],B11)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COUNTIFS(Resp4[Vínculo],"tecnico",Resp4[4.11],B12)</f>
        <v>2</v>
      </c>
      <c r="D12" s="4">
        <f>COUNTIFS(Resp4[Vínculo],"docente",Resp4[4.11],B12)</f>
        <v>2</v>
      </c>
      <c r="E12" s="4">
        <f>COUNTIF(Resp4[4.11],B12)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COUNTIFS(Resp4[Vínculo],"tecnico",Resp4[4.12],B7)</f>
        <v>0</v>
      </c>
      <c r="D7" s="4">
        <f>COUNTIFS(Resp4[Vínculo],"docente",Resp4[4.12],B7)</f>
        <v>0</v>
      </c>
      <c r="E7" s="4">
        <f>COUNTIF(Resp4[4.12],B7)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COUNTIFS(Resp4[Vínculo],"tecnico",Resp4[4.12],B8)</f>
        <v>0</v>
      </c>
      <c r="D8" s="4">
        <f>COUNTIFS(Resp4[Vínculo],"docente",Resp4[4.12],B8)</f>
        <v>1</v>
      </c>
      <c r="E8" s="4">
        <f>COUNTIF(Resp4[4.12],B8)</f>
        <v>1</v>
      </c>
      <c r="F8" s="4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COUNTIFS(Resp4[Vínculo],"tecnico",Resp4[4.12],B9)</f>
        <v>0</v>
      </c>
      <c r="D9" s="4">
        <f>COUNTIFS(Resp4[Vínculo],"docente",Resp4[4.12],B9)</f>
        <v>1</v>
      </c>
      <c r="E9" s="4">
        <f>COUNTIF(Resp4[4.12],B9)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1</v>
      </c>
      <c r="E10" s="4">
        <f>COUNTIF(Resp4[4.12],B10)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COUNTIFS(Resp4[Vínculo],"tecnico",Resp4[4.12],B11)</f>
        <v>0</v>
      </c>
      <c r="D11" s="4">
        <f>COUNTIFS(Resp4[Vínculo],"docente",Resp4[4.12],B11)</f>
        <v>0</v>
      </c>
      <c r="E11" s="4">
        <f>COUNTIF(Resp4[4.12],B11)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COUNTIFS(Resp4[Vínculo],"tecnico",Resp4[4.12],B12)</f>
        <v>2</v>
      </c>
      <c r="D12" s="4">
        <f>COUNTIFS(Resp4[Vínculo],"docente",Resp4[4.12],B12)</f>
        <v>2</v>
      </c>
      <c r="E12" s="4">
        <f>COUNTIF(Resp4[4.12],B12)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COUNTIFS(Resp4[Vínculo],"tecnico",Resp4[4.13],B9)</f>
        <v>0</v>
      </c>
      <c r="D9" s="4">
        <f>COUNTIFS(Resp4[Vínculo],"docente",Resp4[4.13],B9)</f>
        <v>1</v>
      </c>
      <c r="E9" s="4">
        <f>COUNTIF(Resp4[4.13],B9)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0</v>
      </c>
      <c r="E10" s="4">
        <f>COUNTIF(Resp4[4.13],B10)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COUNTIFS(Resp4[Vínculo],"tecnico",Resp4[4.13],B11)</f>
        <v>0</v>
      </c>
      <c r="D11" s="4">
        <f>COUNTIFS(Resp4[Vínculo],"docente",Resp4[4.13],B11)</f>
        <v>1</v>
      </c>
      <c r="E11" s="4">
        <f>COUNTIF(Resp4[4.13],B11)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COUNTIFS(Resp4[Vínculo],"tecnico",Resp4[4.13],B12)</f>
        <v>2</v>
      </c>
      <c r="D12" s="4">
        <f>COUNTIFS(Resp4[Vínculo],"docente",Resp4[4.13],B12)</f>
        <v>3</v>
      </c>
      <c r="E12" s="4">
        <f>COUNTIF(Resp4[4.13],B12)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27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195</v>
      </c>
      <c r="CB2" s="99"/>
      <c r="CC2" s="99" t="s">
        <v>198</v>
      </c>
      <c r="CD2" s="99"/>
      <c r="CE2" s="99" t="s">
        <v>199</v>
      </c>
      <c r="CF2" s="99"/>
      <c r="CG2" s="99"/>
      <c r="CH2" s="99"/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197</v>
      </c>
      <c r="BV3" s="90" t="s">
        <v>200</v>
      </c>
      <c r="BW3" s="90" t="s">
        <v>200</v>
      </c>
      <c r="BX3" s="90" t="s">
        <v>197</v>
      </c>
      <c r="BY3" s="90" t="s">
        <v>197</v>
      </c>
      <c r="BZ3" s="90" t="s">
        <v>195</v>
      </c>
      <c r="CA3" s="90" t="s">
        <v>200</v>
      </c>
      <c r="CB3" s="90"/>
      <c r="CC3" s="90" t="s">
        <v>201</v>
      </c>
      <c r="CD3" s="90"/>
      <c r="CE3" s="90" t="s">
        <v>199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17</v>
      </c>
      <c r="B4" s="99" t="s">
        <v>193</v>
      </c>
      <c r="C4" s="99" t="s">
        <v>199</v>
      </c>
      <c r="D4" s="99" t="s">
        <v>202</v>
      </c>
      <c r="E4" s="99" t="s">
        <v>202</v>
      </c>
      <c r="F4" s="99" t="s">
        <v>202</v>
      </c>
      <c r="G4" s="99" t="s">
        <v>30</v>
      </c>
      <c r="H4" s="99" t="s">
        <v>203</v>
      </c>
      <c r="I4" s="99" t="s">
        <v>200</v>
      </c>
      <c r="J4" s="99" t="s">
        <v>203</v>
      </c>
      <c r="K4" s="99" t="s">
        <v>204</v>
      </c>
      <c r="L4" s="99" t="s">
        <v>204</v>
      </c>
      <c r="M4" s="99" t="s">
        <v>203</v>
      </c>
      <c r="N4" s="99" t="s">
        <v>204</v>
      </c>
      <c r="O4" s="99" t="s">
        <v>200</v>
      </c>
      <c r="P4" s="99" t="s">
        <v>205</v>
      </c>
      <c r="Q4" s="99" t="s">
        <v>200</v>
      </c>
      <c r="R4" s="99" t="s">
        <v>202</v>
      </c>
      <c r="S4" s="99" t="s">
        <v>200</v>
      </c>
      <c r="T4" s="99"/>
      <c r="U4" s="99" t="s">
        <v>199</v>
      </c>
      <c r="V4" s="99" t="s">
        <v>202</v>
      </c>
      <c r="W4" s="99" t="s">
        <v>30</v>
      </c>
      <c r="X4" s="99" t="s">
        <v>30</v>
      </c>
      <c r="Y4" s="99" t="s">
        <v>30</v>
      </c>
      <c r="Z4" s="99" t="s">
        <v>196</v>
      </c>
      <c r="AA4" s="99" t="s">
        <v>200</v>
      </c>
      <c r="AB4" s="99" t="s">
        <v>202</v>
      </c>
      <c r="AC4" s="99" t="s">
        <v>200</v>
      </c>
      <c r="AD4" s="99" t="s">
        <v>200</v>
      </c>
      <c r="AE4" s="99" t="s">
        <v>195</v>
      </c>
      <c r="AF4" s="99" t="s">
        <v>195</v>
      </c>
      <c r="AG4" s="99" t="s">
        <v>195</v>
      </c>
      <c r="AH4" s="99" t="s">
        <v>195</v>
      </c>
      <c r="AI4" s="99" t="s">
        <v>199</v>
      </c>
      <c r="AJ4" s="99" t="s">
        <v>200</v>
      </c>
      <c r="AK4" s="99" t="s">
        <v>202</v>
      </c>
      <c r="AL4" s="99" t="s">
        <v>204</v>
      </c>
      <c r="AM4" s="99"/>
      <c r="AN4" s="99" t="s">
        <v>199</v>
      </c>
      <c r="AO4" s="99" t="s">
        <v>30</v>
      </c>
      <c r="AP4" s="99" t="s">
        <v>30</v>
      </c>
      <c r="AQ4" s="99" t="s">
        <v>30</v>
      </c>
      <c r="AR4" s="99" t="s">
        <v>30</v>
      </c>
      <c r="AS4" s="99" t="s">
        <v>204</v>
      </c>
      <c r="AT4" s="99" t="s">
        <v>200</v>
      </c>
      <c r="AU4" s="99" t="s">
        <v>200</v>
      </c>
      <c r="AV4" s="99" t="s">
        <v>30</v>
      </c>
      <c r="AW4" s="99" t="s">
        <v>200</v>
      </c>
      <c r="AX4" s="99" t="s">
        <v>30</v>
      </c>
      <c r="AY4" s="99"/>
      <c r="AZ4" s="99" t="s">
        <v>199</v>
      </c>
      <c r="BA4" s="99" t="s">
        <v>199</v>
      </c>
      <c r="BB4" s="99" t="s">
        <v>200</v>
      </c>
      <c r="BC4" s="99" t="s">
        <v>200</v>
      </c>
      <c r="BD4" s="99" t="s">
        <v>202</v>
      </c>
      <c r="BE4" s="99" t="s">
        <v>202</v>
      </c>
      <c r="BF4" s="99" t="s">
        <v>202</v>
      </c>
      <c r="BG4" s="99" t="s">
        <v>30</v>
      </c>
      <c r="BH4" s="99" t="s">
        <v>202</v>
      </c>
      <c r="BI4" s="99" t="s">
        <v>202</v>
      </c>
      <c r="BJ4" s="99" t="s">
        <v>202</v>
      </c>
      <c r="BK4" s="99" t="s">
        <v>30</v>
      </c>
      <c r="BL4" s="99" t="s">
        <v>205</v>
      </c>
      <c r="BM4" s="99" t="s">
        <v>205</v>
      </c>
      <c r="BN4" s="99" t="s">
        <v>202</v>
      </c>
      <c r="BO4" s="99" t="s">
        <v>202</v>
      </c>
      <c r="BP4" s="99" t="s">
        <v>30</v>
      </c>
      <c r="BQ4" s="99" t="s">
        <v>204</v>
      </c>
      <c r="BR4" s="99" t="s">
        <v>204</v>
      </c>
      <c r="BS4" s="99" t="s">
        <v>200</v>
      </c>
      <c r="BT4" s="99"/>
      <c r="BU4" s="99" t="s">
        <v>200</v>
      </c>
      <c r="BV4" s="99" t="s">
        <v>200</v>
      </c>
      <c r="BW4" s="99" t="s">
        <v>200</v>
      </c>
      <c r="BX4" s="99" t="s">
        <v>200</v>
      </c>
      <c r="BY4" s="99" t="s">
        <v>200</v>
      </c>
      <c r="BZ4" s="99" t="s">
        <v>200</v>
      </c>
      <c r="CA4" s="99" t="s">
        <v>30</v>
      </c>
      <c r="CB4" s="99"/>
      <c r="CC4" s="99" t="s">
        <v>206</v>
      </c>
      <c r="CD4" s="99"/>
      <c r="CE4" s="99" t="s">
        <v>199</v>
      </c>
      <c r="CF4" s="99"/>
      <c r="CG4" s="99"/>
      <c r="CH4" s="99"/>
      <c r="CI4" s="99" t="s">
        <v>199</v>
      </c>
      <c r="CJ4" s="99" t="s">
        <v>30</v>
      </c>
      <c r="CK4" s="99" t="s">
        <v>204</v>
      </c>
      <c r="CL4" s="99" t="s">
        <v>202</v>
      </c>
      <c r="CM4" s="99" t="s">
        <v>30</v>
      </c>
      <c r="CN4" s="99" t="s">
        <v>202</v>
      </c>
      <c r="CO4" s="99" t="s">
        <v>202</v>
      </c>
      <c r="CP4" s="99" t="s">
        <v>200</v>
      </c>
      <c r="CQ4" s="99" t="s">
        <v>200</v>
      </c>
      <c r="CR4" s="99" t="s">
        <v>204</v>
      </c>
      <c r="CS4" s="99" t="s">
        <v>30</v>
      </c>
      <c r="CT4" s="99" t="s">
        <v>200</v>
      </c>
      <c r="CU4" s="99" t="s">
        <v>200</v>
      </c>
      <c r="CV4" s="99" t="s">
        <v>200</v>
      </c>
      <c r="CW4" s="99" t="s">
        <v>200</v>
      </c>
      <c r="CX4" s="99" t="s">
        <v>203</v>
      </c>
      <c r="CY4" s="99" t="s">
        <v>200</v>
      </c>
      <c r="CZ4" s="99" t="s">
        <v>200</v>
      </c>
      <c r="DA4" s="99" t="s">
        <v>200</v>
      </c>
      <c r="DB4" s="99" t="s">
        <v>200</v>
      </c>
      <c r="DC4" s="99" t="s">
        <v>200</v>
      </c>
      <c r="DD4" s="99" t="s">
        <v>200</v>
      </c>
      <c r="DE4" s="99" t="s">
        <v>30</v>
      </c>
      <c r="DF4" s="99" t="s">
        <v>30</v>
      </c>
      <c r="DG4" s="99" t="s">
        <v>30</v>
      </c>
      <c r="DH4" s="99" t="s">
        <v>30</v>
      </c>
      <c r="DI4" s="99" t="s">
        <v>30</v>
      </c>
      <c r="DJ4" s="99" t="s">
        <v>30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199</v>
      </c>
      <c r="EC4" s="99" t="s">
        <v>204</v>
      </c>
      <c r="ED4" s="99" t="s">
        <v>204</v>
      </c>
      <c r="EE4" s="99" t="s">
        <v>200</v>
      </c>
      <c r="EF4" s="99" t="s">
        <v>204</v>
      </c>
      <c r="EG4" s="99" t="s">
        <v>202</v>
      </c>
      <c r="EH4" s="100" t="s">
        <v>204</v>
      </c>
    </row>
    <row r="5" spans="1:138" ht="23.25" customHeight="1" x14ac:dyDescent="0.25">
      <c r="A5" s="101" t="s">
        <v>17</v>
      </c>
      <c r="B5" s="90" t="s">
        <v>193</v>
      </c>
      <c r="C5" s="90" t="s">
        <v>194</v>
      </c>
      <c r="D5" s="90" t="s">
        <v>195</v>
      </c>
      <c r="E5" s="90" t="s">
        <v>195</v>
      </c>
      <c r="F5" s="90" t="s">
        <v>195</v>
      </c>
      <c r="G5" s="90" t="s">
        <v>195</v>
      </c>
      <c r="H5" s="90" t="s">
        <v>195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195</v>
      </c>
      <c r="N5" s="90" t="s">
        <v>195</v>
      </c>
      <c r="O5" s="90" t="s">
        <v>195</v>
      </c>
      <c r="P5" s="90" t="s">
        <v>195</v>
      </c>
      <c r="Q5" s="90" t="s">
        <v>195</v>
      </c>
      <c r="R5" s="90" t="s">
        <v>195</v>
      </c>
      <c r="S5" s="90" t="s">
        <v>195</v>
      </c>
      <c r="T5" s="90"/>
      <c r="U5" s="90" t="s">
        <v>199</v>
      </c>
      <c r="V5" s="90" t="s">
        <v>200</v>
      </c>
      <c r="W5" s="90" t="s">
        <v>200</v>
      </c>
      <c r="X5" s="90" t="s">
        <v>200</v>
      </c>
      <c r="Y5" s="90" t="s">
        <v>200</v>
      </c>
      <c r="Z5" s="90" t="s">
        <v>196</v>
      </c>
      <c r="AA5" s="90" t="s">
        <v>200</v>
      </c>
      <c r="AB5" s="90" t="s">
        <v>200</v>
      </c>
      <c r="AC5" s="90" t="s">
        <v>200</v>
      </c>
      <c r="AD5" s="90" t="s">
        <v>200</v>
      </c>
      <c r="AE5" s="90" t="s">
        <v>195</v>
      </c>
      <c r="AF5" s="90" t="s">
        <v>195</v>
      </c>
      <c r="AG5" s="90" t="s">
        <v>195</v>
      </c>
      <c r="AH5" s="90" t="s">
        <v>195</v>
      </c>
      <c r="AI5" s="90" t="s">
        <v>199</v>
      </c>
      <c r="AJ5" s="90" t="s">
        <v>205</v>
      </c>
      <c r="AK5" s="90" t="s">
        <v>205</v>
      </c>
      <c r="AL5" s="90" t="s">
        <v>205</v>
      </c>
      <c r="AM5" s="90"/>
      <c r="AN5" s="90" t="s">
        <v>199</v>
      </c>
      <c r="AO5" s="90" t="s">
        <v>205</v>
      </c>
      <c r="AP5" s="90" t="s">
        <v>200</v>
      </c>
      <c r="AQ5" s="90" t="s">
        <v>200</v>
      </c>
      <c r="AR5" s="90" t="s">
        <v>200</v>
      </c>
      <c r="AS5" s="90" t="s">
        <v>200</v>
      </c>
      <c r="AT5" s="90" t="s">
        <v>205</v>
      </c>
      <c r="AU5" s="90" t="s">
        <v>205</v>
      </c>
      <c r="AV5" s="90" t="s">
        <v>205</v>
      </c>
      <c r="AW5" s="90" t="s">
        <v>205</v>
      </c>
      <c r="AX5" s="90" t="s">
        <v>205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200</v>
      </c>
      <c r="BV5" s="90" t="s">
        <v>200</v>
      </c>
      <c r="BW5" s="90" t="s">
        <v>200</v>
      </c>
      <c r="BX5" s="90" t="s">
        <v>200</v>
      </c>
      <c r="BY5" s="90" t="s">
        <v>200</v>
      </c>
      <c r="BZ5" s="90" t="s">
        <v>200</v>
      </c>
      <c r="CA5" s="90" t="s">
        <v>200</v>
      </c>
      <c r="CB5" s="90"/>
      <c r="CC5" s="90" t="s">
        <v>198</v>
      </c>
      <c r="CD5" s="90"/>
      <c r="CE5" s="90" t="s">
        <v>199</v>
      </c>
      <c r="CF5" s="90"/>
      <c r="CG5" s="90"/>
      <c r="CH5" s="90"/>
      <c r="CI5" s="90" t="s">
        <v>199</v>
      </c>
      <c r="CJ5" s="90" t="s">
        <v>205</v>
      </c>
      <c r="CK5" s="90" t="s">
        <v>205</v>
      </c>
      <c r="CL5" s="90" t="s">
        <v>205</v>
      </c>
      <c r="CM5" s="90" t="s">
        <v>205</v>
      </c>
      <c r="CN5" s="90" t="s">
        <v>205</v>
      </c>
      <c r="CO5" s="90" t="s">
        <v>205</v>
      </c>
      <c r="CP5" s="90" t="s">
        <v>200</v>
      </c>
      <c r="CQ5" s="90" t="s">
        <v>200</v>
      </c>
      <c r="CR5" s="90" t="s">
        <v>200</v>
      </c>
      <c r="CS5" s="90" t="s">
        <v>205</v>
      </c>
      <c r="CT5" s="90" t="s">
        <v>205</v>
      </c>
      <c r="CU5" s="90" t="s">
        <v>200</v>
      </c>
      <c r="CV5" s="90" t="s">
        <v>30</v>
      </c>
      <c r="CW5" s="90" t="s">
        <v>205</v>
      </c>
      <c r="CX5" s="90" t="s">
        <v>205</v>
      </c>
      <c r="CY5" s="90" t="s">
        <v>205</v>
      </c>
      <c r="CZ5" s="90" t="s">
        <v>205</v>
      </c>
      <c r="DA5" s="90" t="s">
        <v>205</v>
      </c>
      <c r="DB5" s="90" t="s">
        <v>200</v>
      </c>
      <c r="DC5" s="90" t="s">
        <v>200</v>
      </c>
      <c r="DD5" s="90" t="s">
        <v>202</v>
      </c>
      <c r="DE5" s="90" t="s">
        <v>202</v>
      </c>
      <c r="DF5" s="90" t="s">
        <v>30</v>
      </c>
      <c r="DG5" s="90" t="s">
        <v>30</v>
      </c>
      <c r="DH5" s="90" t="s">
        <v>30</v>
      </c>
      <c r="DI5" s="90" t="s">
        <v>202</v>
      </c>
      <c r="DJ5" s="90" t="s">
        <v>30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199</v>
      </c>
      <c r="EC5" s="90" t="s">
        <v>30</v>
      </c>
      <c r="ED5" s="90" t="s">
        <v>30</v>
      </c>
      <c r="EE5" s="90" t="s">
        <v>30</v>
      </c>
      <c r="EF5" s="90" t="s">
        <v>30</v>
      </c>
      <c r="EG5" s="90" t="s">
        <v>202</v>
      </c>
      <c r="EH5" s="102" t="s">
        <v>202</v>
      </c>
    </row>
    <row r="6" spans="1:138" ht="23.25" customHeight="1" x14ac:dyDescent="0.25">
      <c r="A6" s="98" t="s">
        <v>17</v>
      </c>
      <c r="B6" s="99" t="s">
        <v>193</v>
      </c>
      <c r="C6" s="99" t="s">
        <v>199</v>
      </c>
      <c r="D6" s="99" t="s">
        <v>30</v>
      </c>
      <c r="E6" s="99" t="s">
        <v>200</v>
      </c>
      <c r="F6" s="99" t="s">
        <v>30</v>
      </c>
      <c r="G6" s="99" t="s">
        <v>30</v>
      </c>
      <c r="H6" s="99" t="s">
        <v>30</v>
      </c>
      <c r="I6" s="99" t="s">
        <v>202</v>
      </c>
      <c r="J6" s="99" t="s">
        <v>202</v>
      </c>
      <c r="K6" s="99" t="s">
        <v>202</v>
      </c>
      <c r="L6" s="99" t="s">
        <v>202</v>
      </c>
      <c r="M6" s="99" t="s">
        <v>202</v>
      </c>
      <c r="N6" s="99" t="s">
        <v>202</v>
      </c>
      <c r="O6" s="99" t="s">
        <v>202</v>
      </c>
      <c r="P6" s="99" t="s">
        <v>200</v>
      </c>
      <c r="Q6" s="99" t="s">
        <v>30</v>
      </c>
      <c r="R6" s="99" t="s">
        <v>202</v>
      </c>
      <c r="S6" s="99" t="s">
        <v>202</v>
      </c>
      <c r="T6" s="99"/>
      <c r="U6" s="99" t="s">
        <v>199</v>
      </c>
      <c r="V6" s="99" t="s">
        <v>202</v>
      </c>
      <c r="W6" s="99" t="s">
        <v>30</v>
      </c>
      <c r="X6" s="99" t="s">
        <v>202</v>
      </c>
      <c r="Y6" s="99" t="s">
        <v>202</v>
      </c>
      <c r="Z6" s="99" t="s">
        <v>196</v>
      </c>
      <c r="AA6" s="99" t="s">
        <v>30</v>
      </c>
      <c r="AB6" s="99" t="s">
        <v>30</v>
      </c>
      <c r="AC6" s="99" t="s">
        <v>200</v>
      </c>
      <c r="AD6" s="99" t="s">
        <v>30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199</v>
      </c>
      <c r="AJ6" s="99" t="s">
        <v>30</v>
      </c>
      <c r="AK6" s="99" t="s">
        <v>30</v>
      </c>
      <c r="AL6" s="99" t="s">
        <v>202</v>
      </c>
      <c r="AM6" s="99"/>
      <c r="AN6" s="99" t="s">
        <v>199</v>
      </c>
      <c r="AO6" s="99" t="s">
        <v>30</v>
      </c>
      <c r="AP6" s="99" t="s">
        <v>30</v>
      </c>
      <c r="AQ6" s="99" t="s">
        <v>30</v>
      </c>
      <c r="AR6" s="99" t="s">
        <v>30</v>
      </c>
      <c r="AS6" s="99" t="s">
        <v>204</v>
      </c>
      <c r="AT6" s="99" t="s">
        <v>200</v>
      </c>
      <c r="AU6" s="99" t="s">
        <v>30</v>
      </c>
      <c r="AV6" s="99" t="s">
        <v>203</v>
      </c>
      <c r="AW6" s="99" t="s">
        <v>30</v>
      </c>
      <c r="AX6" s="99" t="s">
        <v>30</v>
      </c>
      <c r="AY6" s="99"/>
      <c r="AZ6" s="99" t="s">
        <v>199</v>
      </c>
      <c r="BA6" s="99" t="s">
        <v>199</v>
      </c>
      <c r="BB6" s="99" t="s">
        <v>200</v>
      </c>
      <c r="BC6" s="99" t="s">
        <v>200</v>
      </c>
      <c r="BD6" s="99" t="s">
        <v>200</v>
      </c>
      <c r="BE6" s="99" t="s">
        <v>200</v>
      </c>
      <c r="BF6" s="99" t="s">
        <v>200</v>
      </c>
      <c r="BG6" s="99" t="s">
        <v>200</v>
      </c>
      <c r="BH6" s="99" t="s">
        <v>30</v>
      </c>
      <c r="BI6" s="99" t="s">
        <v>200</v>
      </c>
      <c r="BJ6" s="99" t="s">
        <v>200</v>
      </c>
      <c r="BK6" s="99" t="s">
        <v>200</v>
      </c>
      <c r="BL6" s="99" t="s">
        <v>205</v>
      </c>
      <c r="BM6" s="99" t="s">
        <v>205</v>
      </c>
      <c r="BN6" s="99" t="s">
        <v>202</v>
      </c>
      <c r="BO6" s="99" t="s">
        <v>202</v>
      </c>
      <c r="BP6" s="99" t="s">
        <v>200</v>
      </c>
      <c r="BQ6" s="99" t="s">
        <v>202</v>
      </c>
      <c r="BR6" s="99" t="s">
        <v>30</v>
      </c>
      <c r="BS6" s="99" t="s">
        <v>202</v>
      </c>
      <c r="BT6" s="99"/>
      <c r="BU6" s="99" t="s">
        <v>202</v>
      </c>
      <c r="BV6" s="99" t="s">
        <v>200</v>
      </c>
      <c r="BW6" s="99" t="s">
        <v>200</v>
      </c>
      <c r="BX6" s="99" t="s">
        <v>30</v>
      </c>
      <c r="BY6" s="99" t="s">
        <v>200</v>
      </c>
      <c r="BZ6" s="99" t="s">
        <v>200</v>
      </c>
      <c r="CA6" s="99" t="s">
        <v>200</v>
      </c>
      <c r="CB6" s="99"/>
      <c r="CC6" s="99" t="s">
        <v>206</v>
      </c>
      <c r="CD6" s="99"/>
      <c r="CE6" s="99" t="s">
        <v>199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199</v>
      </c>
      <c r="EC6" s="99" t="s">
        <v>30</v>
      </c>
      <c r="ED6" s="99" t="s">
        <v>30</v>
      </c>
      <c r="EE6" s="99" t="s">
        <v>203</v>
      </c>
      <c r="EF6" s="99" t="s">
        <v>203</v>
      </c>
      <c r="EG6" s="99" t="s">
        <v>200</v>
      </c>
      <c r="EH6" s="100" t="s">
        <v>202</v>
      </c>
    </row>
    <row r="7" spans="1:138" ht="23.25" customHeight="1" x14ac:dyDescent="0.25">
      <c r="A7" s="101" t="s">
        <v>16</v>
      </c>
      <c r="B7" s="90" t="s">
        <v>193</v>
      </c>
      <c r="C7" s="90" t="s">
        <v>199</v>
      </c>
      <c r="D7" s="90" t="s">
        <v>205</v>
      </c>
      <c r="E7" s="90" t="s">
        <v>205</v>
      </c>
      <c r="F7" s="90" t="s">
        <v>205</v>
      </c>
      <c r="G7" s="90" t="s">
        <v>205</v>
      </c>
      <c r="H7" s="90" t="s">
        <v>205</v>
      </c>
      <c r="I7" s="90" t="s">
        <v>205</v>
      </c>
      <c r="J7" s="90" t="s">
        <v>205</v>
      </c>
      <c r="K7" s="90" t="s">
        <v>205</v>
      </c>
      <c r="L7" s="90" t="s">
        <v>205</v>
      </c>
      <c r="M7" s="90" t="s">
        <v>205</v>
      </c>
      <c r="N7" s="90" t="s">
        <v>205</v>
      </c>
      <c r="O7" s="90" t="s">
        <v>205</v>
      </c>
      <c r="P7" s="90" t="s">
        <v>205</v>
      </c>
      <c r="Q7" s="90" t="s">
        <v>205</v>
      </c>
      <c r="R7" s="90" t="s">
        <v>205</v>
      </c>
      <c r="S7" s="90" t="s">
        <v>205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205</v>
      </c>
      <c r="BV7" s="90" t="s">
        <v>205</v>
      </c>
      <c r="BW7" s="90" t="s">
        <v>205</v>
      </c>
      <c r="BX7" s="90" t="s">
        <v>205</v>
      </c>
      <c r="BY7" s="90" t="s">
        <v>205</v>
      </c>
      <c r="BZ7" s="90" t="s">
        <v>205</v>
      </c>
      <c r="CA7" s="90" t="s">
        <v>205</v>
      </c>
      <c r="CB7" s="90"/>
      <c r="CC7" s="90" t="s">
        <v>206</v>
      </c>
      <c r="CD7" s="90"/>
      <c r="CE7" s="90" t="s">
        <v>199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195</v>
      </c>
      <c r="CT7" s="90" t="s">
        <v>195</v>
      </c>
      <c r="CU7" s="90" t="s">
        <v>195</v>
      </c>
      <c r="CV7" s="90" t="s">
        <v>195</v>
      </c>
      <c r="CW7" s="90" t="s">
        <v>195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195</v>
      </c>
      <c r="DD7" s="90" t="s">
        <v>195</v>
      </c>
      <c r="DE7" s="90" t="s">
        <v>195</v>
      </c>
      <c r="DF7" s="90" t="s">
        <v>195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195</v>
      </c>
      <c r="DN7" s="90" t="s">
        <v>195</v>
      </c>
      <c r="DO7" s="90" t="s">
        <v>195</v>
      </c>
      <c r="DP7" s="90" t="s">
        <v>195</v>
      </c>
      <c r="DQ7" s="90" t="s">
        <v>195</v>
      </c>
      <c r="DR7" s="90" t="s">
        <v>195</v>
      </c>
      <c r="DS7" s="90" t="s">
        <v>195</v>
      </c>
      <c r="DT7" s="90" t="s">
        <v>195</v>
      </c>
      <c r="DU7" s="90" t="s">
        <v>195</v>
      </c>
      <c r="DV7" s="90" t="s">
        <v>195</v>
      </c>
      <c r="DW7" s="90" t="s">
        <v>195</v>
      </c>
      <c r="DX7" s="90" t="s">
        <v>195</v>
      </c>
      <c r="DY7" s="90" t="s">
        <v>195</v>
      </c>
      <c r="DZ7" s="90" t="s">
        <v>195</v>
      </c>
      <c r="EA7" s="90"/>
      <c r="EB7" s="90" t="s">
        <v>199</v>
      </c>
      <c r="EC7" s="90" t="s">
        <v>205</v>
      </c>
      <c r="ED7" s="90" t="s">
        <v>205</v>
      </c>
      <c r="EE7" s="90" t="s">
        <v>205</v>
      </c>
      <c r="EF7" s="90" t="s">
        <v>205</v>
      </c>
      <c r="EG7" s="90" t="s">
        <v>205</v>
      </c>
      <c r="EH7" s="102" t="s">
        <v>205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194</v>
      </c>
      <c r="V8" s="99" t="s">
        <v>195</v>
      </c>
      <c r="W8" s="99" t="s">
        <v>195</v>
      </c>
      <c r="X8" s="99" t="s">
        <v>195</v>
      </c>
      <c r="Y8" s="99" t="s">
        <v>195</v>
      </c>
      <c r="Z8" s="99" t="s">
        <v>17</v>
      </c>
      <c r="AA8" s="99" t="s">
        <v>195</v>
      </c>
      <c r="AB8" s="99" t="s">
        <v>195</v>
      </c>
      <c r="AC8" s="99" t="s">
        <v>195</v>
      </c>
      <c r="AD8" s="99" t="s">
        <v>195</v>
      </c>
      <c r="AE8" s="99" t="s">
        <v>195</v>
      </c>
      <c r="AF8" s="99" t="s">
        <v>195</v>
      </c>
      <c r="AG8" s="99" t="s">
        <v>195</v>
      </c>
      <c r="AH8" s="99" t="s">
        <v>195</v>
      </c>
      <c r="AI8" s="99" t="s">
        <v>194</v>
      </c>
      <c r="AJ8" s="99" t="s">
        <v>195</v>
      </c>
      <c r="AK8" s="99" t="s">
        <v>195</v>
      </c>
      <c r="AL8" s="99" t="s">
        <v>195</v>
      </c>
      <c r="AM8" s="99"/>
      <c r="AN8" s="99" t="s">
        <v>194</v>
      </c>
      <c r="AO8" s="99" t="s">
        <v>195</v>
      </c>
      <c r="AP8" s="99" t="s">
        <v>195</v>
      </c>
      <c r="AQ8" s="99" t="s">
        <v>195</v>
      </c>
      <c r="AR8" s="99" t="s">
        <v>195</v>
      </c>
      <c r="AS8" s="99" t="s">
        <v>195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195</v>
      </c>
      <c r="AY8" s="99"/>
      <c r="AZ8" s="99" t="s">
        <v>194</v>
      </c>
      <c r="BA8" s="99" t="s">
        <v>194</v>
      </c>
      <c r="BB8" s="99" t="s">
        <v>195</v>
      </c>
      <c r="BC8" s="99" t="s">
        <v>195</v>
      </c>
      <c r="BD8" s="99" t="s">
        <v>195</v>
      </c>
      <c r="BE8" s="99" t="s">
        <v>195</v>
      </c>
      <c r="BF8" s="99" t="s">
        <v>195</v>
      </c>
      <c r="BG8" s="99" t="s">
        <v>195</v>
      </c>
      <c r="BH8" s="99" t="s">
        <v>195</v>
      </c>
      <c r="BI8" s="99" t="s">
        <v>195</v>
      </c>
      <c r="BJ8" s="99" t="s">
        <v>195</v>
      </c>
      <c r="BK8" s="99" t="s">
        <v>195</v>
      </c>
      <c r="BL8" s="99" t="s">
        <v>195</v>
      </c>
      <c r="BM8" s="99" t="s">
        <v>195</v>
      </c>
      <c r="BN8" s="99" t="s">
        <v>195</v>
      </c>
      <c r="BO8" s="99" t="s">
        <v>195</v>
      </c>
      <c r="BP8" s="99" t="s">
        <v>195</v>
      </c>
      <c r="BQ8" s="99" t="s">
        <v>195</v>
      </c>
      <c r="BR8" s="99" t="s">
        <v>195</v>
      </c>
      <c r="BS8" s="99" t="s">
        <v>195</v>
      </c>
      <c r="BT8" s="99"/>
      <c r="BU8" s="99" t="s">
        <v>197</v>
      </c>
      <c r="BV8" s="99" t="s">
        <v>197</v>
      </c>
      <c r="BW8" s="99" t="s">
        <v>197</v>
      </c>
      <c r="BX8" s="99" t="s">
        <v>197</v>
      </c>
      <c r="BY8" s="99" t="s">
        <v>197</v>
      </c>
      <c r="BZ8" s="99" t="s">
        <v>197</v>
      </c>
      <c r="CA8" s="99" t="s">
        <v>197</v>
      </c>
      <c r="CB8" s="99"/>
      <c r="CC8" s="99" t="s">
        <v>201</v>
      </c>
      <c r="CD8" s="99"/>
      <c r="CE8" s="99" t="s">
        <v>199</v>
      </c>
      <c r="CF8" s="99"/>
      <c r="CG8" s="99"/>
      <c r="CH8" s="99"/>
      <c r="CI8" s="99" t="s">
        <v>194</v>
      </c>
      <c r="CJ8" s="99" t="s">
        <v>195</v>
      </c>
      <c r="CK8" s="99" t="s">
        <v>195</v>
      </c>
      <c r="CL8" s="99" t="s">
        <v>195</v>
      </c>
      <c r="CM8" s="99" t="s">
        <v>195</v>
      </c>
      <c r="CN8" s="99" t="s">
        <v>195</v>
      </c>
      <c r="CO8" s="99" t="s">
        <v>195</v>
      </c>
      <c r="CP8" s="99" t="s">
        <v>195</v>
      </c>
      <c r="CQ8" s="99" t="s">
        <v>195</v>
      </c>
      <c r="CR8" s="99" t="s">
        <v>195</v>
      </c>
      <c r="CS8" s="99" t="s">
        <v>195</v>
      </c>
      <c r="CT8" s="99" t="s">
        <v>195</v>
      </c>
      <c r="CU8" s="99" t="s">
        <v>195</v>
      </c>
      <c r="CV8" s="99" t="s">
        <v>195</v>
      </c>
      <c r="CW8" s="99" t="s">
        <v>195</v>
      </c>
      <c r="CX8" s="99" t="s">
        <v>195</v>
      </c>
      <c r="CY8" s="99" t="s">
        <v>195</v>
      </c>
      <c r="CZ8" s="99" t="s">
        <v>195</v>
      </c>
      <c r="DA8" s="99" t="s">
        <v>195</v>
      </c>
      <c r="DB8" s="99" t="s">
        <v>195</v>
      </c>
      <c r="DC8" s="99" t="s">
        <v>195</v>
      </c>
      <c r="DD8" s="99" t="s">
        <v>195</v>
      </c>
      <c r="DE8" s="99" t="s">
        <v>195</v>
      </c>
      <c r="DF8" s="99" t="s">
        <v>195</v>
      </c>
      <c r="DG8" s="99" t="s">
        <v>195</v>
      </c>
      <c r="DH8" s="99" t="s">
        <v>195</v>
      </c>
      <c r="DI8" s="99" t="s">
        <v>195</v>
      </c>
      <c r="DJ8" s="99" t="s">
        <v>195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 t="s">
        <v>16</v>
      </c>
      <c r="B9" s="90" t="s">
        <v>193</v>
      </c>
      <c r="C9" s="90" t="s">
        <v>194</v>
      </c>
      <c r="D9" s="90" t="s">
        <v>195</v>
      </c>
      <c r="E9" s="90" t="s">
        <v>195</v>
      </c>
      <c r="F9" s="90" t="s">
        <v>195</v>
      </c>
      <c r="G9" s="90" t="s">
        <v>195</v>
      </c>
      <c r="H9" s="90" t="s">
        <v>195</v>
      </c>
      <c r="I9" s="90" t="s">
        <v>195</v>
      </c>
      <c r="J9" s="90" t="s">
        <v>195</v>
      </c>
      <c r="K9" s="90" t="s">
        <v>195</v>
      </c>
      <c r="L9" s="90" t="s">
        <v>195</v>
      </c>
      <c r="M9" s="90" t="s">
        <v>195</v>
      </c>
      <c r="N9" s="90" t="s">
        <v>195</v>
      </c>
      <c r="O9" s="90" t="s">
        <v>195</v>
      </c>
      <c r="P9" s="90" t="s">
        <v>195</v>
      </c>
      <c r="Q9" s="90" t="s">
        <v>195</v>
      </c>
      <c r="R9" s="90" t="s">
        <v>195</v>
      </c>
      <c r="S9" s="90" t="s">
        <v>195</v>
      </c>
      <c r="T9" s="90"/>
      <c r="U9" s="90" t="s">
        <v>194</v>
      </c>
      <c r="V9" s="90" t="s">
        <v>195</v>
      </c>
      <c r="W9" s="90" t="s">
        <v>195</v>
      </c>
      <c r="X9" s="90" t="s">
        <v>195</v>
      </c>
      <c r="Y9" s="90" t="s">
        <v>195</v>
      </c>
      <c r="Z9" s="90" t="s">
        <v>17</v>
      </c>
      <c r="AA9" s="90" t="s">
        <v>195</v>
      </c>
      <c r="AB9" s="90" t="s">
        <v>195</v>
      </c>
      <c r="AC9" s="90" t="s">
        <v>195</v>
      </c>
      <c r="AD9" s="90" t="s">
        <v>195</v>
      </c>
      <c r="AE9" s="90" t="s">
        <v>195</v>
      </c>
      <c r="AF9" s="90" t="s">
        <v>195</v>
      </c>
      <c r="AG9" s="90" t="s">
        <v>195</v>
      </c>
      <c r="AH9" s="90" t="s">
        <v>195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195</v>
      </c>
      <c r="AP9" s="90" t="s">
        <v>195</v>
      </c>
      <c r="AQ9" s="90" t="s">
        <v>195</v>
      </c>
      <c r="AR9" s="90" t="s">
        <v>195</v>
      </c>
      <c r="AS9" s="90" t="s">
        <v>195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194</v>
      </c>
      <c r="BA9" s="90" t="s">
        <v>194</v>
      </c>
      <c r="BB9" s="90" t="s">
        <v>195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195</v>
      </c>
      <c r="BI9" s="90" t="s">
        <v>195</v>
      </c>
      <c r="BJ9" s="90" t="s">
        <v>195</v>
      </c>
      <c r="BK9" s="90" t="s">
        <v>195</v>
      </c>
      <c r="BL9" s="90" t="s">
        <v>195</v>
      </c>
      <c r="BM9" s="90" t="s">
        <v>195</v>
      </c>
      <c r="BN9" s="90" t="s">
        <v>195</v>
      </c>
      <c r="BO9" s="90" t="s">
        <v>195</v>
      </c>
      <c r="BP9" s="90" t="s">
        <v>195</v>
      </c>
      <c r="BQ9" s="90" t="s">
        <v>195</v>
      </c>
      <c r="BR9" s="90" t="s">
        <v>195</v>
      </c>
      <c r="BS9" s="90" t="s">
        <v>195</v>
      </c>
      <c r="BT9" s="90"/>
      <c r="BU9" s="90" t="s">
        <v>197</v>
      </c>
      <c r="BV9" s="90" t="s">
        <v>197</v>
      </c>
      <c r="BW9" s="90" t="s">
        <v>197</v>
      </c>
      <c r="BX9" s="90" t="s">
        <v>197</v>
      </c>
      <c r="BY9" s="90" t="s">
        <v>197</v>
      </c>
      <c r="BZ9" s="90" t="s">
        <v>197</v>
      </c>
      <c r="CA9" s="90" t="s">
        <v>197</v>
      </c>
      <c r="CB9" s="90"/>
      <c r="CC9" s="90" t="s">
        <v>198</v>
      </c>
      <c r="CD9" s="90"/>
      <c r="CE9" s="90" t="s">
        <v>194</v>
      </c>
      <c r="CF9" s="90"/>
      <c r="CG9" s="90"/>
      <c r="CH9" s="90"/>
      <c r="CI9" s="90" t="s">
        <v>194</v>
      </c>
      <c r="CJ9" s="90" t="s">
        <v>195</v>
      </c>
      <c r="CK9" s="90" t="s">
        <v>195</v>
      </c>
      <c r="CL9" s="90" t="s">
        <v>195</v>
      </c>
      <c r="CM9" s="90" t="s">
        <v>195</v>
      </c>
      <c r="CN9" s="90" t="s">
        <v>195</v>
      </c>
      <c r="CO9" s="90" t="s">
        <v>195</v>
      </c>
      <c r="CP9" s="90" t="s">
        <v>195</v>
      </c>
      <c r="CQ9" s="90" t="s">
        <v>195</v>
      </c>
      <c r="CR9" s="90" t="s">
        <v>195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195</v>
      </c>
      <c r="CY9" s="90" t="s">
        <v>195</v>
      </c>
      <c r="CZ9" s="90" t="s">
        <v>195</v>
      </c>
      <c r="DA9" s="90" t="s">
        <v>195</v>
      </c>
      <c r="DB9" s="90" t="s">
        <v>195</v>
      </c>
      <c r="DC9" s="90" t="s">
        <v>195</v>
      </c>
      <c r="DD9" s="90" t="s">
        <v>195</v>
      </c>
      <c r="DE9" s="90" t="s">
        <v>195</v>
      </c>
      <c r="DF9" s="90" t="s">
        <v>195</v>
      </c>
      <c r="DG9" s="90" t="s">
        <v>195</v>
      </c>
      <c r="DH9" s="90" t="s">
        <v>195</v>
      </c>
      <c r="DI9" s="90" t="s">
        <v>195</v>
      </c>
      <c r="DJ9" s="90" t="s">
        <v>195</v>
      </c>
      <c r="DK9" s="90"/>
      <c r="DL9" s="90" t="s">
        <v>194</v>
      </c>
      <c r="DM9" s="90" t="s">
        <v>195</v>
      </c>
      <c r="DN9" s="90" t="s">
        <v>195</v>
      </c>
      <c r="DO9" s="90" t="s">
        <v>195</v>
      </c>
      <c r="DP9" s="90" t="s">
        <v>195</v>
      </c>
      <c r="DQ9" s="90" t="s">
        <v>195</v>
      </c>
      <c r="DR9" s="90" t="s">
        <v>195</v>
      </c>
      <c r="DS9" s="90" t="s">
        <v>195</v>
      </c>
      <c r="DT9" s="90" t="s">
        <v>195</v>
      </c>
      <c r="DU9" s="90" t="s">
        <v>195</v>
      </c>
      <c r="DV9" s="90" t="s">
        <v>195</v>
      </c>
      <c r="DW9" s="90" t="s">
        <v>195</v>
      </c>
      <c r="DX9" s="90" t="s">
        <v>195</v>
      </c>
      <c r="DY9" s="90" t="s">
        <v>195</v>
      </c>
      <c r="DZ9" s="90" t="s">
        <v>195</v>
      </c>
      <c r="EA9" s="90"/>
      <c r="EB9" s="90" t="s">
        <v>194</v>
      </c>
      <c r="EC9" s="90" t="s">
        <v>195</v>
      </c>
      <c r="ED9" s="90" t="s">
        <v>195</v>
      </c>
      <c r="EE9" s="90" t="s">
        <v>195</v>
      </c>
      <c r="EF9" s="90" t="s">
        <v>195</v>
      </c>
      <c r="EG9" s="90" t="s">
        <v>195</v>
      </c>
      <c r="EH9" s="102" t="s">
        <v>195</v>
      </c>
    </row>
    <row r="10" spans="1:138" ht="23.25" customHeight="1" x14ac:dyDescent="0.25">
      <c r="A10" s="98" t="s">
        <v>17</v>
      </c>
      <c r="B10" s="99" t="s">
        <v>193</v>
      </c>
      <c r="C10" s="99" t="s">
        <v>199</v>
      </c>
      <c r="D10" s="99" t="s">
        <v>205</v>
      </c>
      <c r="E10" s="99" t="s">
        <v>205</v>
      </c>
      <c r="F10" s="99" t="s">
        <v>205</v>
      </c>
      <c r="G10" s="99" t="s">
        <v>200</v>
      </c>
      <c r="H10" s="99" t="s">
        <v>205</v>
      </c>
      <c r="I10" s="99" t="s">
        <v>205</v>
      </c>
      <c r="J10" s="99" t="s">
        <v>205</v>
      </c>
      <c r="K10" s="99" t="s">
        <v>200</v>
      </c>
      <c r="L10" s="99" t="s">
        <v>205</v>
      </c>
      <c r="M10" s="99" t="s">
        <v>205</v>
      </c>
      <c r="N10" s="99" t="s">
        <v>205</v>
      </c>
      <c r="O10" s="99" t="s">
        <v>205</v>
      </c>
      <c r="P10" s="99" t="s">
        <v>205</v>
      </c>
      <c r="Q10" s="99" t="s">
        <v>205</v>
      </c>
      <c r="R10" s="99" t="s">
        <v>205</v>
      </c>
      <c r="S10" s="99" t="s">
        <v>205</v>
      </c>
      <c r="T10" s="99"/>
      <c r="U10" s="99" t="s">
        <v>199</v>
      </c>
      <c r="V10" s="99" t="s">
        <v>205</v>
      </c>
      <c r="W10" s="99" t="s">
        <v>205</v>
      </c>
      <c r="X10" s="99" t="s">
        <v>205</v>
      </c>
      <c r="Y10" s="99" t="s">
        <v>205</v>
      </c>
      <c r="Z10" s="99" t="s">
        <v>207</v>
      </c>
      <c r="AA10" s="99" t="s">
        <v>205</v>
      </c>
      <c r="AB10" s="99" t="s">
        <v>203</v>
      </c>
      <c r="AC10" s="99" t="s">
        <v>205</v>
      </c>
      <c r="AD10" s="99" t="s">
        <v>205</v>
      </c>
      <c r="AE10" s="99" t="s">
        <v>195</v>
      </c>
      <c r="AF10" s="99" t="s">
        <v>195</v>
      </c>
      <c r="AG10" s="99" t="s">
        <v>195</v>
      </c>
      <c r="AH10" s="99" t="s">
        <v>195</v>
      </c>
      <c r="AI10" s="99" t="s">
        <v>199</v>
      </c>
      <c r="AJ10" s="99" t="s">
        <v>205</v>
      </c>
      <c r="AK10" s="99" t="s">
        <v>205</v>
      </c>
      <c r="AL10" s="99" t="s">
        <v>205</v>
      </c>
      <c r="AM10" s="99"/>
      <c r="AN10" s="99" t="s">
        <v>194</v>
      </c>
      <c r="AO10" s="99" t="s">
        <v>195</v>
      </c>
      <c r="AP10" s="99" t="s">
        <v>195</v>
      </c>
      <c r="AQ10" s="99" t="s">
        <v>195</v>
      </c>
      <c r="AR10" s="99" t="s">
        <v>195</v>
      </c>
      <c r="AS10" s="99" t="s">
        <v>195</v>
      </c>
      <c r="AT10" s="99" t="s">
        <v>195</v>
      </c>
      <c r="AU10" s="99" t="s">
        <v>195</v>
      </c>
      <c r="AV10" s="99" t="s">
        <v>195</v>
      </c>
      <c r="AW10" s="99" t="s">
        <v>195</v>
      </c>
      <c r="AX10" s="99" t="s">
        <v>195</v>
      </c>
      <c r="AY10" s="99"/>
      <c r="AZ10" s="99" t="s">
        <v>199</v>
      </c>
      <c r="BA10" s="99" t="s">
        <v>199</v>
      </c>
      <c r="BB10" s="99" t="s">
        <v>200</v>
      </c>
      <c r="BC10" s="99" t="s">
        <v>205</v>
      </c>
      <c r="BD10" s="99" t="s">
        <v>205</v>
      </c>
      <c r="BE10" s="99" t="s">
        <v>205</v>
      </c>
      <c r="BF10" s="99" t="s">
        <v>205</v>
      </c>
      <c r="BG10" s="99" t="s">
        <v>205</v>
      </c>
      <c r="BH10" s="99" t="s">
        <v>203</v>
      </c>
      <c r="BI10" s="99" t="s">
        <v>205</v>
      </c>
      <c r="BJ10" s="99" t="s">
        <v>205</v>
      </c>
      <c r="BK10" s="99" t="s">
        <v>205</v>
      </c>
      <c r="BL10" s="99" t="s">
        <v>205</v>
      </c>
      <c r="BM10" s="99" t="s">
        <v>205</v>
      </c>
      <c r="BN10" s="99" t="s">
        <v>30</v>
      </c>
      <c r="BO10" s="99" t="s">
        <v>30</v>
      </c>
      <c r="BP10" s="99" t="s">
        <v>205</v>
      </c>
      <c r="BQ10" s="99" t="s">
        <v>205</v>
      </c>
      <c r="BR10" s="99" t="s">
        <v>205</v>
      </c>
      <c r="BS10" s="99" t="s">
        <v>205</v>
      </c>
      <c r="BT10" s="99"/>
      <c r="BU10" s="99" t="s">
        <v>197</v>
      </c>
      <c r="BV10" s="99" t="s">
        <v>197</v>
      </c>
      <c r="BW10" s="99" t="s">
        <v>197</v>
      </c>
      <c r="BX10" s="99" t="s">
        <v>197</v>
      </c>
      <c r="BY10" s="99" t="s">
        <v>197</v>
      </c>
      <c r="BZ10" s="99" t="s">
        <v>197</v>
      </c>
      <c r="CA10" s="99" t="s">
        <v>197</v>
      </c>
      <c r="CB10" s="99"/>
      <c r="CC10" s="99" t="s">
        <v>206</v>
      </c>
      <c r="CD10" s="99"/>
      <c r="CE10" s="99" t="s">
        <v>199</v>
      </c>
      <c r="CF10" s="99"/>
      <c r="CG10" s="99"/>
      <c r="CH10" s="99"/>
      <c r="CI10" s="99" t="s">
        <v>199</v>
      </c>
      <c r="CJ10" s="99" t="s">
        <v>200</v>
      </c>
      <c r="CK10" s="99" t="s">
        <v>200</v>
      </c>
      <c r="CL10" s="99" t="s">
        <v>200</v>
      </c>
      <c r="CM10" s="99" t="s">
        <v>205</v>
      </c>
      <c r="CN10" s="99" t="s">
        <v>205</v>
      </c>
      <c r="CO10" s="99" t="s">
        <v>205</v>
      </c>
      <c r="CP10" s="99" t="s">
        <v>200</v>
      </c>
      <c r="CQ10" s="99" t="s">
        <v>205</v>
      </c>
      <c r="CR10" s="99" t="s">
        <v>30</v>
      </c>
      <c r="CS10" s="99" t="s">
        <v>200</v>
      </c>
      <c r="CT10" s="99" t="s">
        <v>205</v>
      </c>
      <c r="CU10" s="99" t="s">
        <v>205</v>
      </c>
      <c r="CV10" s="99" t="s">
        <v>205</v>
      </c>
      <c r="CW10" s="99" t="s">
        <v>205</v>
      </c>
      <c r="CX10" s="99" t="s">
        <v>205</v>
      </c>
      <c r="CY10" s="99" t="s">
        <v>200</v>
      </c>
      <c r="CZ10" s="99" t="s">
        <v>205</v>
      </c>
      <c r="DA10" s="99" t="s">
        <v>200</v>
      </c>
      <c r="DB10" s="99" t="s">
        <v>200</v>
      </c>
      <c r="DC10" s="99" t="s">
        <v>205</v>
      </c>
      <c r="DD10" s="99" t="s">
        <v>200</v>
      </c>
      <c r="DE10" s="99" t="s">
        <v>200</v>
      </c>
      <c r="DF10" s="99" t="s">
        <v>200</v>
      </c>
      <c r="DG10" s="99" t="s">
        <v>200</v>
      </c>
      <c r="DH10" s="99" t="s">
        <v>200</v>
      </c>
      <c r="DI10" s="99" t="s">
        <v>205</v>
      </c>
      <c r="DJ10" s="99" t="s">
        <v>205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194</v>
      </c>
      <c r="EC10" s="99" t="s">
        <v>195</v>
      </c>
      <c r="ED10" s="99" t="s">
        <v>195</v>
      </c>
      <c r="EE10" s="99" t="s">
        <v>195</v>
      </c>
      <c r="EF10" s="99" t="s">
        <v>195</v>
      </c>
      <c r="EG10" s="99" t="s">
        <v>195</v>
      </c>
      <c r="EH10" s="100" t="s">
        <v>195</v>
      </c>
    </row>
    <row r="11" spans="1:138" ht="23.25" customHeight="1" x14ac:dyDescent="0.25">
      <c r="A11" s="101" t="s">
        <v>17</v>
      </c>
      <c r="B11" s="90" t="s">
        <v>193</v>
      </c>
      <c r="C11" s="90" t="s">
        <v>194</v>
      </c>
      <c r="D11" s="90" t="s">
        <v>195</v>
      </c>
      <c r="E11" s="90" t="s">
        <v>195</v>
      </c>
      <c r="F11" s="90" t="s">
        <v>195</v>
      </c>
      <c r="G11" s="90" t="s">
        <v>195</v>
      </c>
      <c r="H11" s="90" t="s">
        <v>195</v>
      </c>
      <c r="I11" s="90" t="s">
        <v>195</v>
      </c>
      <c r="J11" s="90" t="s">
        <v>195</v>
      </c>
      <c r="K11" s="90" t="s">
        <v>195</v>
      </c>
      <c r="L11" s="90" t="s">
        <v>195</v>
      </c>
      <c r="M11" s="90" t="s">
        <v>195</v>
      </c>
      <c r="N11" s="90" t="s">
        <v>195</v>
      </c>
      <c r="O11" s="90" t="s">
        <v>195</v>
      </c>
      <c r="P11" s="90" t="s">
        <v>195</v>
      </c>
      <c r="Q11" s="90" t="s">
        <v>195</v>
      </c>
      <c r="R11" s="90" t="s">
        <v>195</v>
      </c>
      <c r="S11" s="90" t="s">
        <v>195</v>
      </c>
      <c r="T11" s="90"/>
      <c r="U11" s="90" t="s">
        <v>194</v>
      </c>
      <c r="V11" s="90" t="s">
        <v>195</v>
      </c>
      <c r="W11" s="90" t="s">
        <v>195</v>
      </c>
      <c r="X11" s="90" t="s">
        <v>195</v>
      </c>
      <c r="Y11" s="90" t="s">
        <v>195</v>
      </c>
      <c r="Z11" s="90" t="s">
        <v>17</v>
      </c>
      <c r="AA11" s="90" t="s">
        <v>195</v>
      </c>
      <c r="AB11" s="90" t="s">
        <v>195</v>
      </c>
      <c r="AC11" s="90" t="s">
        <v>195</v>
      </c>
      <c r="AD11" s="90" t="s">
        <v>195</v>
      </c>
      <c r="AE11" s="90" t="s">
        <v>195</v>
      </c>
      <c r="AF11" s="90" t="s">
        <v>195</v>
      </c>
      <c r="AG11" s="90" t="s">
        <v>195</v>
      </c>
      <c r="AH11" s="90" t="s">
        <v>195</v>
      </c>
      <c r="AI11" s="90" t="s">
        <v>194</v>
      </c>
      <c r="AJ11" s="90" t="s">
        <v>195</v>
      </c>
      <c r="AK11" s="90" t="s">
        <v>195</v>
      </c>
      <c r="AL11" s="90" t="s">
        <v>195</v>
      </c>
      <c r="AM11" s="90"/>
      <c r="AN11" s="90" t="s">
        <v>199</v>
      </c>
      <c r="AO11" s="90" t="s">
        <v>200</v>
      </c>
      <c r="AP11" s="90" t="s">
        <v>200</v>
      </c>
      <c r="AQ11" s="90" t="s">
        <v>205</v>
      </c>
      <c r="AR11" s="90" t="s">
        <v>200</v>
      </c>
      <c r="AS11" s="90" t="s">
        <v>200</v>
      </c>
      <c r="AT11" s="90" t="s">
        <v>200</v>
      </c>
      <c r="AU11" s="90" t="s">
        <v>205</v>
      </c>
      <c r="AV11" s="90" t="s">
        <v>205</v>
      </c>
      <c r="AW11" s="90" t="s">
        <v>200</v>
      </c>
      <c r="AX11" s="90" t="s">
        <v>200</v>
      </c>
      <c r="AY11" s="90"/>
      <c r="AZ11" s="90" t="s">
        <v>194</v>
      </c>
      <c r="BA11" s="90" t="s">
        <v>194</v>
      </c>
      <c r="BB11" s="90" t="s">
        <v>195</v>
      </c>
      <c r="BC11" s="90" t="s">
        <v>195</v>
      </c>
      <c r="BD11" s="90" t="s">
        <v>195</v>
      </c>
      <c r="BE11" s="90" t="s">
        <v>195</v>
      </c>
      <c r="BF11" s="90" t="s">
        <v>195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195</v>
      </c>
      <c r="BM11" s="90" t="s">
        <v>195</v>
      </c>
      <c r="BN11" s="90" t="s">
        <v>195</v>
      </c>
      <c r="BO11" s="90" t="s">
        <v>195</v>
      </c>
      <c r="BP11" s="90" t="s">
        <v>195</v>
      </c>
      <c r="BQ11" s="90" t="s">
        <v>195</v>
      </c>
      <c r="BR11" s="90" t="s">
        <v>195</v>
      </c>
      <c r="BS11" s="90" t="s">
        <v>195</v>
      </c>
      <c r="BT11" s="90"/>
      <c r="BU11" s="90" t="s">
        <v>205</v>
      </c>
      <c r="BV11" s="90" t="s">
        <v>205</v>
      </c>
      <c r="BW11" s="90" t="s">
        <v>200</v>
      </c>
      <c r="BX11" s="90" t="s">
        <v>205</v>
      </c>
      <c r="BY11" s="90" t="s">
        <v>205</v>
      </c>
      <c r="BZ11" s="90" t="s">
        <v>200</v>
      </c>
      <c r="CA11" s="90" t="s">
        <v>200</v>
      </c>
      <c r="CB11" s="90"/>
      <c r="CC11" s="90" t="s">
        <v>201</v>
      </c>
      <c r="CD11" s="90"/>
      <c r="CE11" s="90" t="s">
        <v>199</v>
      </c>
      <c r="CF11" s="90"/>
      <c r="CG11" s="90"/>
      <c r="CH11" s="90"/>
      <c r="CI11" s="90" t="s">
        <v>194</v>
      </c>
      <c r="CJ11" s="90" t="s">
        <v>195</v>
      </c>
      <c r="CK11" s="90" t="s">
        <v>195</v>
      </c>
      <c r="CL11" s="90" t="s">
        <v>195</v>
      </c>
      <c r="CM11" s="90" t="s">
        <v>195</v>
      </c>
      <c r="CN11" s="90" t="s">
        <v>195</v>
      </c>
      <c r="CO11" s="90" t="s">
        <v>195</v>
      </c>
      <c r="CP11" s="90" t="s">
        <v>195</v>
      </c>
      <c r="CQ11" s="90" t="s">
        <v>195</v>
      </c>
      <c r="CR11" s="90" t="s">
        <v>195</v>
      </c>
      <c r="CS11" s="90" t="s">
        <v>195</v>
      </c>
      <c r="CT11" s="90" t="s">
        <v>195</v>
      </c>
      <c r="CU11" s="90" t="s">
        <v>195</v>
      </c>
      <c r="CV11" s="90" t="s">
        <v>195</v>
      </c>
      <c r="CW11" s="90" t="s">
        <v>195</v>
      </c>
      <c r="CX11" s="90" t="s">
        <v>195</v>
      </c>
      <c r="CY11" s="90" t="s">
        <v>195</v>
      </c>
      <c r="CZ11" s="90" t="s">
        <v>195</v>
      </c>
      <c r="DA11" s="90" t="s">
        <v>195</v>
      </c>
      <c r="DB11" s="90" t="s">
        <v>195</v>
      </c>
      <c r="DC11" s="90" t="s">
        <v>195</v>
      </c>
      <c r="DD11" s="90" t="s">
        <v>195</v>
      </c>
      <c r="DE11" s="90" t="s">
        <v>195</v>
      </c>
      <c r="DF11" s="90" t="s">
        <v>195</v>
      </c>
      <c r="DG11" s="90" t="s">
        <v>195</v>
      </c>
      <c r="DH11" s="90" t="s">
        <v>195</v>
      </c>
      <c r="DI11" s="90" t="s">
        <v>195</v>
      </c>
      <c r="DJ11" s="90" t="s">
        <v>195</v>
      </c>
      <c r="DK11" s="90"/>
      <c r="DL11" s="90" t="s">
        <v>194</v>
      </c>
      <c r="DM11" s="90" t="s">
        <v>195</v>
      </c>
      <c r="DN11" s="90" t="s">
        <v>195</v>
      </c>
      <c r="DO11" s="90" t="s">
        <v>195</v>
      </c>
      <c r="DP11" s="90" t="s">
        <v>195</v>
      </c>
      <c r="DQ11" s="90" t="s">
        <v>195</v>
      </c>
      <c r="DR11" s="90" t="s">
        <v>195</v>
      </c>
      <c r="DS11" s="90" t="s">
        <v>195</v>
      </c>
      <c r="DT11" s="90" t="s">
        <v>195</v>
      </c>
      <c r="DU11" s="90" t="s">
        <v>195</v>
      </c>
      <c r="DV11" s="90" t="s">
        <v>195</v>
      </c>
      <c r="DW11" s="90" t="s">
        <v>195</v>
      </c>
      <c r="DX11" s="90" t="s">
        <v>195</v>
      </c>
      <c r="DY11" s="90" t="s">
        <v>195</v>
      </c>
      <c r="DZ11" s="90" t="s">
        <v>195</v>
      </c>
      <c r="EA11" s="90"/>
      <c r="EB11" s="90" t="s">
        <v>194</v>
      </c>
      <c r="EC11" s="90" t="s">
        <v>195</v>
      </c>
      <c r="ED11" s="90" t="s">
        <v>195</v>
      </c>
      <c r="EE11" s="90" t="s">
        <v>195</v>
      </c>
      <c r="EF11" s="90" t="s">
        <v>195</v>
      </c>
      <c r="EG11" s="90" t="s">
        <v>195</v>
      </c>
      <c r="EH11" s="102" t="s">
        <v>195</v>
      </c>
    </row>
    <row r="12" spans="1:138" ht="23.25" customHeight="1" x14ac:dyDescent="0.25">
      <c r="A12" s="98" t="s">
        <v>17</v>
      </c>
      <c r="B12" s="99" t="s">
        <v>193</v>
      </c>
      <c r="C12" s="99" t="s">
        <v>199</v>
      </c>
      <c r="D12" s="99" t="s">
        <v>205</v>
      </c>
      <c r="E12" s="99" t="s">
        <v>30</v>
      </c>
      <c r="F12" s="99" t="s">
        <v>200</v>
      </c>
      <c r="G12" s="99" t="s">
        <v>30</v>
      </c>
      <c r="H12" s="99" t="s">
        <v>202</v>
      </c>
      <c r="I12" s="99" t="s">
        <v>205</v>
      </c>
      <c r="J12" s="99" t="s">
        <v>200</v>
      </c>
      <c r="K12" s="99" t="s">
        <v>205</v>
      </c>
      <c r="L12" s="99" t="s">
        <v>205</v>
      </c>
      <c r="M12" s="99" t="s">
        <v>205</v>
      </c>
      <c r="N12" s="99" t="s">
        <v>205</v>
      </c>
      <c r="O12" s="99" t="s">
        <v>205</v>
      </c>
      <c r="P12" s="99" t="s">
        <v>205</v>
      </c>
      <c r="Q12" s="99" t="s">
        <v>205</v>
      </c>
      <c r="R12" s="99" t="s">
        <v>205</v>
      </c>
      <c r="S12" s="99" t="s">
        <v>205</v>
      </c>
      <c r="T12" s="99"/>
      <c r="U12" s="99" t="s">
        <v>199</v>
      </c>
      <c r="V12" s="99" t="s">
        <v>203</v>
      </c>
      <c r="W12" s="99" t="s">
        <v>200</v>
      </c>
      <c r="X12" s="99" t="s">
        <v>200</v>
      </c>
      <c r="Y12" s="99" t="s">
        <v>200</v>
      </c>
      <c r="Z12" s="99" t="s">
        <v>207</v>
      </c>
      <c r="AA12" s="99" t="s">
        <v>205</v>
      </c>
      <c r="AB12" s="99" t="s">
        <v>205</v>
      </c>
      <c r="AC12" s="99" t="s">
        <v>205</v>
      </c>
      <c r="AD12" s="99" t="s">
        <v>205</v>
      </c>
      <c r="AE12" s="99" t="s">
        <v>195</v>
      </c>
      <c r="AF12" s="99" t="s">
        <v>195</v>
      </c>
      <c r="AG12" s="99" t="s">
        <v>195</v>
      </c>
      <c r="AH12" s="99" t="s">
        <v>195</v>
      </c>
      <c r="AI12" s="99" t="s">
        <v>199</v>
      </c>
      <c r="AJ12" s="99" t="s">
        <v>205</v>
      </c>
      <c r="AK12" s="99" t="s">
        <v>205</v>
      </c>
      <c r="AL12" s="99" t="s">
        <v>205</v>
      </c>
      <c r="AM12" s="99"/>
      <c r="AN12" s="99" t="s">
        <v>199</v>
      </c>
      <c r="AO12" s="99" t="s">
        <v>205</v>
      </c>
      <c r="AP12" s="99" t="s">
        <v>205</v>
      </c>
      <c r="AQ12" s="99" t="s">
        <v>205</v>
      </c>
      <c r="AR12" s="99" t="s">
        <v>205</v>
      </c>
      <c r="AS12" s="99" t="s">
        <v>30</v>
      </c>
      <c r="AT12" s="99" t="s">
        <v>205</v>
      </c>
      <c r="AU12" s="99" t="s">
        <v>205</v>
      </c>
      <c r="AV12" s="99" t="s">
        <v>205</v>
      </c>
      <c r="AW12" s="99" t="s">
        <v>205</v>
      </c>
      <c r="AX12" s="99" t="s">
        <v>200</v>
      </c>
      <c r="AY12" s="99"/>
      <c r="AZ12" s="99" t="s">
        <v>194</v>
      </c>
      <c r="BA12" s="99" t="s">
        <v>194</v>
      </c>
      <c r="BB12" s="99" t="s">
        <v>195</v>
      </c>
      <c r="BC12" s="99" t="s">
        <v>195</v>
      </c>
      <c r="BD12" s="99" t="s">
        <v>195</v>
      </c>
      <c r="BE12" s="99" t="s">
        <v>195</v>
      </c>
      <c r="BF12" s="99" t="s">
        <v>195</v>
      </c>
      <c r="BG12" s="99" t="s">
        <v>195</v>
      </c>
      <c r="BH12" s="99" t="s">
        <v>195</v>
      </c>
      <c r="BI12" s="99" t="s">
        <v>195</v>
      </c>
      <c r="BJ12" s="99" t="s">
        <v>195</v>
      </c>
      <c r="BK12" s="99" t="s">
        <v>195</v>
      </c>
      <c r="BL12" s="99" t="s">
        <v>195</v>
      </c>
      <c r="BM12" s="99" t="s">
        <v>195</v>
      </c>
      <c r="BN12" s="99" t="s">
        <v>195</v>
      </c>
      <c r="BO12" s="99" t="s">
        <v>195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200</v>
      </c>
      <c r="BV12" s="99" t="s">
        <v>205</v>
      </c>
      <c r="BW12" s="99" t="s">
        <v>200</v>
      </c>
      <c r="BX12" s="99" t="s">
        <v>200</v>
      </c>
      <c r="BY12" s="99" t="s">
        <v>195</v>
      </c>
      <c r="BZ12" s="99" t="s">
        <v>195</v>
      </c>
      <c r="CA12" s="99" t="s">
        <v>195</v>
      </c>
      <c r="CB12" s="99"/>
      <c r="CC12" s="99" t="s">
        <v>201</v>
      </c>
      <c r="CD12" s="99"/>
      <c r="CE12" s="99" t="s">
        <v>199</v>
      </c>
      <c r="CF12" s="99"/>
      <c r="CG12" s="99"/>
      <c r="CH12" s="99"/>
      <c r="CI12" s="99" t="s">
        <v>199</v>
      </c>
      <c r="CJ12" s="99" t="s">
        <v>205</v>
      </c>
      <c r="CK12" s="99" t="s">
        <v>205</v>
      </c>
      <c r="CL12" s="99" t="s">
        <v>205</v>
      </c>
      <c r="CM12" s="99" t="s">
        <v>205</v>
      </c>
      <c r="CN12" s="99" t="s">
        <v>205</v>
      </c>
      <c r="CO12" s="99" t="s">
        <v>205</v>
      </c>
      <c r="CP12" s="99" t="s">
        <v>205</v>
      </c>
      <c r="CQ12" s="99" t="s">
        <v>200</v>
      </c>
      <c r="CR12" s="99" t="s">
        <v>202</v>
      </c>
      <c r="CS12" s="99" t="s">
        <v>205</v>
      </c>
      <c r="CT12" s="99" t="s">
        <v>205</v>
      </c>
      <c r="CU12" s="99" t="s">
        <v>205</v>
      </c>
      <c r="CV12" s="99" t="s">
        <v>205</v>
      </c>
      <c r="CW12" s="99" t="s">
        <v>205</v>
      </c>
      <c r="CX12" s="99" t="s">
        <v>205</v>
      </c>
      <c r="CY12" s="99" t="s">
        <v>205</v>
      </c>
      <c r="CZ12" s="99" t="s">
        <v>205</v>
      </c>
      <c r="DA12" s="99" t="s">
        <v>205</v>
      </c>
      <c r="DB12" s="99" t="s">
        <v>200</v>
      </c>
      <c r="DC12" s="99" t="s">
        <v>30</v>
      </c>
      <c r="DD12" s="99" t="s">
        <v>200</v>
      </c>
      <c r="DE12" s="99" t="s">
        <v>30</v>
      </c>
      <c r="DF12" s="99" t="s">
        <v>30</v>
      </c>
      <c r="DG12" s="99" t="s">
        <v>200</v>
      </c>
      <c r="DH12" s="99" t="s">
        <v>200</v>
      </c>
      <c r="DI12" s="99" t="s">
        <v>200</v>
      </c>
      <c r="DJ12" s="99" t="s">
        <v>200</v>
      </c>
      <c r="DK12" s="99"/>
      <c r="DL12" s="99" t="s">
        <v>199</v>
      </c>
      <c r="DM12" s="99" t="s">
        <v>205</v>
      </c>
      <c r="DN12" s="99" t="s">
        <v>205</v>
      </c>
      <c r="DO12" s="99" t="s">
        <v>205</v>
      </c>
      <c r="DP12" s="99" t="s">
        <v>205</v>
      </c>
      <c r="DQ12" s="99" t="s">
        <v>205</v>
      </c>
      <c r="DR12" s="99" t="s">
        <v>205</v>
      </c>
      <c r="DS12" s="99" t="s">
        <v>205</v>
      </c>
      <c r="DT12" s="99" t="s">
        <v>205</v>
      </c>
      <c r="DU12" s="99" t="s">
        <v>205</v>
      </c>
      <c r="DV12" s="99" t="s">
        <v>205</v>
      </c>
      <c r="DW12" s="99" t="s">
        <v>205</v>
      </c>
      <c r="DX12" s="99" t="s">
        <v>205</v>
      </c>
      <c r="DY12" s="99" t="s">
        <v>205</v>
      </c>
      <c r="DZ12" s="99" t="s">
        <v>205</v>
      </c>
      <c r="EA12" s="99"/>
      <c r="EB12" s="99" t="s">
        <v>199</v>
      </c>
      <c r="EC12" s="99" t="s">
        <v>205</v>
      </c>
      <c r="ED12" s="99" t="s">
        <v>205</v>
      </c>
      <c r="EE12" s="99" t="s">
        <v>205</v>
      </c>
      <c r="EF12" s="99" t="s">
        <v>205</v>
      </c>
      <c r="EG12" s="99" t="s">
        <v>205</v>
      </c>
      <c r="EH12" s="100" t="s">
        <v>205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195</v>
      </c>
      <c r="E13" s="90" t="s">
        <v>195</v>
      </c>
      <c r="F13" s="90" t="s">
        <v>195</v>
      </c>
      <c r="G13" s="90" t="s">
        <v>195</v>
      </c>
      <c r="H13" s="90" t="s">
        <v>195</v>
      </c>
      <c r="I13" s="90" t="s">
        <v>195</v>
      </c>
      <c r="J13" s="90" t="s">
        <v>195</v>
      </c>
      <c r="K13" s="90" t="s">
        <v>195</v>
      </c>
      <c r="L13" s="90" t="s">
        <v>195</v>
      </c>
      <c r="M13" s="90" t="s">
        <v>195</v>
      </c>
      <c r="N13" s="90" t="s">
        <v>195</v>
      </c>
      <c r="O13" s="90" t="s">
        <v>195</v>
      </c>
      <c r="P13" s="90" t="s">
        <v>195</v>
      </c>
      <c r="Q13" s="90" t="s">
        <v>195</v>
      </c>
      <c r="R13" s="90" t="s">
        <v>195</v>
      </c>
      <c r="S13" s="90" t="s">
        <v>195</v>
      </c>
      <c r="T13" s="90"/>
      <c r="U13" s="90" t="s">
        <v>194</v>
      </c>
      <c r="V13" s="90" t="s">
        <v>195</v>
      </c>
      <c r="W13" s="90" t="s">
        <v>195</v>
      </c>
      <c r="X13" s="90" t="s">
        <v>195</v>
      </c>
      <c r="Y13" s="90" t="s">
        <v>195</v>
      </c>
      <c r="Z13" s="90" t="s">
        <v>196</v>
      </c>
      <c r="AA13" s="90" t="s">
        <v>195</v>
      </c>
      <c r="AB13" s="90" t="s">
        <v>195</v>
      </c>
      <c r="AC13" s="90" t="s">
        <v>195</v>
      </c>
      <c r="AD13" s="90" t="s">
        <v>195</v>
      </c>
      <c r="AE13" s="90" t="s">
        <v>195</v>
      </c>
      <c r="AF13" s="90" t="s">
        <v>195</v>
      </c>
      <c r="AG13" s="90" t="s">
        <v>195</v>
      </c>
      <c r="AH13" s="90" t="s">
        <v>195</v>
      </c>
      <c r="AI13" s="90" t="s">
        <v>194</v>
      </c>
      <c r="AJ13" s="90" t="s">
        <v>195</v>
      </c>
      <c r="AK13" s="90" t="s">
        <v>195</v>
      </c>
      <c r="AL13" s="90" t="s">
        <v>195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195</v>
      </c>
      <c r="AU13" s="90" t="s">
        <v>195</v>
      </c>
      <c r="AV13" s="90" t="s">
        <v>195</v>
      </c>
      <c r="AW13" s="90" t="s">
        <v>195</v>
      </c>
      <c r="AX13" s="90" t="s">
        <v>195</v>
      </c>
      <c r="AY13" s="90"/>
      <c r="AZ13" s="90" t="s">
        <v>199</v>
      </c>
      <c r="BA13" s="90" t="s">
        <v>199</v>
      </c>
      <c r="BB13" s="90" t="s">
        <v>200</v>
      </c>
      <c r="BC13" s="90" t="s">
        <v>205</v>
      </c>
      <c r="BD13" s="90" t="s">
        <v>205</v>
      </c>
      <c r="BE13" s="90" t="s">
        <v>205</v>
      </c>
      <c r="BF13" s="90" t="s">
        <v>205</v>
      </c>
      <c r="BG13" s="90" t="s">
        <v>205</v>
      </c>
      <c r="BH13" s="90" t="s">
        <v>205</v>
      </c>
      <c r="BI13" s="90" t="s">
        <v>205</v>
      </c>
      <c r="BJ13" s="90" t="s">
        <v>205</v>
      </c>
      <c r="BK13" s="90" t="s">
        <v>200</v>
      </c>
      <c r="BL13" s="90" t="s">
        <v>205</v>
      </c>
      <c r="BM13" s="90" t="s">
        <v>205</v>
      </c>
      <c r="BN13" s="90" t="s">
        <v>30</v>
      </c>
      <c r="BO13" s="90" t="s">
        <v>30</v>
      </c>
      <c r="BP13" s="90" t="s">
        <v>200</v>
      </c>
      <c r="BQ13" s="90" t="s">
        <v>200</v>
      </c>
      <c r="BR13" s="90" t="s">
        <v>200</v>
      </c>
      <c r="BS13" s="90" t="s">
        <v>200</v>
      </c>
      <c r="BT13" s="90"/>
      <c r="BU13" s="90" t="s">
        <v>200</v>
      </c>
      <c r="BV13" s="90" t="s">
        <v>200</v>
      </c>
      <c r="BW13" s="90" t="s">
        <v>200</v>
      </c>
      <c r="BX13" s="90" t="s">
        <v>200</v>
      </c>
      <c r="BY13" s="90" t="s">
        <v>200</v>
      </c>
      <c r="BZ13" s="90" t="s">
        <v>200</v>
      </c>
      <c r="CA13" s="90" t="s">
        <v>200</v>
      </c>
      <c r="CB13" s="90"/>
      <c r="CC13" s="90" t="s">
        <v>201</v>
      </c>
      <c r="CD13" s="90"/>
      <c r="CE13" s="90" t="s">
        <v>199</v>
      </c>
      <c r="CF13" s="90"/>
      <c r="CG13" s="90"/>
      <c r="CH13" s="90"/>
      <c r="CI13" s="90" t="s">
        <v>194</v>
      </c>
      <c r="CJ13" s="90" t="s">
        <v>195</v>
      </c>
      <c r="CK13" s="90" t="s">
        <v>195</v>
      </c>
      <c r="CL13" s="90" t="s">
        <v>195</v>
      </c>
      <c r="CM13" s="90" t="s">
        <v>195</v>
      </c>
      <c r="CN13" s="90" t="s">
        <v>195</v>
      </c>
      <c r="CO13" s="90" t="s">
        <v>195</v>
      </c>
      <c r="CP13" s="90" t="s">
        <v>195</v>
      </c>
      <c r="CQ13" s="90" t="s">
        <v>195</v>
      </c>
      <c r="CR13" s="90" t="s">
        <v>195</v>
      </c>
      <c r="CS13" s="90" t="s">
        <v>195</v>
      </c>
      <c r="CT13" s="90" t="s">
        <v>195</v>
      </c>
      <c r="CU13" s="90" t="s">
        <v>195</v>
      </c>
      <c r="CV13" s="90" t="s">
        <v>195</v>
      </c>
      <c r="CW13" s="90" t="s">
        <v>195</v>
      </c>
      <c r="CX13" s="90" t="s">
        <v>195</v>
      </c>
      <c r="CY13" s="90" t="s">
        <v>195</v>
      </c>
      <c r="CZ13" s="90" t="s">
        <v>195</v>
      </c>
      <c r="DA13" s="90" t="s">
        <v>195</v>
      </c>
      <c r="DB13" s="90" t="s">
        <v>195</v>
      </c>
      <c r="DC13" s="90" t="s">
        <v>195</v>
      </c>
      <c r="DD13" s="90" t="s">
        <v>195</v>
      </c>
      <c r="DE13" s="90" t="s">
        <v>195</v>
      </c>
      <c r="DF13" s="90" t="s">
        <v>195</v>
      </c>
      <c r="DG13" s="90" t="s">
        <v>195</v>
      </c>
      <c r="DH13" s="90" t="s">
        <v>195</v>
      </c>
      <c r="DI13" s="90" t="s">
        <v>195</v>
      </c>
      <c r="DJ13" s="90" t="s">
        <v>195</v>
      </c>
      <c r="DK13" s="90"/>
      <c r="DL13" s="90" t="s">
        <v>194</v>
      </c>
      <c r="DM13" s="90" t="s">
        <v>195</v>
      </c>
      <c r="DN13" s="90" t="s">
        <v>195</v>
      </c>
      <c r="DO13" s="90" t="s">
        <v>195</v>
      </c>
      <c r="DP13" s="90" t="s">
        <v>195</v>
      </c>
      <c r="DQ13" s="90" t="s">
        <v>195</v>
      </c>
      <c r="DR13" s="90" t="s">
        <v>195</v>
      </c>
      <c r="DS13" s="90" t="s">
        <v>195</v>
      </c>
      <c r="DT13" s="90" t="s">
        <v>195</v>
      </c>
      <c r="DU13" s="90" t="s">
        <v>195</v>
      </c>
      <c r="DV13" s="90" t="s">
        <v>195</v>
      </c>
      <c r="DW13" s="90" t="s">
        <v>195</v>
      </c>
      <c r="DX13" s="90" t="s">
        <v>195</v>
      </c>
      <c r="DY13" s="90" t="s">
        <v>195</v>
      </c>
      <c r="DZ13" s="90" t="s">
        <v>195</v>
      </c>
      <c r="EA13" s="90"/>
      <c r="EB13" s="90" t="s">
        <v>194</v>
      </c>
      <c r="EC13" s="90" t="s">
        <v>195</v>
      </c>
      <c r="ED13" s="90" t="s">
        <v>195</v>
      </c>
      <c r="EE13" s="90" t="s">
        <v>195</v>
      </c>
      <c r="EF13" s="90" t="s">
        <v>195</v>
      </c>
      <c r="EG13" s="90" t="s">
        <v>195</v>
      </c>
      <c r="EH13" s="102" t="s">
        <v>195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195</v>
      </c>
      <c r="E14" s="99" t="s">
        <v>195</v>
      </c>
      <c r="F14" s="99" t="s">
        <v>195</v>
      </c>
      <c r="G14" s="99" t="s">
        <v>195</v>
      </c>
      <c r="H14" s="99" t="s">
        <v>195</v>
      </c>
      <c r="I14" s="99" t="s">
        <v>195</v>
      </c>
      <c r="J14" s="99" t="s">
        <v>195</v>
      </c>
      <c r="K14" s="99" t="s">
        <v>195</v>
      </c>
      <c r="L14" s="99" t="s">
        <v>195</v>
      </c>
      <c r="M14" s="99" t="s">
        <v>195</v>
      </c>
      <c r="N14" s="99" t="s">
        <v>195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194</v>
      </c>
      <c r="V14" s="99" t="s">
        <v>195</v>
      </c>
      <c r="W14" s="99" t="s">
        <v>195</v>
      </c>
      <c r="X14" s="99" t="s">
        <v>195</v>
      </c>
      <c r="Y14" s="99" t="s">
        <v>195</v>
      </c>
      <c r="Z14" s="99" t="s">
        <v>196</v>
      </c>
      <c r="AA14" s="99" t="s">
        <v>195</v>
      </c>
      <c r="AB14" s="99" t="s">
        <v>195</v>
      </c>
      <c r="AC14" s="99" t="s">
        <v>195</v>
      </c>
      <c r="AD14" s="99" t="s">
        <v>195</v>
      </c>
      <c r="AE14" s="99" t="s">
        <v>195</v>
      </c>
      <c r="AF14" s="99" t="s">
        <v>195</v>
      </c>
      <c r="AG14" s="99" t="s">
        <v>195</v>
      </c>
      <c r="AH14" s="99" t="s">
        <v>195</v>
      </c>
      <c r="AI14" s="99" t="s">
        <v>194</v>
      </c>
      <c r="AJ14" s="99" t="s">
        <v>195</v>
      </c>
      <c r="AK14" s="99" t="s">
        <v>195</v>
      </c>
      <c r="AL14" s="99" t="s">
        <v>195</v>
      </c>
      <c r="AM14" s="99"/>
      <c r="AN14" s="99" t="s">
        <v>194</v>
      </c>
      <c r="AO14" s="99" t="s">
        <v>195</v>
      </c>
      <c r="AP14" s="99" t="s">
        <v>195</v>
      </c>
      <c r="AQ14" s="99" t="s">
        <v>195</v>
      </c>
      <c r="AR14" s="99" t="s">
        <v>195</v>
      </c>
      <c r="AS14" s="99" t="s">
        <v>195</v>
      </c>
      <c r="AT14" s="99" t="s">
        <v>195</v>
      </c>
      <c r="AU14" s="99" t="s">
        <v>195</v>
      </c>
      <c r="AV14" s="99" t="s">
        <v>195</v>
      </c>
      <c r="AW14" s="99" t="s">
        <v>195</v>
      </c>
      <c r="AX14" s="99" t="s">
        <v>195</v>
      </c>
      <c r="AY14" s="99"/>
      <c r="AZ14" s="99" t="s">
        <v>194</v>
      </c>
      <c r="BA14" s="99" t="s">
        <v>194</v>
      </c>
      <c r="BB14" s="99" t="s">
        <v>195</v>
      </c>
      <c r="BC14" s="99" t="s">
        <v>195</v>
      </c>
      <c r="BD14" s="99" t="s">
        <v>195</v>
      </c>
      <c r="BE14" s="99" t="s">
        <v>195</v>
      </c>
      <c r="BF14" s="99" t="s">
        <v>195</v>
      </c>
      <c r="BG14" s="99" t="s">
        <v>195</v>
      </c>
      <c r="BH14" s="99" t="s">
        <v>195</v>
      </c>
      <c r="BI14" s="99" t="s">
        <v>195</v>
      </c>
      <c r="BJ14" s="99" t="s">
        <v>195</v>
      </c>
      <c r="BK14" s="99" t="s">
        <v>195</v>
      </c>
      <c r="BL14" s="99" t="s">
        <v>195</v>
      </c>
      <c r="BM14" s="99" t="s">
        <v>195</v>
      </c>
      <c r="BN14" s="99" t="s">
        <v>195</v>
      </c>
      <c r="BO14" s="99" t="s">
        <v>195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197</v>
      </c>
      <c r="BV14" s="99" t="s">
        <v>197</v>
      </c>
      <c r="BW14" s="99" t="s">
        <v>197</v>
      </c>
      <c r="BX14" s="99" t="s">
        <v>197</v>
      </c>
      <c r="BY14" s="99" t="s">
        <v>197</v>
      </c>
      <c r="BZ14" s="99" t="s">
        <v>197</v>
      </c>
      <c r="CA14" s="99" t="s">
        <v>197</v>
      </c>
      <c r="CB14" s="99"/>
      <c r="CC14" s="99" t="s">
        <v>198</v>
      </c>
      <c r="CD14" s="99"/>
      <c r="CE14" s="99" t="s">
        <v>199</v>
      </c>
      <c r="CF14" s="99"/>
      <c r="CG14" s="99"/>
      <c r="CH14" s="99"/>
      <c r="CI14" s="99" t="s">
        <v>194</v>
      </c>
      <c r="CJ14" s="99" t="s">
        <v>195</v>
      </c>
      <c r="CK14" s="99" t="s">
        <v>195</v>
      </c>
      <c r="CL14" s="99" t="s">
        <v>195</v>
      </c>
      <c r="CM14" s="99" t="s">
        <v>195</v>
      </c>
      <c r="CN14" s="99" t="s">
        <v>195</v>
      </c>
      <c r="CO14" s="99" t="s">
        <v>195</v>
      </c>
      <c r="CP14" s="99" t="s">
        <v>195</v>
      </c>
      <c r="CQ14" s="99" t="s">
        <v>195</v>
      </c>
      <c r="CR14" s="99" t="s">
        <v>195</v>
      </c>
      <c r="CS14" s="99" t="s">
        <v>195</v>
      </c>
      <c r="CT14" s="99" t="s">
        <v>195</v>
      </c>
      <c r="CU14" s="99" t="s">
        <v>195</v>
      </c>
      <c r="CV14" s="99" t="s">
        <v>195</v>
      </c>
      <c r="CW14" s="99" t="s">
        <v>195</v>
      </c>
      <c r="CX14" s="99" t="s">
        <v>195</v>
      </c>
      <c r="CY14" s="99" t="s">
        <v>195</v>
      </c>
      <c r="CZ14" s="99" t="s">
        <v>195</v>
      </c>
      <c r="DA14" s="99" t="s">
        <v>195</v>
      </c>
      <c r="DB14" s="99" t="s">
        <v>195</v>
      </c>
      <c r="DC14" s="99" t="s">
        <v>195</v>
      </c>
      <c r="DD14" s="99" t="s">
        <v>195</v>
      </c>
      <c r="DE14" s="99" t="s">
        <v>195</v>
      </c>
      <c r="DF14" s="99" t="s">
        <v>195</v>
      </c>
      <c r="DG14" s="99" t="s">
        <v>195</v>
      </c>
      <c r="DH14" s="99" t="s">
        <v>195</v>
      </c>
      <c r="DI14" s="99" t="s">
        <v>195</v>
      </c>
      <c r="DJ14" s="99" t="s">
        <v>195</v>
      </c>
      <c r="DK14" s="99"/>
      <c r="DL14" s="99" t="s">
        <v>194</v>
      </c>
      <c r="DM14" s="99" t="s">
        <v>195</v>
      </c>
      <c r="DN14" s="99" t="s">
        <v>195</v>
      </c>
      <c r="DO14" s="99" t="s">
        <v>195</v>
      </c>
      <c r="DP14" s="99" t="s">
        <v>195</v>
      </c>
      <c r="DQ14" s="99" t="s">
        <v>195</v>
      </c>
      <c r="DR14" s="99" t="s">
        <v>195</v>
      </c>
      <c r="DS14" s="99" t="s">
        <v>195</v>
      </c>
      <c r="DT14" s="99" t="s">
        <v>195</v>
      </c>
      <c r="DU14" s="99" t="s">
        <v>195</v>
      </c>
      <c r="DV14" s="99" t="s">
        <v>195</v>
      </c>
      <c r="DW14" s="99" t="s">
        <v>195</v>
      </c>
      <c r="DX14" s="99" t="s">
        <v>195</v>
      </c>
      <c r="DY14" s="99" t="s">
        <v>195</v>
      </c>
      <c r="DZ14" s="99" t="s">
        <v>195</v>
      </c>
      <c r="EA14" s="99"/>
      <c r="EB14" s="99" t="s">
        <v>194</v>
      </c>
      <c r="EC14" s="99" t="s">
        <v>195</v>
      </c>
      <c r="ED14" s="99" t="s">
        <v>195</v>
      </c>
      <c r="EE14" s="99" t="s">
        <v>195</v>
      </c>
      <c r="EF14" s="99" t="s">
        <v>195</v>
      </c>
      <c r="EG14" s="99" t="s">
        <v>195</v>
      </c>
      <c r="EH14" s="100" t="s">
        <v>195</v>
      </c>
    </row>
    <row r="15" spans="1:138" ht="23.25" customHeight="1" x14ac:dyDescent="0.25">
      <c r="A15" s="101" t="s">
        <v>16</v>
      </c>
      <c r="B15" s="90" t="s">
        <v>193</v>
      </c>
      <c r="C15" s="90" t="s">
        <v>194</v>
      </c>
      <c r="D15" s="90" t="s">
        <v>195</v>
      </c>
      <c r="E15" s="90" t="s">
        <v>195</v>
      </c>
      <c r="F15" s="90" t="s">
        <v>195</v>
      </c>
      <c r="G15" s="90" t="s">
        <v>195</v>
      </c>
      <c r="H15" s="90" t="s">
        <v>195</v>
      </c>
      <c r="I15" s="90" t="s">
        <v>195</v>
      </c>
      <c r="J15" s="90" t="s">
        <v>195</v>
      </c>
      <c r="K15" s="90" t="s">
        <v>195</v>
      </c>
      <c r="L15" s="90" t="s">
        <v>195</v>
      </c>
      <c r="M15" s="90" t="s">
        <v>195</v>
      </c>
      <c r="N15" s="90" t="s">
        <v>195</v>
      </c>
      <c r="O15" s="90" t="s">
        <v>195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196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195</v>
      </c>
      <c r="AF15" s="90" t="s">
        <v>195</v>
      </c>
      <c r="AG15" s="90" t="s">
        <v>195</v>
      </c>
      <c r="AH15" s="90" t="s">
        <v>195</v>
      </c>
      <c r="AI15" s="90" t="s">
        <v>194</v>
      </c>
      <c r="AJ15" s="90" t="s">
        <v>195</v>
      </c>
      <c r="AK15" s="90" t="s">
        <v>195</v>
      </c>
      <c r="AL15" s="90" t="s">
        <v>195</v>
      </c>
      <c r="AM15" s="90"/>
      <c r="AN15" s="90" t="s">
        <v>194</v>
      </c>
      <c r="AO15" s="90" t="s">
        <v>195</v>
      </c>
      <c r="AP15" s="90" t="s">
        <v>195</v>
      </c>
      <c r="AQ15" s="90" t="s">
        <v>195</v>
      </c>
      <c r="AR15" s="90" t="s">
        <v>195</v>
      </c>
      <c r="AS15" s="90" t="s">
        <v>195</v>
      </c>
      <c r="AT15" s="90" t="s">
        <v>195</v>
      </c>
      <c r="AU15" s="90" t="s">
        <v>195</v>
      </c>
      <c r="AV15" s="90" t="s">
        <v>195</v>
      </c>
      <c r="AW15" s="90" t="s">
        <v>195</v>
      </c>
      <c r="AX15" s="90" t="s">
        <v>195</v>
      </c>
      <c r="AY15" s="90"/>
      <c r="AZ15" s="90" t="s">
        <v>194</v>
      </c>
      <c r="BA15" s="90" t="s">
        <v>194</v>
      </c>
      <c r="BB15" s="90" t="s">
        <v>195</v>
      </c>
      <c r="BC15" s="90" t="s">
        <v>195</v>
      </c>
      <c r="BD15" s="90" t="s">
        <v>195</v>
      </c>
      <c r="BE15" s="90" t="s">
        <v>195</v>
      </c>
      <c r="BF15" s="90" t="s">
        <v>195</v>
      </c>
      <c r="BG15" s="90" t="s">
        <v>195</v>
      </c>
      <c r="BH15" s="90" t="s">
        <v>195</v>
      </c>
      <c r="BI15" s="90" t="s">
        <v>195</v>
      </c>
      <c r="BJ15" s="90" t="s">
        <v>195</v>
      </c>
      <c r="BK15" s="90" t="s">
        <v>195</v>
      </c>
      <c r="BL15" s="90" t="s">
        <v>195</v>
      </c>
      <c r="BM15" s="90" t="s">
        <v>195</v>
      </c>
      <c r="BN15" s="90" t="s">
        <v>195</v>
      </c>
      <c r="BO15" s="90" t="s">
        <v>195</v>
      </c>
      <c r="BP15" s="90" t="s">
        <v>195</v>
      </c>
      <c r="BQ15" s="90" t="s">
        <v>195</v>
      </c>
      <c r="BR15" s="90" t="s">
        <v>195</v>
      </c>
      <c r="BS15" s="90" t="s">
        <v>195</v>
      </c>
      <c r="BT15" s="90"/>
      <c r="BU15" s="90" t="s">
        <v>197</v>
      </c>
      <c r="BV15" s="90" t="s">
        <v>197</v>
      </c>
      <c r="BW15" s="90" t="s">
        <v>197</v>
      </c>
      <c r="BX15" s="90" t="s">
        <v>197</v>
      </c>
      <c r="BY15" s="90" t="s">
        <v>197</v>
      </c>
      <c r="BZ15" s="90" t="s">
        <v>197</v>
      </c>
      <c r="CA15" s="90" t="s">
        <v>197</v>
      </c>
      <c r="CB15" s="90"/>
      <c r="CC15" s="90" t="s">
        <v>208</v>
      </c>
      <c r="CD15" s="90"/>
      <c r="CE15" s="90" t="s">
        <v>199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195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195</v>
      </c>
      <c r="CU15" s="90" t="s">
        <v>195</v>
      </c>
      <c r="CV15" s="90" t="s">
        <v>195</v>
      </c>
      <c r="CW15" s="90" t="s">
        <v>195</v>
      </c>
      <c r="CX15" s="90" t="s">
        <v>195</v>
      </c>
      <c r="CY15" s="90" t="s">
        <v>195</v>
      </c>
      <c r="CZ15" s="90" t="s">
        <v>195</v>
      </c>
      <c r="DA15" s="90" t="s">
        <v>195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195</v>
      </c>
      <c r="DJ15" s="90" t="s">
        <v>195</v>
      </c>
      <c r="DK15" s="90"/>
      <c r="DL15" s="90" t="s">
        <v>194</v>
      </c>
      <c r="DM15" s="90" t="s">
        <v>195</v>
      </c>
      <c r="DN15" s="90" t="s">
        <v>195</v>
      </c>
      <c r="DO15" s="90" t="s">
        <v>195</v>
      </c>
      <c r="DP15" s="90" t="s">
        <v>195</v>
      </c>
      <c r="DQ15" s="90" t="s">
        <v>195</v>
      </c>
      <c r="DR15" s="90" t="s">
        <v>195</v>
      </c>
      <c r="DS15" s="90" t="s">
        <v>195</v>
      </c>
      <c r="DT15" s="90" t="s">
        <v>195</v>
      </c>
      <c r="DU15" s="90" t="s">
        <v>195</v>
      </c>
      <c r="DV15" s="90" t="s">
        <v>195</v>
      </c>
      <c r="DW15" s="90" t="s">
        <v>195</v>
      </c>
      <c r="DX15" s="90" t="s">
        <v>195</v>
      </c>
      <c r="DY15" s="90" t="s">
        <v>195</v>
      </c>
      <c r="DZ15" s="90" t="s">
        <v>195</v>
      </c>
      <c r="EA15" s="90"/>
      <c r="EB15" s="90" t="s">
        <v>194</v>
      </c>
      <c r="EC15" s="90" t="s">
        <v>195</v>
      </c>
      <c r="ED15" s="90" t="s">
        <v>195</v>
      </c>
      <c r="EE15" s="90" t="s">
        <v>195</v>
      </c>
      <c r="EF15" s="90" t="s">
        <v>195</v>
      </c>
      <c r="EG15" s="90" t="s">
        <v>195</v>
      </c>
      <c r="EH15" s="102" t="s">
        <v>195</v>
      </c>
    </row>
    <row r="16" spans="1:138" ht="23.25" customHeight="1" x14ac:dyDescent="0.25">
      <c r="A16" s="98" t="s">
        <v>17</v>
      </c>
      <c r="B16" s="99" t="s">
        <v>193</v>
      </c>
      <c r="C16" s="99" t="s">
        <v>199</v>
      </c>
      <c r="D16" s="99" t="s">
        <v>200</v>
      </c>
      <c r="E16" s="99" t="s">
        <v>200</v>
      </c>
      <c r="F16" s="99" t="s">
        <v>200</v>
      </c>
      <c r="G16" s="99" t="s">
        <v>200</v>
      </c>
      <c r="H16" s="99" t="s">
        <v>205</v>
      </c>
      <c r="I16" s="99" t="s">
        <v>205</v>
      </c>
      <c r="J16" s="99" t="s">
        <v>200</v>
      </c>
      <c r="K16" s="99" t="s">
        <v>200</v>
      </c>
      <c r="L16" s="99" t="s">
        <v>200</v>
      </c>
      <c r="M16" s="99" t="s">
        <v>30</v>
      </c>
      <c r="N16" s="99" t="s">
        <v>30</v>
      </c>
      <c r="O16" s="99" t="s">
        <v>205</v>
      </c>
      <c r="P16" s="99" t="s">
        <v>205</v>
      </c>
      <c r="Q16" s="99" t="s">
        <v>205</v>
      </c>
      <c r="R16" s="99" t="s">
        <v>205</v>
      </c>
      <c r="S16" s="99" t="s">
        <v>200</v>
      </c>
      <c r="T16" s="99"/>
      <c r="U16" s="99" t="s">
        <v>199</v>
      </c>
      <c r="V16" s="99" t="s">
        <v>205</v>
      </c>
      <c r="W16" s="99" t="s">
        <v>205</v>
      </c>
      <c r="X16" s="99" t="s">
        <v>205</v>
      </c>
      <c r="Y16" s="99" t="s">
        <v>205</v>
      </c>
      <c r="Z16" s="99" t="s">
        <v>207</v>
      </c>
      <c r="AA16" s="99" t="s">
        <v>205</v>
      </c>
      <c r="AB16" s="99" t="s">
        <v>203</v>
      </c>
      <c r="AC16" s="99" t="s">
        <v>200</v>
      </c>
      <c r="AD16" s="99" t="s">
        <v>30</v>
      </c>
      <c r="AE16" s="99" t="s">
        <v>195</v>
      </c>
      <c r="AF16" s="99" t="s">
        <v>195</v>
      </c>
      <c r="AG16" s="99" t="s">
        <v>195</v>
      </c>
      <c r="AH16" s="99" t="s">
        <v>195</v>
      </c>
      <c r="AI16" s="99" t="s">
        <v>199</v>
      </c>
      <c r="AJ16" s="99" t="s">
        <v>205</v>
      </c>
      <c r="AK16" s="99" t="s">
        <v>205</v>
      </c>
      <c r="AL16" s="99" t="s">
        <v>205</v>
      </c>
      <c r="AM16" s="99"/>
      <c r="AN16" s="99" t="s">
        <v>199</v>
      </c>
      <c r="AO16" s="99" t="s">
        <v>205</v>
      </c>
      <c r="AP16" s="99" t="s">
        <v>205</v>
      </c>
      <c r="AQ16" s="99" t="s">
        <v>205</v>
      </c>
      <c r="AR16" s="99" t="s">
        <v>205</v>
      </c>
      <c r="AS16" s="99" t="s">
        <v>30</v>
      </c>
      <c r="AT16" s="99" t="s">
        <v>205</v>
      </c>
      <c r="AU16" s="99" t="s">
        <v>205</v>
      </c>
      <c r="AV16" s="99" t="s">
        <v>205</v>
      </c>
      <c r="AW16" s="99" t="s">
        <v>205</v>
      </c>
      <c r="AX16" s="99" t="s">
        <v>205</v>
      </c>
      <c r="AY16" s="99"/>
      <c r="AZ16" s="99" t="s">
        <v>199</v>
      </c>
      <c r="BA16" s="99" t="s">
        <v>199</v>
      </c>
      <c r="BB16" s="99" t="s">
        <v>205</v>
      </c>
      <c r="BC16" s="99" t="s">
        <v>205</v>
      </c>
      <c r="BD16" s="99" t="s">
        <v>205</v>
      </c>
      <c r="BE16" s="99" t="s">
        <v>205</v>
      </c>
      <c r="BF16" s="99" t="s">
        <v>205</v>
      </c>
      <c r="BG16" s="99" t="s">
        <v>205</v>
      </c>
      <c r="BH16" s="99" t="s">
        <v>205</v>
      </c>
      <c r="BI16" s="99" t="s">
        <v>205</v>
      </c>
      <c r="BJ16" s="99" t="s">
        <v>205</v>
      </c>
      <c r="BK16" s="99" t="s">
        <v>205</v>
      </c>
      <c r="BL16" s="99" t="s">
        <v>205</v>
      </c>
      <c r="BM16" s="99" t="s">
        <v>205</v>
      </c>
      <c r="BN16" s="99" t="s">
        <v>30</v>
      </c>
      <c r="BO16" s="99" t="s">
        <v>30</v>
      </c>
      <c r="BP16" s="99" t="s">
        <v>205</v>
      </c>
      <c r="BQ16" s="99" t="s">
        <v>30</v>
      </c>
      <c r="BR16" s="99" t="s">
        <v>205</v>
      </c>
      <c r="BS16" s="99" t="s">
        <v>205</v>
      </c>
      <c r="BT16" s="99"/>
      <c r="BU16" s="99" t="s">
        <v>205</v>
      </c>
      <c r="BV16" s="99" t="s">
        <v>205</v>
      </c>
      <c r="BW16" s="99" t="s">
        <v>205</v>
      </c>
      <c r="BX16" s="99" t="s">
        <v>205</v>
      </c>
      <c r="BY16" s="99" t="s">
        <v>205</v>
      </c>
      <c r="BZ16" s="99" t="s">
        <v>205</v>
      </c>
      <c r="CA16" s="99" t="s">
        <v>205</v>
      </c>
      <c r="CB16" s="99"/>
      <c r="CC16" s="99" t="s">
        <v>201</v>
      </c>
      <c r="CD16" s="99"/>
      <c r="CE16" s="99" t="s">
        <v>199</v>
      </c>
      <c r="CF16" s="99"/>
      <c r="CG16" s="99"/>
      <c r="CH16" s="99"/>
      <c r="CI16" s="99" t="s">
        <v>199</v>
      </c>
      <c r="CJ16" s="99" t="s">
        <v>205</v>
      </c>
      <c r="CK16" s="99" t="s">
        <v>205</v>
      </c>
      <c r="CL16" s="99" t="s">
        <v>205</v>
      </c>
      <c r="CM16" s="99" t="s">
        <v>205</v>
      </c>
      <c r="CN16" s="99" t="s">
        <v>205</v>
      </c>
      <c r="CO16" s="99" t="s">
        <v>205</v>
      </c>
      <c r="CP16" s="99" t="s">
        <v>205</v>
      </c>
      <c r="CQ16" s="99" t="s">
        <v>205</v>
      </c>
      <c r="CR16" s="99" t="s">
        <v>30</v>
      </c>
      <c r="CS16" s="99" t="s">
        <v>205</v>
      </c>
      <c r="CT16" s="99" t="s">
        <v>205</v>
      </c>
      <c r="CU16" s="99" t="s">
        <v>205</v>
      </c>
      <c r="CV16" s="99" t="s">
        <v>205</v>
      </c>
      <c r="CW16" s="99" t="s">
        <v>205</v>
      </c>
      <c r="CX16" s="99" t="s">
        <v>200</v>
      </c>
      <c r="CY16" s="99" t="s">
        <v>205</v>
      </c>
      <c r="CZ16" s="99" t="s">
        <v>205</v>
      </c>
      <c r="DA16" s="99" t="s">
        <v>205</v>
      </c>
      <c r="DB16" s="99" t="s">
        <v>205</v>
      </c>
      <c r="DC16" s="99" t="s">
        <v>205</v>
      </c>
      <c r="DD16" s="99" t="s">
        <v>205</v>
      </c>
      <c r="DE16" s="99" t="s">
        <v>205</v>
      </c>
      <c r="DF16" s="99" t="s">
        <v>205</v>
      </c>
      <c r="DG16" s="99" t="s">
        <v>200</v>
      </c>
      <c r="DH16" s="99" t="s">
        <v>200</v>
      </c>
      <c r="DI16" s="99" t="s">
        <v>200</v>
      </c>
      <c r="DJ16" s="99" t="s">
        <v>205</v>
      </c>
      <c r="DK16" s="99"/>
      <c r="DL16" s="99" t="s">
        <v>194</v>
      </c>
      <c r="DM16" s="99" t="s">
        <v>195</v>
      </c>
      <c r="DN16" s="99" t="s">
        <v>195</v>
      </c>
      <c r="DO16" s="99" t="s">
        <v>195</v>
      </c>
      <c r="DP16" s="99" t="s">
        <v>195</v>
      </c>
      <c r="DQ16" s="99" t="s">
        <v>195</v>
      </c>
      <c r="DR16" s="99" t="s">
        <v>195</v>
      </c>
      <c r="DS16" s="99" t="s">
        <v>195</v>
      </c>
      <c r="DT16" s="99" t="s">
        <v>195</v>
      </c>
      <c r="DU16" s="99" t="s">
        <v>195</v>
      </c>
      <c r="DV16" s="99" t="s">
        <v>195</v>
      </c>
      <c r="DW16" s="99" t="s">
        <v>195</v>
      </c>
      <c r="DX16" s="99" t="s">
        <v>195</v>
      </c>
      <c r="DY16" s="99" t="s">
        <v>195</v>
      </c>
      <c r="DZ16" s="99" t="s">
        <v>195</v>
      </c>
      <c r="EA16" s="99"/>
      <c r="EB16" s="99" t="s">
        <v>199</v>
      </c>
      <c r="EC16" s="99" t="s">
        <v>200</v>
      </c>
      <c r="ED16" s="99" t="s">
        <v>202</v>
      </c>
      <c r="EE16" s="99" t="s">
        <v>205</v>
      </c>
      <c r="EF16" s="99" t="s">
        <v>30</v>
      </c>
      <c r="EG16" s="99" t="s">
        <v>205</v>
      </c>
      <c r="EH16" s="100" t="s">
        <v>205</v>
      </c>
    </row>
    <row r="17" spans="1:138" ht="23.25" customHeight="1" x14ac:dyDescent="0.25">
      <c r="A17" s="101" t="s">
        <v>16</v>
      </c>
      <c r="B17" s="90" t="s">
        <v>193</v>
      </c>
      <c r="C17" s="90" t="s">
        <v>199</v>
      </c>
      <c r="D17" s="90" t="s">
        <v>205</v>
      </c>
      <c r="E17" s="90" t="s">
        <v>205</v>
      </c>
      <c r="F17" s="90" t="s">
        <v>205</v>
      </c>
      <c r="G17" s="90" t="s">
        <v>205</v>
      </c>
      <c r="H17" s="90" t="s">
        <v>205</v>
      </c>
      <c r="I17" s="90" t="s">
        <v>205</v>
      </c>
      <c r="J17" s="90" t="s">
        <v>205</v>
      </c>
      <c r="K17" s="90" t="s">
        <v>205</v>
      </c>
      <c r="L17" s="90" t="s">
        <v>205</v>
      </c>
      <c r="M17" s="90" t="s">
        <v>205</v>
      </c>
      <c r="N17" s="90" t="s">
        <v>205</v>
      </c>
      <c r="O17" s="90" t="s">
        <v>205</v>
      </c>
      <c r="P17" s="90" t="s">
        <v>205</v>
      </c>
      <c r="Q17" s="90" t="s">
        <v>205</v>
      </c>
      <c r="R17" s="90" t="s">
        <v>205</v>
      </c>
      <c r="S17" s="90" t="s">
        <v>205</v>
      </c>
      <c r="T17" s="90"/>
      <c r="U17" s="90" t="s">
        <v>199</v>
      </c>
      <c r="V17" s="90" t="s">
        <v>205</v>
      </c>
      <c r="W17" s="90" t="s">
        <v>205</v>
      </c>
      <c r="X17" s="90" t="s">
        <v>205</v>
      </c>
      <c r="Y17" s="90" t="s">
        <v>205</v>
      </c>
      <c r="Z17" s="90" t="s">
        <v>196</v>
      </c>
      <c r="AA17" s="90" t="s">
        <v>195</v>
      </c>
      <c r="AB17" s="90" t="s">
        <v>195</v>
      </c>
      <c r="AC17" s="90" t="s">
        <v>195</v>
      </c>
      <c r="AD17" s="90" t="s">
        <v>195</v>
      </c>
      <c r="AE17" s="90" t="s">
        <v>205</v>
      </c>
      <c r="AF17" s="90" t="s">
        <v>205</v>
      </c>
      <c r="AG17" s="90" t="s">
        <v>205</v>
      </c>
      <c r="AH17" s="90" t="s">
        <v>205</v>
      </c>
      <c r="AI17" s="90" t="s">
        <v>194</v>
      </c>
      <c r="AJ17" s="90" t="s">
        <v>195</v>
      </c>
      <c r="AK17" s="90" t="s">
        <v>195</v>
      </c>
      <c r="AL17" s="90" t="s">
        <v>195</v>
      </c>
      <c r="AM17" s="90"/>
      <c r="AN17" s="90" t="s">
        <v>194</v>
      </c>
      <c r="AO17" s="90" t="s">
        <v>195</v>
      </c>
      <c r="AP17" s="90" t="s">
        <v>195</v>
      </c>
      <c r="AQ17" s="90" t="s">
        <v>195</v>
      </c>
      <c r="AR17" s="90" t="s">
        <v>195</v>
      </c>
      <c r="AS17" s="90" t="s">
        <v>195</v>
      </c>
      <c r="AT17" s="90" t="s">
        <v>195</v>
      </c>
      <c r="AU17" s="90" t="s">
        <v>195</v>
      </c>
      <c r="AV17" s="90" t="s">
        <v>195</v>
      </c>
      <c r="AW17" s="90" t="s">
        <v>195</v>
      </c>
      <c r="AX17" s="90" t="s">
        <v>195</v>
      </c>
      <c r="AY17" s="90"/>
      <c r="AZ17" s="90" t="s">
        <v>194</v>
      </c>
      <c r="BA17" s="90" t="s">
        <v>194</v>
      </c>
      <c r="BB17" s="90" t="s">
        <v>195</v>
      </c>
      <c r="BC17" s="90" t="s">
        <v>195</v>
      </c>
      <c r="BD17" s="90" t="s">
        <v>195</v>
      </c>
      <c r="BE17" s="90" t="s">
        <v>195</v>
      </c>
      <c r="BF17" s="90" t="s">
        <v>195</v>
      </c>
      <c r="BG17" s="90" t="s">
        <v>195</v>
      </c>
      <c r="BH17" s="90" t="s">
        <v>195</v>
      </c>
      <c r="BI17" s="90" t="s">
        <v>195</v>
      </c>
      <c r="BJ17" s="90" t="s">
        <v>195</v>
      </c>
      <c r="BK17" s="90" t="s">
        <v>195</v>
      </c>
      <c r="BL17" s="90" t="s">
        <v>195</v>
      </c>
      <c r="BM17" s="90" t="s">
        <v>195</v>
      </c>
      <c r="BN17" s="90" t="s">
        <v>195</v>
      </c>
      <c r="BO17" s="90" t="s">
        <v>195</v>
      </c>
      <c r="BP17" s="90" t="s">
        <v>195</v>
      </c>
      <c r="BQ17" s="90" t="s">
        <v>195</v>
      </c>
      <c r="BR17" s="90" t="s">
        <v>195</v>
      </c>
      <c r="BS17" s="90" t="s">
        <v>195</v>
      </c>
      <c r="BT17" s="90"/>
      <c r="BU17" s="90" t="s">
        <v>205</v>
      </c>
      <c r="BV17" s="90" t="s">
        <v>205</v>
      </c>
      <c r="BW17" s="90" t="s">
        <v>205</v>
      </c>
      <c r="BX17" s="90" t="s">
        <v>205</v>
      </c>
      <c r="BY17" s="90" t="s">
        <v>205</v>
      </c>
      <c r="BZ17" s="90" t="s">
        <v>205</v>
      </c>
      <c r="CA17" s="90" t="s">
        <v>205</v>
      </c>
      <c r="CB17" s="90"/>
      <c r="CC17" s="90" t="s">
        <v>198</v>
      </c>
      <c r="CD17" s="90"/>
      <c r="CE17" s="90" t="s">
        <v>199</v>
      </c>
      <c r="CF17" s="90"/>
      <c r="CG17" s="90"/>
      <c r="CH17" s="90"/>
      <c r="CI17" s="90" t="s">
        <v>199</v>
      </c>
      <c r="CJ17" s="90" t="s">
        <v>205</v>
      </c>
      <c r="CK17" s="90" t="s">
        <v>205</v>
      </c>
      <c r="CL17" s="90" t="s">
        <v>205</v>
      </c>
      <c r="CM17" s="90" t="s">
        <v>205</v>
      </c>
      <c r="CN17" s="90" t="s">
        <v>205</v>
      </c>
      <c r="CO17" s="90" t="s">
        <v>205</v>
      </c>
      <c r="CP17" s="90" t="s">
        <v>205</v>
      </c>
      <c r="CQ17" s="90" t="s">
        <v>205</v>
      </c>
      <c r="CR17" s="90" t="s">
        <v>205</v>
      </c>
      <c r="CS17" s="90" t="s">
        <v>205</v>
      </c>
      <c r="CT17" s="90" t="s">
        <v>205</v>
      </c>
      <c r="CU17" s="90" t="s">
        <v>205</v>
      </c>
      <c r="CV17" s="90" t="s">
        <v>205</v>
      </c>
      <c r="CW17" s="90" t="s">
        <v>205</v>
      </c>
      <c r="CX17" s="90" t="s">
        <v>205</v>
      </c>
      <c r="CY17" s="90" t="s">
        <v>205</v>
      </c>
      <c r="CZ17" s="90" t="s">
        <v>205</v>
      </c>
      <c r="DA17" s="90" t="s">
        <v>205</v>
      </c>
      <c r="DB17" s="90" t="s">
        <v>205</v>
      </c>
      <c r="DC17" s="90" t="s">
        <v>205</v>
      </c>
      <c r="DD17" s="90" t="s">
        <v>205</v>
      </c>
      <c r="DE17" s="90" t="s">
        <v>205</v>
      </c>
      <c r="DF17" s="90" t="s">
        <v>205</v>
      </c>
      <c r="DG17" s="90" t="s">
        <v>205</v>
      </c>
      <c r="DH17" s="90" t="s">
        <v>205</v>
      </c>
      <c r="DI17" s="90" t="s">
        <v>205</v>
      </c>
      <c r="DJ17" s="90" t="s">
        <v>205</v>
      </c>
      <c r="DK17" s="90"/>
      <c r="DL17" s="90" t="s">
        <v>199</v>
      </c>
      <c r="DM17" s="90" t="s">
        <v>205</v>
      </c>
      <c r="DN17" s="90" t="s">
        <v>205</v>
      </c>
      <c r="DO17" s="90" t="s">
        <v>205</v>
      </c>
      <c r="DP17" s="90" t="s">
        <v>205</v>
      </c>
      <c r="DQ17" s="90" t="s">
        <v>205</v>
      </c>
      <c r="DR17" s="90" t="s">
        <v>205</v>
      </c>
      <c r="DS17" s="90" t="s">
        <v>205</v>
      </c>
      <c r="DT17" s="90" t="s">
        <v>205</v>
      </c>
      <c r="DU17" s="90" t="s">
        <v>205</v>
      </c>
      <c r="DV17" s="90" t="s">
        <v>205</v>
      </c>
      <c r="DW17" s="90" t="s">
        <v>205</v>
      </c>
      <c r="DX17" s="90" t="s">
        <v>205</v>
      </c>
      <c r="DY17" s="90" t="s">
        <v>205</v>
      </c>
      <c r="DZ17" s="90" t="s">
        <v>205</v>
      </c>
      <c r="EA17" s="90"/>
      <c r="EB17" s="90" t="s">
        <v>199</v>
      </c>
      <c r="EC17" s="90" t="s">
        <v>205</v>
      </c>
      <c r="ED17" s="90" t="s">
        <v>205</v>
      </c>
      <c r="EE17" s="90" t="s">
        <v>205</v>
      </c>
      <c r="EF17" s="90" t="s">
        <v>205</v>
      </c>
      <c r="EG17" s="90" t="s">
        <v>205</v>
      </c>
      <c r="EH17" s="102" t="s">
        <v>205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195</v>
      </c>
      <c r="E18" s="99" t="s">
        <v>195</v>
      </c>
      <c r="F18" s="99" t="s">
        <v>195</v>
      </c>
      <c r="G18" s="99" t="s">
        <v>195</v>
      </c>
      <c r="H18" s="99" t="s">
        <v>195</v>
      </c>
      <c r="I18" s="99" t="s">
        <v>195</v>
      </c>
      <c r="J18" s="99" t="s">
        <v>195</v>
      </c>
      <c r="K18" s="99" t="s">
        <v>195</v>
      </c>
      <c r="L18" s="99" t="s">
        <v>195</v>
      </c>
      <c r="M18" s="99" t="s">
        <v>195</v>
      </c>
      <c r="N18" s="99" t="s">
        <v>195</v>
      </c>
      <c r="O18" s="99" t="s">
        <v>195</v>
      </c>
      <c r="P18" s="99" t="s">
        <v>195</v>
      </c>
      <c r="Q18" s="99" t="s">
        <v>195</v>
      </c>
      <c r="R18" s="99" t="s">
        <v>195</v>
      </c>
      <c r="S18" s="99" t="s">
        <v>195</v>
      </c>
      <c r="T18" s="99"/>
      <c r="U18" s="99" t="s">
        <v>194</v>
      </c>
      <c r="V18" s="99" t="s">
        <v>195</v>
      </c>
      <c r="W18" s="99" t="s">
        <v>195</v>
      </c>
      <c r="X18" s="99" t="s">
        <v>195</v>
      </c>
      <c r="Y18" s="99" t="s">
        <v>195</v>
      </c>
      <c r="Z18" s="99" t="s">
        <v>196</v>
      </c>
      <c r="AA18" s="99" t="s">
        <v>195</v>
      </c>
      <c r="AB18" s="99" t="s">
        <v>195</v>
      </c>
      <c r="AC18" s="99" t="s">
        <v>195</v>
      </c>
      <c r="AD18" s="99" t="s">
        <v>195</v>
      </c>
      <c r="AE18" s="99" t="s">
        <v>195</v>
      </c>
      <c r="AF18" s="99" t="s">
        <v>195</v>
      </c>
      <c r="AG18" s="99" t="s">
        <v>195</v>
      </c>
      <c r="AH18" s="99" t="s">
        <v>195</v>
      </c>
      <c r="AI18" s="99" t="s">
        <v>194</v>
      </c>
      <c r="AJ18" s="99" t="s">
        <v>195</v>
      </c>
      <c r="AK18" s="99" t="s">
        <v>195</v>
      </c>
      <c r="AL18" s="99" t="s">
        <v>195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194</v>
      </c>
      <c r="BA18" s="99" t="s">
        <v>194</v>
      </c>
      <c r="BB18" s="99" t="s">
        <v>195</v>
      </c>
      <c r="BC18" s="99" t="s">
        <v>195</v>
      </c>
      <c r="BD18" s="99" t="s">
        <v>195</v>
      </c>
      <c r="BE18" s="99" t="s">
        <v>195</v>
      </c>
      <c r="BF18" s="99" t="s">
        <v>195</v>
      </c>
      <c r="BG18" s="99" t="s">
        <v>195</v>
      </c>
      <c r="BH18" s="99" t="s">
        <v>195</v>
      </c>
      <c r="BI18" s="99" t="s">
        <v>195</v>
      </c>
      <c r="BJ18" s="99" t="s">
        <v>195</v>
      </c>
      <c r="BK18" s="99" t="s">
        <v>195</v>
      </c>
      <c r="BL18" s="99" t="s">
        <v>195</v>
      </c>
      <c r="BM18" s="99" t="s">
        <v>195</v>
      </c>
      <c r="BN18" s="99" t="s">
        <v>195</v>
      </c>
      <c r="BO18" s="99" t="s">
        <v>195</v>
      </c>
      <c r="BP18" s="99" t="s">
        <v>195</v>
      </c>
      <c r="BQ18" s="99" t="s">
        <v>195</v>
      </c>
      <c r="BR18" s="99" t="s">
        <v>195</v>
      </c>
      <c r="BS18" s="99" t="s">
        <v>195</v>
      </c>
      <c r="BT18" s="99"/>
      <c r="BU18" s="99" t="s">
        <v>200</v>
      </c>
      <c r="BV18" s="99" t="s">
        <v>202</v>
      </c>
      <c r="BW18" s="99" t="s">
        <v>30</v>
      </c>
      <c r="BX18" s="99" t="s">
        <v>200</v>
      </c>
      <c r="BY18" s="99" t="s">
        <v>200</v>
      </c>
      <c r="BZ18" s="99" t="s">
        <v>30</v>
      </c>
      <c r="CA18" s="99" t="s">
        <v>200</v>
      </c>
      <c r="CB18" s="99"/>
      <c r="CC18" s="99" t="s">
        <v>206</v>
      </c>
      <c r="CD18" s="99"/>
      <c r="CE18" s="99" t="s">
        <v>199</v>
      </c>
      <c r="CF18" s="99"/>
      <c r="CG18" s="99"/>
      <c r="CH18" s="99"/>
      <c r="CI18" s="99" t="s">
        <v>199</v>
      </c>
      <c r="CJ18" s="99" t="s">
        <v>202</v>
      </c>
      <c r="CK18" s="99" t="s">
        <v>30</v>
      </c>
      <c r="CL18" s="99" t="s">
        <v>202</v>
      </c>
      <c r="CM18" s="99" t="s">
        <v>30</v>
      </c>
      <c r="CN18" s="99" t="s">
        <v>202</v>
      </c>
      <c r="CO18" s="99" t="s">
        <v>202</v>
      </c>
      <c r="CP18" s="99" t="s">
        <v>30</v>
      </c>
      <c r="CQ18" s="99" t="s">
        <v>30</v>
      </c>
      <c r="CR18" s="99" t="s">
        <v>30</v>
      </c>
      <c r="CS18" s="99" t="s">
        <v>30</v>
      </c>
      <c r="CT18" s="99" t="s">
        <v>30</v>
      </c>
      <c r="CU18" s="99" t="s">
        <v>202</v>
      </c>
      <c r="CV18" s="99" t="s">
        <v>202</v>
      </c>
      <c r="CW18" s="99" t="s">
        <v>202</v>
      </c>
      <c r="CX18" s="99" t="s">
        <v>30</v>
      </c>
      <c r="CY18" s="99" t="s">
        <v>202</v>
      </c>
      <c r="CZ18" s="99" t="s">
        <v>200</v>
      </c>
      <c r="DA18" s="99" t="s">
        <v>202</v>
      </c>
      <c r="DB18" s="99" t="s">
        <v>30</v>
      </c>
      <c r="DC18" s="99" t="s">
        <v>202</v>
      </c>
      <c r="DD18" s="99" t="s">
        <v>30</v>
      </c>
      <c r="DE18" s="99" t="s">
        <v>202</v>
      </c>
      <c r="DF18" s="99" t="s">
        <v>202</v>
      </c>
      <c r="DG18" s="99" t="s">
        <v>202</v>
      </c>
      <c r="DH18" s="99" t="s">
        <v>202</v>
      </c>
      <c r="DI18" s="99" t="s">
        <v>202</v>
      </c>
      <c r="DJ18" s="99" t="s">
        <v>202</v>
      </c>
      <c r="DK18" s="99"/>
      <c r="DL18" s="99" t="s">
        <v>194</v>
      </c>
      <c r="DM18" s="99" t="s">
        <v>195</v>
      </c>
      <c r="DN18" s="99" t="s">
        <v>195</v>
      </c>
      <c r="DO18" s="99" t="s">
        <v>195</v>
      </c>
      <c r="DP18" s="99" t="s">
        <v>195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195</v>
      </c>
      <c r="DV18" s="99" t="s">
        <v>195</v>
      </c>
      <c r="DW18" s="99" t="s">
        <v>195</v>
      </c>
      <c r="DX18" s="99" t="s">
        <v>195</v>
      </c>
      <c r="DY18" s="99" t="s">
        <v>195</v>
      </c>
      <c r="DZ18" s="99" t="s">
        <v>195</v>
      </c>
      <c r="EA18" s="99"/>
      <c r="EB18" s="99" t="s">
        <v>194</v>
      </c>
      <c r="EC18" s="99" t="s">
        <v>195</v>
      </c>
      <c r="ED18" s="99" t="s">
        <v>195</v>
      </c>
      <c r="EE18" s="99" t="s">
        <v>195</v>
      </c>
      <c r="EF18" s="99" t="s">
        <v>195</v>
      </c>
      <c r="EG18" s="99" t="s">
        <v>195</v>
      </c>
      <c r="EH18" s="100" t="s">
        <v>195</v>
      </c>
    </row>
    <row r="19" spans="1:138" ht="23.25" customHeight="1" x14ac:dyDescent="0.25">
      <c r="A19" s="101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102"/>
    </row>
    <row r="20" spans="1:138" ht="23.25" customHeight="1" x14ac:dyDescent="0.25">
      <c r="A20" s="98"/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100"/>
    </row>
    <row r="21" spans="1:138" ht="23.25" customHeight="1" x14ac:dyDescent="0.25">
      <c r="A21" s="101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102"/>
    </row>
    <row r="22" spans="1:138" ht="23.25" customHeight="1" x14ac:dyDescent="0.25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100"/>
    </row>
    <row r="23" spans="1:138" ht="23.25" customHeight="1" x14ac:dyDescent="0.25">
      <c r="A23" s="101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102"/>
    </row>
    <row r="24" spans="1:138" ht="23.25" customHeight="1" x14ac:dyDescent="0.25">
      <c r="A24" s="98"/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100"/>
    </row>
    <row r="25" spans="1:138" ht="23.25" customHeight="1" x14ac:dyDescent="0.25">
      <c r="A25" s="101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102"/>
    </row>
    <row r="26" spans="1:138" ht="23.25" customHeight="1" x14ac:dyDescent="0.25">
      <c r="A26" s="98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100"/>
    </row>
    <row r="27" spans="1:138" ht="23.25" customHeight="1" x14ac:dyDescent="0.25">
      <c r="A27" s="101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102"/>
    </row>
    <row r="28" spans="1:138" ht="23.25" customHeight="1" x14ac:dyDescent="0.25">
      <c r="A28" s="98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100"/>
    </row>
    <row r="29" spans="1:138" ht="23.25" customHeight="1" x14ac:dyDescent="0.25">
      <c r="A29" s="101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102"/>
    </row>
    <row r="30" spans="1:138" ht="23.25" customHeight="1" x14ac:dyDescent="0.25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100"/>
    </row>
    <row r="31" spans="1:138" ht="23.25" customHeight="1" x14ac:dyDescent="0.25">
      <c r="A31" s="101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102"/>
    </row>
    <row r="32" spans="1:138" ht="23.25" customHeight="1" x14ac:dyDescent="0.25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100"/>
    </row>
    <row r="33" spans="1:138" ht="23.25" customHeight="1" x14ac:dyDescent="0.25">
      <c r="A33" s="101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102"/>
    </row>
    <row r="34" spans="1:138" ht="23.25" customHeight="1" x14ac:dyDescent="0.25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100"/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0</v>
      </c>
      <c r="E10" s="4">
        <f>COUNTIF(Resp4[4.14],B10)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COUNTIFS(Resp4[Vínculo],"tecnico",Resp4[4.14],B11)</f>
        <v>0</v>
      </c>
      <c r="D11" s="4">
        <f>COUNTIFS(Resp4[Vínculo],"docente",Resp4[4.14],B11)</f>
        <v>1</v>
      </c>
      <c r="E11" s="4">
        <f>COUNTIF(Resp4[4.14],B11)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COUNTIFS(Resp4[Vínculo],"tecnico",Resp4[4.14],B12)</f>
        <v>2</v>
      </c>
      <c r="D12" s="4">
        <f>COUNTIFS(Resp4[Vínculo],"docente",Resp4[4.14],B12)</f>
        <v>4</v>
      </c>
      <c r="E12" s="4">
        <f>COUNTIF(Resp4[4.14],B12)</f>
        <v>6</v>
      </c>
      <c r="F12" s="22">
        <f t="shared" si="0"/>
        <v>35.29</v>
      </c>
      <c r="G12" s="3">
        <f t="shared" si="1"/>
        <v>85.713999999999999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COUNTIFS(Resp4[Vínculo],"tecnico",Resp4[4.15],B7)</f>
        <v>0</v>
      </c>
      <c r="D7" s="4">
        <f>COUNTIFS(Resp4[Vínculo],"docente",Resp4[4.15],B7)</f>
        <v>0</v>
      </c>
      <c r="E7" s="4">
        <f>COUNTIF(Resp4[4.15],B7)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1</v>
      </c>
      <c r="E10" s="4">
        <f>COUNTIF(Resp4[4.15],B10)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COUNTIFS(Resp4[Vínculo],"tecnico",Resp4[4.15],B11)</f>
        <v>0</v>
      </c>
      <c r="D11" s="4">
        <f>COUNTIFS(Resp4[Vínculo],"docente",Resp4[4.15],B11)</f>
        <v>1</v>
      </c>
      <c r="E11" s="4">
        <f>COUNTIF(Resp4[4.15],B11)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COUNTIFS(Resp4[Vínculo],"tecnico",Resp4[4.15],B12)</f>
        <v>2</v>
      </c>
      <c r="D12" s="4">
        <f>COUNTIFS(Resp4[Vínculo],"docente",Resp4[4.15],B12)</f>
        <v>3</v>
      </c>
      <c r="E12" s="4">
        <f>COUNTIF(Resp4[4.15],B12)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COUNTIFS(Resp4[Vínculo],"tecnico",Resp4[4.16],B7)</f>
        <v>0</v>
      </c>
      <c r="D7" s="4">
        <f>COUNTIFS(Resp4[Vínculo],"docente",Resp4[4.16],B7)</f>
        <v>0</v>
      </c>
      <c r="E7" s="4">
        <f>COUNTIF(Resp4[4.16],B7)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COUNTIFS(Resp4[Vínculo],"tecnico",Resp4[4.16],B9)</f>
        <v>0</v>
      </c>
      <c r="D9" s="4">
        <f>COUNTIFS(Resp4[Vínculo],"docente",Resp4[4.16],B9)</f>
        <v>2</v>
      </c>
      <c r="E9" s="4">
        <f>COUNTIF(Resp4[4.16],B9)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COUNTIFS(Resp4[Vínculo],"tecnico",Resp4[4.16],B11)</f>
        <v>0</v>
      </c>
      <c r="D11" s="4">
        <f>COUNTIFS(Resp4[Vínculo],"docente",Resp4[4.16],B11)</f>
        <v>0</v>
      </c>
      <c r="E11" s="4">
        <f>COUNTIF(Resp4[4.16],B11)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COUNTIFS(Resp4[Vínculo],"tecnico",Resp4[4.16],B12)</f>
        <v>2</v>
      </c>
      <c r="D12" s="4">
        <f>COUNTIFS(Resp4[Vínculo],"docente",Resp4[4.16],B12)</f>
        <v>3</v>
      </c>
      <c r="E12" s="4">
        <f>COUNTIF(Resp4[4.16],B12)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COUNTIFS(Resp4[Vínculo],"tecnico",Resp4[4.17],B7)</f>
        <v>0</v>
      </c>
      <c r="D7" s="4">
        <f>COUNTIFS(Resp4[Vínculo],"docente",Resp4[4.17],B7)</f>
        <v>0</v>
      </c>
      <c r="E7" s="4">
        <f>COUNTIF(Resp4[4.17],B7)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COUNTIFS(Resp4[Vínculo],"tecnico",Resp4[4.17],B9)</f>
        <v>0</v>
      </c>
      <c r="D9" s="4">
        <f>COUNTIFS(Resp4[Vínculo],"docente",Resp4[4.17],B9)</f>
        <v>1</v>
      </c>
      <c r="E9" s="4">
        <f>COUNTIF(Resp4[4.17],B9)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0</v>
      </c>
      <c r="E10" s="4">
        <f>COUNTIF(Resp4[4.17],B10)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COUNTIFS(Resp4[Vínculo],"tecnico",Resp4[4.17],B11)</f>
        <v>0</v>
      </c>
      <c r="D11" s="4">
        <f>COUNTIFS(Resp4[Vínculo],"docente",Resp4[4.17],B11)</f>
        <v>2</v>
      </c>
      <c r="E11" s="4">
        <f>COUNTIF(Resp4[4.17],B11)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COUNTIFS(Resp4[Vínculo],"tecnico",Resp4[4.17],B12)</f>
        <v>2</v>
      </c>
      <c r="D12" s="4">
        <f>COUNTIFS(Resp4[Vínculo],"docente",Resp4[4.17],B12)</f>
        <v>2</v>
      </c>
      <c r="E12" s="4">
        <f>COUNTIF(Resp4[4.17],B12)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1</v>
      </c>
      <c r="D7" s="4">
        <f>COUNTIFS(Resp4[Vínculo],"docente",Resp4[4.19],B7)</f>
        <v>6</v>
      </c>
      <c r="E7" s="2">
        <f>COUNTIF(Resp4[4.19],B7)</f>
        <v>7</v>
      </c>
      <c r="F7" s="4">
        <f t="shared" ref="F7:F9" si="0">ROUND($E7/E$9*100,2)</f>
        <v>41.18</v>
      </c>
      <c r="G7" s="4">
        <f>ROUND($E7/SUM($E$7:$E$8)*100,2)</f>
        <v>41.18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8</v>
      </c>
      <c r="D8" s="4">
        <f>COUNTIFS(Resp4[Vínculo],"docente",Resp4[4.19],B8)</f>
        <v>2</v>
      </c>
      <c r="E8" s="2">
        <f>COUNTIF(Resp4[4.19],B8)</f>
        <v>10</v>
      </c>
      <c r="F8" s="22">
        <f t="shared" si="0"/>
        <v>58.82</v>
      </c>
      <c r="G8" s="4">
        <f>ROUND($E8/SUM($E$7:$E$8)*100,2)</f>
        <v>58.82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2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COUNTIFS(Resp4[Vínculo],"tecnico",Resp4[4.20],B7)</f>
        <v>0</v>
      </c>
      <c r="D7" s="4">
        <f>COUNTIFS(Resp4[Vínculo],"docente",Resp4[4.20],B7)</f>
        <v>1</v>
      </c>
      <c r="E7" s="4">
        <f>COUNTIF(Resp4[4.20],B7)</f>
        <v>1</v>
      </c>
      <c r="F7" s="4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COUNTIFS(Resp4[Vínculo],"tecnico",Resp4[4.20],B9)</f>
        <v>0</v>
      </c>
      <c r="D9" s="4">
        <f>COUNTIFS(Resp4[Vínculo],"docente",Resp4[4.20],B9)</f>
        <v>2</v>
      </c>
      <c r="E9" s="4">
        <f>COUNTIF(Resp4[4.20],B9)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0</v>
      </c>
      <c r="E10" s="4">
        <f>COUNTIF(Resp4[4.20],B10)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COUNTIFS(Resp4[Vínculo],"tecnico",Resp4[4.20],B11)</f>
        <v>0</v>
      </c>
      <c r="D11" s="4">
        <f>COUNTIFS(Resp4[Vínculo],"docente",Resp4[4.20],B11)</f>
        <v>1</v>
      </c>
      <c r="E11" s="4">
        <f>COUNTIF(Resp4[4.20],B11)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COUNTIFS(Resp4[Vínculo],"tecnico",Resp4[4.20],B12)</f>
        <v>1</v>
      </c>
      <c r="D12" s="4">
        <f>COUNTIFS(Resp4[Vínculo],"docente",Resp4[4.20],B12)</f>
        <v>2</v>
      </c>
      <c r="E12" s="4">
        <f>COUNTIF(Resp4[4.20],B12)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33.332999999999998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2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2</v>
      </c>
      <c r="E10" s="4">
        <f>COUNTIF(Resp4[4.21],B10)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COUNTIFS(Resp4[Vínculo],"tecnico",Resp4[4.21],B11)</f>
        <v>0</v>
      </c>
      <c r="D11" s="4">
        <f>COUNTIFS(Resp4[Vínculo],"docente",Resp4[4.21],B11)</f>
        <v>2</v>
      </c>
      <c r="E11" s="4">
        <f>COUNTIF(Resp4[4.21],B11)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COUNTIFS(Resp4[Vínculo],"tecnico",Resp4[4.21],B12)</f>
        <v>1</v>
      </c>
      <c r="D12" s="4">
        <f>COUNTIFS(Resp4[Vínculo],"docente",Resp4[4.21],B12)</f>
        <v>2</v>
      </c>
      <c r="E12" s="4">
        <f>COUNTIF(Resp4[4.21],B12)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2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COUNTIFS(Resp4[Vínculo],"tecnico",Resp4[4.22],B7)</f>
        <v>0</v>
      </c>
      <c r="D7" s="4">
        <f>COUNTIFS(Resp4[Vínculo],"docente",Resp4[4.22],B7)</f>
        <v>0</v>
      </c>
      <c r="E7" s="4">
        <f>COUNTIF(Resp4[4.22],B7)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COUNTIFS(Resp4[Vínculo],"tecnico",Resp4[4.22],B9)</f>
        <v>0</v>
      </c>
      <c r="D9" s="4">
        <f>COUNTIFS(Resp4[Vínculo],"docente",Resp4[4.22],B9)</f>
        <v>1</v>
      </c>
      <c r="E9" s="4">
        <f>COUNTIF(Resp4[4.22],B9)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1</v>
      </c>
      <c r="E10" s="4">
        <f>COUNTIF(Resp4[4.22],B10)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COUNTIFS(Resp4[Vínculo],"tecnico",Resp4[4.22],B11)</f>
        <v>0</v>
      </c>
      <c r="D11" s="4">
        <f>COUNTIFS(Resp4[Vínculo],"docente",Resp4[4.22],B11)</f>
        <v>2</v>
      </c>
      <c r="E11" s="4">
        <f>COUNTIF(Resp4[4.22],B11)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COUNTIFS(Resp4[Vínculo],"tecnico",Resp4[4.22],B12)</f>
        <v>1</v>
      </c>
      <c r="D12" s="4">
        <f>COUNTIFS(Resp4[Vínculo],"docente",Resp4[4.22],B12)</f>
        <v>2</v>
      </c>
      <c r="E12" s="4">
        <f>COUNTIF(Resp4[4.22],B12)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2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COUNTIFS(Resp4[Vínculo],"tecnico",Resp4[4.23],B9)</f>
        <v>0</v>
      </c>
      <c r="D9" s="4">
        <f>COUNTIFS(Resp4[Vínculo],"docente",Resp4[4.23],B9)</f>
        <v>1</v>
      </c>
      <c r="E9" s="4">
        <f>COUNTIF(Resp4[4.23],B9)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1</v>
      </c>
      <c r="E10" s="4">
        <f>COUNTIF(Resp4[4.23],B10)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COUNTIFS(Resp4[Vínculo],"tecnico",Resp4[4.23],B11)</f>
        <v>0</v>
      </c>
      <c r="D11" s="4">
        <f>COUNTIFS(Resp4[Vínculo],"docente",Resp4[4.23],B11)</f>
        <v>2</v>
      </c>
      <c r="E11" s="4">
        <f>COUNTIF(Resp4[4.23],B11)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COUNTIFS(Resp4[Vínculo],"tecnico",Resp4[4.23],B12)</f>
        <v>1</v>
      </c>
      <c r="D12" s="4">
        <f>COUNTIFS(Resp4[Vínculo],"docente",Resp4[4.23],B12)</f>
        <v>2</v>
      </c>
      <c r="E12" s="4">
        <f>COUNTIF(Resp4[4.23],B12)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8</v>
      </c>
      <c r="D7" s="4">
        <f>COUNTIFS(Resp4[Vínculo],"docente",Resp4[4.24],B7)</f>
        <v>3</v>
      </c>
      <c r="E7" s="2">
        <f>COUNTIF(Resp4[4.24],B7)</f>
        <v>11</v>
      </c>
      <c r="F7" s="4">
        <f t="shared" ref="F7:F9" si="0">ROUND($E7/E$9*100,2)</f>
        <v>64.709999999999994</v>
      </c>
      <c r="G7" s="4">
        <f>ROUND($E7/SUM($E$7:$E$8)*100,2)</f>
        <v>64.709999999999994</v>
      </c>
    </row>
    <row r="8" spans="1:7" x14ac:dyDescent="0.25">
      <c r="B8" s="7" t="s">
        <v>207</v>
      </c>
      <c r="C8" s="22">
        <f>COUNTIFS(Resp4[Vínculo],"tecnico",Resp4[4.24],B8)</f>
        <v>1</v>
      </c>
      <c r="D8" s="22">
        <f>COUNTIFS(Resp4[Vínculo],"docente",Resp4[4.24],B8)</f>
        <v>5</v>
      </c>
      <c r="E8" s="7">
        <f>COUNTIF(Resp4[4.24],B8)</f>
        <v>6</v>
      </c>
      <c r="F8" s="22">
        <f t="shared" si="0"/>
        <v>35.29</v>
      </c>
      <c r="G8" s="22">
        <f>ROUND($E8/SUM($E$7:$E$8)*100,2)</f>
        <v>35.29</v>
      </c>
    </row>
    <row r="9" spans="1:7" x14ac:dyDescent="0.25">
      <c r="B9" t="s">
        <v>502</v>
      </c>
      <c r="C9">
        <f>SUM(C6:C8)</f>
        <v>9</v>
      </c>
      <c r="D9">
        <f>SUM(D6:D8)</f>
        <v>8</v>
      </c>
      <c r="E9">
        <f>C9+D9</f>
        <v>17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1</v>
      </c>
      <c r="E10" s="4">
        <f>COUNTIF(Resp4[4.25],B10)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COUNTIFS(Resp4[Vínculo],"tecnico",Resp4[4.25],B11)</f>
        <v>0</v>
      </c>
      <c r="D11" s="4">
        <f>COUNTIFS(Resp4[Vínculo],"docente",Resp4[4.25],B11)</f>
        <v>2</v>
      </c>
      <c r="E11" s="4">
        <f>COUNTIF(Resp4[4.25],B11)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COUNTIFS(Resp4[Vínculo],"tecnico",Resp4[4.25],B12)</f>
        <v>0</v>
      </c>
      <c r="D12" s="4">
        <f>COUNTIFS(Resp4[Vínculo],"docente",Resp4[4.25],B12)</f>
        <v>3</v>
      </c>
      <c r="E12" s="4">
        <f>COUNTIF(Resp4[4.25],B12)</f>
        <v>3</v>
      </c>
      <c r="F12" s="22">
        <f t="shared" si="0"/>
        <v>17.649999999999999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COUNTIFS(Resp4[Vínculo],"tecnico",Resp4[4.26],B7)</f>
        <v>0</v>
      </c>
      <c r="D7" s="4">
        <f>COUNTIFS(Resp4[Vínculo],"docente",Resp4[4.26],B7)</f>
        <v>2</v>
      </c>
      <c r="E7" s="4">
        <f>COUNTIF(Resp4[4.26],B7)</f>
        <v>2</v>
      </c>
      <c r="F7" s="4">
        <f t="shared" ref="F7:F13" si="0">ROUND($E7/E$13*100,2)</f>
        <v>11.76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COUNTIFS(Resp4[Vínculo],"tecnico",Resp4[4.26],B9)</f>
        <v>0</v>
      </c>
      <c r="D9" s="4">
        <f>COUNTIFS(Resp4[Vínculo],"docente",Resp4[4.26],B9)</f>
        <v>1</v>
      </c>
      <c r="E9" s="4">
        <f>COUNTIF(Resp4[4.26],B9)</f>
        <v>1</v>
      </c>
      <c r="F9" s="4">
        <f t="shared" si="0"/>
        <v>5.88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1</v>
      </c>
      <c r="E10" s="4">
        <f>COUNTIF(Resp4[4.26],B10)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COUNTIFS(Resp4[Vínculo],"tecnico",Resp4[4.26],B11)</f>
        <v>0</v>
      </c>
      <c r="D11" s="4">
        <f>COUNTIFS(Resp4[Vínculo],"docente",Resp4[4.26],B11)</f>
        <v>1</v>
      </c>
      <c r="E11" s="4">
        <f>COUNTIF(Resp4[4.26],B11)</f>
        <v>1</v>
      </c>
      <c r="F11" s="4">
        <f t="shared" si="0"/>
        <v>5.88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COUNTIFS(Resp4[Vínculo],"tecnico",Resp4[4.26],B12)</f>
        <v>0</v>
      </c>
      <c r="D12" s="4">
        <f>COUNTIFS(Resp4[Vínculo],"docente",Resp4[4.26],B12)</f>
        <v>1</v>
      </c>
      <c r="E12" s="4">
        <f>COUNTIF(Resp4[4.26],B12)</f>
        <v>1</v>
      </c>
      <c r="F12" s="22">
        <f t="shared" si="0"/>
        <v>5.88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COUNTIFS(Resp4[Vínculo],"tecnico",Resp4[4.27],B11)</f>
        <v>0</v>
      </c>
      <c r="D11" s="4">
        <f>COUNTIFS(Resp4[Vínculo],"docente",Resp4[4.27],B11)</f>
        <v>4</v>
      </c>
      <c r="E11" s="4">
        <f>COUNTIF(Resp4[4.27],B11)</f>
        <v>4</v>
      </c>
      <c r="F11" s="4">
        <f t="shared" si="0"/>
        <v>23.53</v>
      </c>
      <c r="G11" s="3">
        <f t="shared" si="1"/>
        <v>66.667000000000002</v>
      </c>
    </row>
    <row r="12" spans="1:7" x14ac:dyDescent="0.25">
      <c r="B12" s="7" t="s">
        <v>205</v>
      </c>
      <c r="C12" s="4">
        <f>COUNTIFS(Resp4[Vínculo],"tecnico",Resp4[4.27],B12)</f>
        <v>0</v>
      </c>
      <c r="D12" s="4">
        <f>COUNTIFS(Resp4[Vínculo],"docente",Resp4[4.27],B12)</f>
        <v>2</v>
      </c>
      <c r="E12" s="4">
        <f>COUNTIF(Resp4[4.27],B12)</f>
        <v>2</v>
      </c>
      <c r="F12" s="22">
        <f t="shared" si="0"/>
        <v>11.76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2</v>
      </c>
      <c r="E10" s="4">
        <f>COUNTIF(Resp4[4.28],B10)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COUNTIFS(Resp4[Vínculo],"tecnico",Resp4[4.28],B11)</f>
        <v>0</v>
      </c>
      <c r="D11" s="4">
        <f>COUNTIFS(Resp4[Vínculo],"docente",Resp4[4.28],B11)</f>
        <v>2</v>
      </c>
      <c r="E11" s="4">
        <f>COUNTIF(Resp4[4.28],B11)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COUNTIFS(Resp4[Vínculo],"tecnico",Resp4[4.28],B12)</f>
        <v>0</v>
      </c>
      <c r="D12" s="4">
        <f>COUNTIFS(Resp4[Vínculo],"docente",Resp4[4.28],B12)</f>
        <v>2</v>
      </c>
      <c r="E12" s="4">
        <f>COUNTIF(Resp4[4.28],B12)</f>
        <v>2</v>
      </c>
      <c r="F12" s="22">
        <f t="shared" si="0"/>
        <v>11.76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8</v>
      </c>
      <c r="E6" s="4">
        <f>E13-SUM(E7:E12)</f>
        <v>16</v>
      </c>
      <c r="F6" s="4">
        <f>ROUND($E6/E$13*100,2)</f>
        <v>94.12</v>
      </c>
    </row>
    <row r="7" spans="1:7" x14ac:dyDescent="0.25">
      <c r="B7" s="2" t="s">
        <v>203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COUNTIFS(Resp4[Vínculo],"tecnico",Resp4[4.29],B12)</f>
        <v>1</v>
      </c>
      <c r="D12" s="4">
        <f>COUNTIFS(Resp4[Vínculo],"docente",Resp4[4.29],B12)</f>
        <v>0</v>
      </c>
      <c r="E12" s="4">
        <f>COUNTIF(Resp4[4.29],B12)</f>
        <v>1</v>
      </c>
      <c r="F12" s="22">
        <f t="shared" si="0"/>
        <v>5.88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8</v>
      </c>
      <c r="E6" s="4">
        <f>E13-SUM(E7:E12)</f>
        <v>16</v>
      </c>
      <c r="F6" s="4">
        <f>ROUND($E6/E$13*100,2)</f>
        <v>94.12</v>
      </c>
    </row>
    <row r="7" spans="1:7" x14ac:dyDescent="0.25">
      <c r="B7" s="2" t="s">
        <v>203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COUNTIFS(Resp4[Vínculo],"tecnico",Resp4[4.30],B12)</f>
        <v>1</v>
      </c>
      <c r="D12" s="4">
        <f>COUNTIFS(Resp4[Vínculo],"docente",Resp4[4.30],B12)</f>
        <v>0</v>
      </c>
      <c r="E12" s="4">
        <f>COUNTIF(Resp4[4.30],B12)</f>
        <v>1</v>
      </c>
      <c r="F12" s="22">
        <f t="shared" si="0"/>
        <v>5.88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8</v>
      </c>
      <c r="E6" s="4">
        <f>E13-SUM(E7:E12)</f>
        <v>16</v>
      </c>
      <c r="F6" s="4">
        <f>ROUND($E6/E$13*100,2)</f>
        <v>94.12</v>
      </c>
    </row>
    <row r="7" spans="1:7" x14ac:dyDescent="0.25">
      <c r="B7" s="2" t="s">
        <v>203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COUNTIFS(Resp4[Vínculo],"tecnico",Resp4[4.31],B12)</f>
        <v>1</v>
      </c>
      <c r="D12" s="4">
        <f>COUNTIFS(Resp4[Vínculo],"docente",Resp4[4.31],B12)</f>
        <v>0</v>
      </c>
      <c r="E12" s="4">
        <f>COUNTIF(Resp4[4.31],B12)</f>
        <v>1</v>
      </c>
      <c r="F12" s="22">
        <f t="shared" si="0"/>
        <v>5.88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8</v>
      </c>
      <c r="E6" s="4">
        <f>E13-SUM(E7:E12)</f>
        <v>16</v>
      </c>
      <c r="F6" s="4">
        <f>ROUND($E6/E$13*100,2)</f>
        <v>94.12</v>
      </c>
    </row>
    <row r="7" spans="1:7" x14ac:dyDescent="0.25">
      <c r="B7" s="2" t="s">
        <v>203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COUNTIFS(Resp4[Vínculo],"tecnico",Resp4[4.32],B12)</f>
        <v>1</v>
      </c>
      <c r="D12" s="4">
        <f>COUNTIFS(Resp4[Vínculo],"docente",Resp4[4.32],B12)</f>
        <v>0</v>
      </c>
      <c r="E12" s="4">
        <f>COUNTIF(Resp4[4.32],B12)</f>
        <v>1</v>
      </c>
      <c r="F12" s="22">
        <f t="shared" si="0"/>
        <v>5.88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0</v>
      </c>
      <c r="D7" s="4">
        <f>COUNTIFS(Resp4[Vínculo],"docente",Resp4[4.33],B7)</f>
        <v>6</v>
      </c>
      <c r="E7" s="2">
        <f>COUNTIF(Resp4[4.33],B7)</f>
        <v>6</v>
      </c>
      <c r="F7" s="4">
        <f t="shared" ref="F7:F9" si="0">ROUND($E7/E$9*100,2)</f>
        <v>35.29</v>
      </c>
      <c r="G7" s="4">
        <f>ROUND($E7/SUM($E$7:$E$8)*100,2)</f>
        <v>35.29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9</v>
      </c>
      <c r="D8" s="4">
        <f>COUNTIFS(Resp4[Vínculo],"docente",Resp4[4.33],B8)</f>
        <v>2</v>
      </c>
      <c r="E8" s="2">
        <f>COUNTIF(Resp4[4.33],B8)</f>
        <v>11</v>
      </c>
      <c r="F8" s="22">
        <f t="shared" si="0"/>
        <v>64.709999999999994</v>
      </c>
      <c r="G8" s="4">
        <f>ROUND($E8/SUM($E$7:$E$8)*100,2)</f>
        <v>64.709999999999994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1</v>
      </c>
      <c r="E10" s="4">
        <f>COUNTIF(Resp4[4.34],B10)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COUNTIFS(Resp4[Vínculo],"tecnico",Resp4[4.34],B11)</f>
        <v>0</v>
      </c>
      <c r="D11" s="4">
        <f>COUNTIFS(Resp4[Vínculo],"docente",Resp4[4.34],B11)</f>
        <v>1</v>
      </c>
      <c r="E11" s="4">
        <f>COUNTIF(Resp4[4.34],B11)</f>
        <v>1</v>
      </c>
      <c r="F11" s="4">
        <f t="shared" si="0"/>
        <v>5.88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COUNTIFS(Resp4[Vínculo],"tecnico",Resp4[4.34],B12)</f>
        <v>0</v>
      </c>
      <c r="D12" s="4">
        <f>COUNTIFS(Resp4[Vínculo],"docente",Resp4[4.34],B12)</f>
        <v>4</v>
      </c>
      <c r="E12" s="4">
        <f>COUNTIF(Resp4[4.34],B12)</f>
        <v>4</v>
      </c>
      <c r="F12" s="22">
        <f t="shared" si="0"/>
        <v>23.53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  <c r="G6" s="3"/>
    </row>
    <row r="7" spans="1:7" x14ac:dyDescent="0.25">
      <c r="B7" s="2" t="s">
        <v>203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</v>
      </c>
      <c r="E10" s="4">
        <f>COUNTIF(Resp4[4.02],B10)</f>
        <v>1</v>
      </c>
      <c r="F10" s="3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1</v>
      </c>
      <c r="E11" s="4">
        <f>COUNTIF(Resp4[4.02],B11)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COUNTIFS(Resp4[Vínculo],"docente",Resp4[4.02],B12)</f>
        <v>2</v>
      </c>
      <c r="E12" s="4">
        <f>COUNTIF(Resp4[4.02],B12)</f>
        <v>4</v>
      </c>
      <c r="F12" s="24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100.001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5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COUNTIFS(Resp4[Vínculo],"tecnico",Resp4[4.35],B9)</f>
        <v>0</v>
      </c>
      <c r="D9" s="4">
        <f>COUNTIFS(Resp4[Vínculo],"docente",Resp4[4.35],B9)</f>
        <v>1</v>
      </c>
      <c r="E9" s="4">
        <f>COUNTIF(Resp4[4.35],B9)</f>
        <v>1</v>
      </c>
      <c r="F9" s="4">
        <f t="shared" si="0"/>
        <v>5.88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1</v>
      </c>
      <c r="E10" s="4">
        <f>COUNTIF(Resp4[4.35],B10)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COUNTIFS(Resp4[Vínculo],"tecnico",Resp4[4.35],B11)</f>
        <v>0</v>
      </c>
      <c r="D11" s="4">
        <f>COUNTIFS(Resp4[Vínculo],"docente",Resp4[4.35],B11)</f>
        <v>0</v>
      </c>
      <c r="E11" s="4">
        <f>COUNTIF(Resp4[4.35],B11)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COUNTIFS(Resp4[Vínculo],"tecnico",Resp4[4.35],B12)</f>
        <v>0</v>
      </c>
      <c r="D12" s="4">
        <f>COUNTIFS(Resp4[Vínculo],"docente",Resp4[4.35],B12)</f>
        <v>4</v>
      </c>
      <c r="E12" s="4">
        <f>COUNTIF(Resp4[4.35],B12)</f>
        <v>4</v>
      </c>
      <c r="F12" s="22">
        <f t="shared" si="0"/>
        <v>23.53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COUNTIFS(Resp4[Vínculo],"tecnico",Resp4[4.36],B8)</f>
        <v>0</v>
      </c>
      <c r="D8" s="4">
        <f>COUNTIFS(Resp4[Vínculo],"docente",Resp4[4.36],B8)</f>
        <v>1</v>
      </c>
      <c r="E8" s="4">
        <f>COUNTIF(Resp4[4.36],B8)</f>
        <v>1</v>
      </c>
      <c r="F8" s="4">
        <f t="shared" si="0"/>
        <v>5.88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COUNTIFS(Resp4[Vínculo],"tecnico",Resp4[4.36],B9)</f>
        <v>0</v>
      </c>
      <c r="D9" s="4">
        <f>COUNTIFS(Resp4[Vínculo],"docente",Resp4[4.36],B9)</f>
        <v>1</v>
      </c>
      <c r="E9" s="4">
        <f>COUNTIF(Resp4[4.36],B9)</f>
        <v>1</v>
      </c>
      <c r="F9" s="4">
        <f t="shared" si="0"/>
        <v>5.88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0</v>
      </c>
      <c r="E10" s="4">
        <f>COUNTIF(Resp4[4.36],B10)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COUNTIFS(Resp4[Vínculo],"tecnico",Resp4[4.36],B11)</f>
        <v>0</v>
      </c>
      <c r="D11" s="4">
        <f>COUNTIFS(Resp4[Vínculo],"docente",Resp4[4.36],B11)</f>
        <v>0</v>
      </c>
      <c r="E11" s="4">
        <f>COUNTIF(Resp4[4.36],B11)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COUNTIFS(Resp4[Vínculo],"tecnico",Resp4[4.36],B12)</f>
        <v>0</v>
      </c>
      <c r="D12" s="4">
        <f>COUNTIFS(Resp4[Vínculo],"docente",Resp4[4.36],B12)</f>
        <v>4</v>
      </c>
      <c r="E12" s="4">
        <f>COUNTIF(Resp4[4.36],B12)</f>
        <v>4</v>
      </c>
      <c r="F12" s="22">
        <f t="shared" si="0"/>
        <v>23.53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33.332999999999998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0</v>
      </c>
      <c r="D7" s="4">
        <f>COUNTIFS(Resp4[Vínculo],"docente",Resp4[4.38],B7)</f>
        <v>6</v>
      </c>
      <c r="E7" s="2">
        <f>COUNTIF(Resp4[4.38],B7)</f>
        <v>6</v>
      </c>
      <c r="F7" s="4">
        <f t="shared" ref="F7:F9" si="0">ROUND($E7/E$9*100,2)</f>
        <v>35.29</v>
      </c>
      <c r="G7" s="4">
        <f>ROUND($E7/SUM($E$7:$E$8)*100,2)</f>
        <v>35.29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9</v>
      </c>
      <c r="D8" s="4">
        <f>COUNTIFS(Resp4[Vínculo],"docente",Resp4[4.38],B8)</f>
        <v>2</v>
      </c>
      <c r="E8" s="2">
        <f>COUNTIF(Resp4[4.38],B8)</f>
        <v>11</v>
      </c>
      <c r="F8" s="22">
        <f t="shared" si="0"/>
        <v>64.709999999999994</v>
      </c>
      <c r="G8" s="4">
        <f>ROUND($E8/SUM($E$7:$E$8)*100,2)</f>
        <v>64.709999999999994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2</v>
      </c>
      <c r="E10" s="4">
        <f>COUNTIF(Resp4[4.39],B10)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COUNTIFS(Resp4[Vínculo],"tecnico",Resp4[4.39],B11)</f>
        <v>0</v>
      </c>
      <c r="D11" s="4">
        <f>COUNTIFS(Resp4[Vínculo],"docente",Resp4[4.39],B11)</f>
        <v>1</v>
      </c>
      <c r="E11" s="4">
        <f>COUNTIF(Resp4[4.39],B11)</f>
        <v>1</v>
      </c>
      <c r="F11" s="4">
        <f t="shared" si="0"/>
        <v>5.88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COUNTIFS(Resp4[Vínculo],"tecnico",Resp4[4.39],B12)</f>
        <v>0</v>
      </c>
      <c r="D12" s="4">
        <f>COUNTIFS(Resp4[Vínculo],"docente",Resp4[4.39],B12)</f>
        <v>3</v>
      </c>
      <c r="E12" s="4">
        <f>COUNTIF(Resp4[4.39],B12)</f>
        <v>3</v>
      </c>
      <c r="F12" s="22">
        <f t="shared" si="0"/>
        <v>17.649999999999999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15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2</v>
      </c>
      <c r="E10" s="4">
        <f>COUNTIF(Resp4[4.40],B10)</f>
        <v>2</v>
      </c>
      <c r="F10" s="15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COUNTIFS(Resp4[Vínculo],"tecnico",Resp4[4.40],B11)</f>
        <v>0</v>
      </c>
      <c r="D11" s="4">
        <f>COUNTIFS(Resp4[Vínculo],"docente",Resp4[4.40],B11)</f>
        <v>2</v>
      </c>
      <c r="E11" s="4">
        <f>COUNTIF(Resp4[4.40],B11)</f>
        <v>2</v>
      </c>
      <c r="F11" s="15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COUNTIFS(Resp4[Vínculo],"tecnico",Resp4[4.40],B12)</f>
        <v>0</v>
      </c>
      <c r="D12" s="4">
        <f>COUNTIFS(Resp4[Vínculo],"docente",Resp4[4.40],B12)</f>
        <v>2</v>
      </c>
      <c r="E12" s="4">
        <f>COUNTIF(Resp4[4.40],B12)</f>
        <v>2</v>
      </c>
      <c r="F12" s="19">
        <f t="shared" si="0"/>
        <v>11.76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2</v>
      </c>
      <c r="E10" s="4">
        <f>COUNTIF(Resp4[4.41],B10)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COUNTIFS(Resp4[Vínculo],"tecnico",Resp4[4.41],B11)</f>
        <v>0</v>
      </c>
      <c r="D11" s="4">
        <f>COUNTIFS(Resp4[Vínculo],"docente",Resp4[4.41],B11)</f>
        <v>1</v>
      </c>
      <c r="E11" s="4">
        <f>COUNTIF(Resp4[4.41],B11)</f>
        <v>1</v>
      </c>
      <c r="F11" s="4">
        <f t="shared" si="0"/>
        <v>5.88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COUNTIFS(Resp4[Vínculo],"tecnico",Resp4[4.41],B12)</f>
        <v>0</v>
      </c>
      <c r="D12" s="4">
        <f>COUNTIFS(Resp4[Vínculo],"docente",Resp4[4.41],B12)</f>
        <v>3</v>
      </c>
      <c r="E12" s="4">
        <f>COUNTIF(Resp4[4.41],B12)</f>
        <v>3</v>
      </c>
      <c r="F12" s="22">
        <f t="shared" si="0"/>
        <v>17.649999999999999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2</v>
      </c>
      <c r="E10" s="4">
        <f>COUNTIF(Resp4[4.42],B10)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COUNTIFS(Resp4[Vínculo],"tecnico",Resp4[4.42],B11)</f>
        <v>0</v>
      </c>
      <c r="D11" s="4">
        <f>COUNTIFS(Resp4[Vínculo],"docente",Resp4[4.42],B11)</f>
        <v>2</v>
      </c>
      <c r="E11" s="4">
        <f>COUNTIF(Resp4[4.42],B11)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COUNTIFS(Resp4[Vínculo],"tecnico",Resp4[4.42],B12)</f>
        <v>0</v>
      </c>
      <c r="D12" s="4">
        <f>COUNTIFS(Resp4[Vínculo],"docente",Resp4[4.42],B12)</f>
        <v>2</v>
      </c>
      <c r="E12" s="4">
        <f>COUNTIF(Resp4[4.42],B12)</f>
        <v>2</v>
      </c>
      <c r="F12" s="22">
        <f t="shared" si="0"/>
        <v>11.76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COUNTIFS(Resp4[Vínculo],"tecnico",Resp4[4.43],B8)</f>
        <v>0</v>
      </c>
      <c r="D8" s="4">
        <f>COUNTIFS(Resp4[Vínculo],"docente",Resp4[4.43],B8)</f>
        <v>2</v>
      </c>
      <c r="E8" s="4">
        <f>COUNTIF(Resp4[4.43],B8)</f>
        <v>2</v>
      </c>
      <c r="F8" s="4">
        <f t="shared" si="0"/>
        <v>11.76</v>
      </c>
      <c r="G8" s="3">
        <f t="shared" si="1"/>
        <v>33.332999999999998</v>
      </c>
    </row>
    <row r="9" spans="1:7" x14ac:dyDescent="0.25">
      <c r="B9" s="2" t="s">
        <v>202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2</v>
      </c>
      <c r="E10" s="4">
        <f>COUNTIF(Resp4[4.43],B10)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COUNTIFS(Resp4[Vínculo],"tecnico",Resp4[4.43],B11)</f>
        <v>0</v>
      </c>
      <c r="D11" s="4">
        <f>COUNTIFS(Resp4[Vínculo],"docente",Resp4[4.43],B11)</f>
        <v>2</v>
      </c>
      <c r="E11" s="4">
        <f>COUNTIF(Resp4[4.43],B11)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33.332999999999998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COUNTIFS(Resp4[Vínculo],"tecnico",Resp4[4.44],B11)</f>
        <v>0</v>
      </c>
      <c r="D11" s="4">
        <f>COUNTIFS(Resp4[Vínculo],"docente",Resp4[4.44],B11)</f>
        <v>3</v>
      </c>
      <c r="E11" s="4">
        <f>COUNTIF(Resp4[4.44],B11)</f>
        <v>3</v>
      </c>
      <c r="F11" s="4">
        <f t="shared" si="0"/>
        <v>17.649999999999999</v>
      </c>
      <c r="G11" s="3">
        <f t="shared" si="1"/>
        <v>50</v>
      </c>
    </row>
    <row r="12" spans="1:7" x14ac:dyDescent="0.25">
      <c r="B12" s="7" t="s">
        <v>205</v>
      </c>
      <c r="C12" s="4">
        <f>COUNTIFS(Resp4[Vínculo],"tecnico",Resp4[4.44],B12)</f>
        <v>0</v>
      </c>
      <c r="D12" s="4">
        <f>COUNTIFS(Resp4[Vínculo],"docente",Resp4[4.44],B12)</f>
        <v>3</v>
      </c>
      <c r="E12" s="4">
        <f>COUNTIF(Resp4[4.44],B12)</f>
        <v>3</v>
      </c>
      <c r="F12" s="22">
        <f t="shared" si="0"/>
        <v>17.649999999999999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1</v>
      </c>
      <c r="E10" s="4">
        <f>COUNTIF(Resp4[4.45],B10)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COUNTIFS(Resp4[Vínculo],"tecnico",Resp4[4.45],B11)</f>
        <v>0</v>
      </c>
      <c r="D11" s="4">
        <f>COUNTIFS(Resp4[Vínculo],"docente",Resp4[4.45],B11)</f>
        <v>1</v>
      </c>
      <c r="E11" s="4">
        <f>COUNTIF(Resp4[4.45],B11)</f>
        <v>1</v>
      </c>
      <c r="F11" s="4">
        <f t="shared" si="0"/>
        <v>5.88</v>
      </c>
      <c r="G11" s="3">
        <f t="shared" si="1"/>
        <v>16.667000000000002</v>
      </c>
    </row>
    <row r="12" spans="1:7" x14ac:dyDescent="0.25">
      <c r="B12" s="7" t="s">
        <v>205</v>
      </c>
      <c r="C12" s="4">
        <f>COUNTIFS(Resp4[Vínculo],"tecnico",Resp4[4.45],B12)</f>
        <v>0</v>
      </c>
      <c r="D12" s="4">
        <f>COUNTIFS(Resp4[Vínculo],"docente",Resp4[4.45],B12)</f>
        <v>4</v>
      </c>
      <c r="E12" s="4">
        <f>COUNTIF(Resp4[4.45],B12)</f>
        <v>4</v>
      </c>
      <c r="F12" s="22">
        <f t="shared" si="0"/>
        <v>23.53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5</v>
      </c>
      <c r="E7" s="2">
        <f>COUNTIF(Resp4[4.01],B7)</f>
        <v>7</v>
      </c>
      <c r="F7" s="3">
        <f t="shared" ref="F7:F8" si="0">ROUND($E7/E$9*100,2)</f>
        <v>41.18</v>
      </c>
      <c r="G7" s="4">
        <f>ROUND($E7/SUM($E$7:$E$8)*100,2)</f>
        <v>41.18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7</v>
      </c>
      <c r="D8" s="4">
        <f>COUNTIFS(Resp4[Vínculo],"docente",Resp4[4.01],B8)</f>
        <v>3</v>
      </c>
      <c r="E8" s="2">
        <f>COUNTIF(Resp4[4.01],B8)</f>
        <v>10</v>
      </c>
      <c r="F8" s="24">
        <f t="shared" si="0"/>
        <v>58.82</v>
      </c>
      <c r="G8" s="4">
        <f>ROUND($E8/SUM($E$7:$E$8)*100,2)</f>
        <v>58.82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COUNTIFS(Resp4[Vínculo],"tecnico",Resp4[4.46],B7)</f>
        <v>0</v>
      </c>
      <c r="D7" s="4">
        <f>COUNTIFS(Resp4[Vínculo],"docente",Resp4[4.46],B7)</f>
        <v>1</v>
      </c>
      <c r="E7" s="4">
        <f>COUNTIF(Resp4[4.46],B7)</f>
        <v>1</v>
      </c>
      <c r="F7" s="4">
        <f t="shared" ref="F7:F13" si="0">ROUND($E7/E$13*100,2)</f>
        <v>5.88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1</v>
      </c>
      <c r="E10" s="4">
        <f>COUNTIF(Resp4[4.46],B10)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COUNTIFS(Resp4[Vínculo],"tecnico",Resp4[4.46],B11)</f>
        <v>0</v>
      </c>
      <c r="D11" s="4">
        <f>COUNTIFS(Resp4[Vínculo],"docente",Resp4[4.46],B11)</f>
        <v>0</v>
      </c>
      <c r="E11" s="4">
        <f>COUNTIF(Resp4[4.46],B11)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COUNTIFS(Resp4[Vínculo],"tecnico",Resp4[4.46],B12)</f>
        <v>0</v>
      </c>
      <c r="D12" s="4">
        <f>COUNTIFS(Resp4[Vínculo],"docente",Resp4[4.46],B12)</f>
        <v>4</v>
      </c>
      <c r="E12" s="4">
        <f>COUNTIF(Resp4[4.46],B12)</f>
        <v>4</v>
      </c>
      <c r="F12" s="22">
        <f t="shared" si="0"/>
        <v>23.53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1</v>
      </c>
      <c r="E10" s="4">
        <f>COUNTIF(Resp4[4.47],B10)</f>
        <v>1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COUNTIFS(Resp4[Vínculo],"tecnico",Resp4[4.47],B11)</f>
        <v>0</v>
      </c>
      <c r="D11" s="4">
        <f>COUNTIFS(Resp4[Vínculo],"docente",Resp4[4.47],B11)</f>
        <v>2</v>
      </c>
      <c r="E11" s="4">
        <f>COUNTIF(Resp4[4.47],B11)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COUNTIFS(Resp4[Vínculo],"tecnico",Resp4[4.47],B12)</f>
        <v>0</v>
      </c>
      <c r="D12" s="4">
        <f>COUNTIFS(Resp4[Vínculo],"docente",Resp4[4.47],B12)</f>
        <v>3</v>
      </c>
      <c r="E12" s="4">
        <f>COUNTIF(Resp4[4.47],B12)</f>
        <v>3</v>
      </c>
      <c r="F12" s="22">
        <f t="shared" si="0"/>
        <v>17.649999999999999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2</v>
      </c>
      <c r="E6" s="4">
        <f>E13-SUM(E7:E12)</f>
        <v>11</v>
      </c>
      <c r="F6" s="4">
        <f>ROUND($E6/E$13*100,2)</f>
        <v>64.709999999999994</v>
      </c>
    </row>
    <row r="7" spans="1:7" x14ac:dyDescent="0.25">
      <c r="B7" s="2" t="s">
        <v>203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2</v>
      </c>
      <c r="E10" s="4">
        <f>COUNTIF(Resp4[4.48],B10)</f>
        <v>2</v>
      </c>
      <c r="F10" s="4">
        <f t="shared" si="0"/>
        <v>11.76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COUNTIFS(Resp4[Vínculo],"tecnico",Resp4[4.48],B11)</f>
        <v>0</v>
      </c>
      <c r="D11" s="4">
        <f>COUNTIFS(Resp4[Vínculo],"docente",Resp4[4.48],B11)</f>
        <v>2</v>
      </c>
      <c r="E11" s="4">
        <f>COUNTIF(Resp4[4.48],B11)</f>
        <v>2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COUNTIFS(Resp4[Vínculo],"tecnico",Resp4[4.48],B12)</f>
        <v>0</v>
      </c>
      <c r="D12" s="4">
        <f>COUNTIFS(Resp4[Vínculo],"docente",Resp4[4.48],B12)</f>
        <v>2</v>
      </c>
      <c r="E12" s="4">
        <f>COUNTIF(Resp4[4.48],B12)</f>
        <v>2</v>
      </c>
      <c r="F12" s="22">
        <f t="shared" si="0"/>
        <v>11.76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1</v>
      </c>
      <c r="D7" s="4">
        <f>COUNTIFS(Resp4[Vínculo],"docente",Resp4[4.50],B7)</f>
        <v>4</v>
      </c>
      <c r="E7" s="2">
        <f>COUNTIF(Resp4[4.50],B7)</f>
        <v>5</v>
      </c>
      <c r="F7" s="4">
        <f t="shared" ref="F7:F9" si="0">ROUND($E7/E$9*100,2)</f>
        <v>29.41</v>
      </c>
      <c r="G7" s="4">
        <f>ROUND($E7/SUM($E$7:$E$8)*100,2)</f>
        <v>29.41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8</v>
      </c>
      <c r="D8" s="4">
        <f>COUNTIFS(Resp4[Vínculo],"docente",Resp4[4.50],B8)</f>
        <v>4</v>
      </c>
      <c r="E8" s="2">
        <f>COUNTIF(Resp4[4.50],B8)</f>
        <v>12</v>
      </c>
      <c r="F8" s="22">
        <f t="shared" si="0"/>
        <v>70.59</v>
      </c>
      <c r="G8" s="4">
        <f>ROUND($E8/SUM($E$7:$E$8)*100,2)</f>
        <v>70.59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1</v>
      </c>
      <c r="D7" s="4">
        <f>COUNTIFS(Resp4[Vínculo],"docente",Resp4[4.51],B7)</f>
        <v>4</v>
      </c>
      <c r="E7" s="2">
        <f>COUNTIF(Resp4[4.51],B7)</f>
        <v>5</v>
      </c>
      <c r="F7" s="4">
        <f t="shared" ref="F7:F9" si="0">ROUND($E7/E$9*100,2)</f>
        <v>29.41</v>
      </c>
      <c r="G7" s="4">
        <f>ROUND($E7/SUM($E$7:$E$8)*100,2)</f>
        <v>29.41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8</v>
      </c>
      <c r="D8" s="4">
        <f>COUNTIFS(Resp4[Vínculo],"docente",Resp4[4.51],B8)</f>
        <v>4</v>
      </c>
      <c r="E8" s="2">
        <f>COUNTIF(Resp4[4.51],B8)</f>
        <v>12</v>
      </c>
      <c r="F8" s="22">
        <f t="shared" si="0"/>
        <v>70.59</v>
      </c>
      <c r="G8" s="4">
        <f>ROUND($E8/SUM($E$7:$E$8)*100,2)</f>
        <v>70.59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COUNTIFS(Resp4[Vínculo],"tecnico",Resp4[4.52],B11)</f>
        <v>1</v>
      </c>
      <c r="D11" s="4">
        <f>COUNTIFS(Resp4[Vínculo],"docente",Resp4[4.52],B11)</f>
        <v>3</v>
      </c>
      <c r="E11" s="4">
        <f>COUNTIF(Resp4[4.52],B11)</f>
        <v>4</v>
      </c>
      <c r="F11" s="4">
        <f t="shared" si="0"/>
        <v>23.53</v>
      </c>
      <c r="G11" s="3">
        <f t="shared" si="1"/>
        <v>80</v>
      </c>
    </row>
    <row r="12" spans="1:7" x14ac:dyDescent="0.25">
      <c r="B12" s="7" t="s">
        <v>205</v>
      </c>
      <c r="C12" s="4">
        <f>COUNTIFS(Resp4[Vínculo],"tecnico",Resp4[4.52],B12)</f>
        <v>0</v>
      </c>
      <c r="D12" s="4">
        <f>COUNTIFS(Resp4[Vínculo],"docente",Resp4[4.52],B12)</f>
        <v>1</v>
      </c>
      <c r="E12" s="4">
        <f>COUNTIF(Resp4[4.52],B12)</f>
        <v>1</v>
      </c>
      <c r="F12" s="22">
        <f t="shared" si="0"/>
        <v>5.88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0</v>
      </c>
      <c r="E10" s="4">
        <f>COUNTIF(Resp4[4.53],B10)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COUNTIFS(Resp4[Vínculo],"tecnico",Resp4[4.53],B11)</f>
        <v>0</v>
      </c>
      <c r="D11" s="4">
        <f>COUNTIFS(Resp4[Vínculo],"docente",Resp4[4.53],B11)</f>
        <v>2</v>
      </c>
      <c r="E11" s="4">
        <f>COUNTIF(Resp4[4.53],B11)</f>
        <v>2</v>
      </c>
      <c r="F11" s="4">
        <f t="shared" si="0"/>
        <v>11.76</v>
      </c>
      <c r="G11" s="3">
        <f t="shared" si="1"/>
        <v>40</v>
      </c>
    </row>
    <row r="12" spans="1:7" x14ac:dyDescent="0.25">
      <c r="B12" s="7" t="s">
        <v>205</v>
      </c>
      <c r="C12" s="4">
        <f>COUNTIFS(Resp4[Vínculo],"tecnico",Resp4[4.53],B12)</f>
        <v>1</v>
      </c>
      <c r="D12" s="4">
        <f>COUNTIFS(Resp4[Vínculo],"docente",Resp4[4.53],B12)</f>
        <v>2</v>
      </c>
      <c r="E12" s="4">
        <f>COUNTIF(Resp4[4.53],B12)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3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COUNTIFS(Resp4[Vínculo],"tecnico",Resp4[4.02],B$8)</f>
        <v>0</v>
      </c>
      <c r="D9" s="4">
        <f>COUNTIFS(Resp4[Vínculo],"docente",Resp4[4.02],B9)</f>
        <v>1</v>
      </c>
      <c r="E9" s="4">
        <f>COUNTIF(Resp4[4.54],B9)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1</v>
      </c>
      <c r="E10" s="4">
        <f>COUNTIF(Resp4[4.54],B10)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COUNTIFS(Resp4[Vínculo],"tecnico",Resp4[4.02],B$8)</f>
        <v>0</v>
      </c>
      <c r="D11" s="4">
        <f>COUNTIFS(Resp4[Vínculo],"docente",Resp4[4.02],B11)</f>
        <v>1</v>
      </c>
      <c r="E11" s="4">
        <f>COUNTIF(Resp4[4.54],B11)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COUNTIFS(Resp4[Vínculo],"tecnico",Resp4[4.02],B$8)</f>
        <v>0</v>
      </c>
      <c r="D12" s="4">
        <f>COUNTIFS(Resp4[Vínculo],"docente",Resp4[4.02],B12)</f>
        <v>2</v>
      </c>
      <c r="E12" s="4">
        <f>COUNTIF(Resp4[4.54],B12)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COUNTIFS(Resp4[Vínculo],"tecnico",Resp4[4.55],B9)</f>
        <v>0</v>
      </c>
      <c r="D9" s="4">
        <f>COUNTIFS(Resp4[Vínculo],"docente",Resp4[4.55],B9)</f>
        <v>1</v>
      </c>
      <c r="E9" s="4">
        <f>COUNTIF(Resp4[4.55],B9)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0</v>
      </c>
      <c r="E10" s="4">
        <f>COUNTIF(Resp4[4.55],B10)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COUNTIFS(Resp4[Vínculo],"tecnico",Resp4[4.55],B11)</f>
        <v>0</v>
      </c>
      <c r="D11" s="4">
        <f>COUNTIFS(Resp4[Vínculo],"docente",Resp4[4.55],B11)</f>
        <v>1</v>
      </c>
      <c r="E11" s="4">
        <f>COUNTIF(Resp4[4.55],B11)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COUNTIFS(Resp4[Vínculo],"tecnico",Resp4[4.55],B12)</f>
        <v>1</v>
      </c>
      <c r="D12" s="4">
        <f>COUNTIFS(Resp4[Vínculo],"docente",Resp4[4.55],B12)</f>
        <v>2</v>
      </c>
      <c r="E12" s="4">
        <f>COUNTIF(Resp4[4.55],B12)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COUNTIFS(Resp4[Vínculo],"tecnico",Resp4[4.56],B9)</f>
        <v>0</v>
      </c>
      <c r="D9" s="4">
        <f>COUNTIFS(Resp4[Vínculo],"docente",Resp4[4.56],B9)</f>
        <v>1</v>
      </c>
      <c r="E9" s="4">
        <f>COUNTIF(Resp4[4.56],B9)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0</v>
      </c>
      <c r="E10" s="4">
        <f>COUNTIF(Resp4[4.56],B10)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COUNTIFS(Resp4[Vínculo],"tecnico",Resp4[4.56],B11)</f>
        <v>0</v>
      </c>
      <c r="D11" s="4">
        <f>COUNTIFS(Resp4[Vínculo],"docente",Resp4[4.56],B11)</f>
        <v>1</v>
      </c>
      <c r="E11" s="4">
        <f>COUNTIF(Resp4[4.56],B11)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COUNTIFS(Resp4[Vínculo],"tecnico",Resp4[4.56],B12)</f>
        <v>1</v>
      </c>
      <c r="D12" s="4">
        <f>COUNTIFS(Resp4[Vínculo],"docente",Resp4[4.56],B12)</f>
        <v>2</v>
      </c>
      <c r="E12" s="4">
        <f>COUNTIF(Resp4[4.56],B12)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197</v>
      </c>
      <c r="C7" s="4">
        <f>COUNTIFS(Resp4[Vínculo],"tecnico",Resp4[4.71],B7)</f>
        <v>5</v>
      </c>
      <c r="D7" s="4">
        <f>COUNTIFS(Resp4[Vínculo],"docente",Resp4[4.71],B7)</f>
        <v>2</v>
      </c>
      <c r="E7" s="4">
        <f>COUNTIF(Resp4[4.71],B7)</f>
        <v>7</v>
      </c>
      <c r="F7" s="4">
        <f t="shared" ref="F7:F12" si="0">ROUND($E7/E$13*100,2)</f>
        <v>41.18</v>
      </c>
      <c r="G7" s="3">
        <f t="shared" ref="G7:G12" si="1">ROUND($E7/SUM($E$7:$E$12)*100,3)</f>
        <v>41.176000000000002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5.88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COUNTIFS(Resp4[Vínculo],"tecnico",Resp4[4.71],B11)</f>
        <v>2</v>
      </c>
      <c r="D11" s="4">
        <f>COUNTIFS(Resp4[Vínculo],"docente",Resp4[4.71],B11)</f>
        <v>3</v>
      </c>
      <c r="E11" s="4">
        <f>COUNTIF(Resp4[4.71],B11)</f>
        <v>5</v>
      </c>
      <c r="F11" s="4">
        <f t="shared" si="0"/>
        <v>29.41</v>
      </c>
      <c r="G11" s="3">
        <f t="shared" si="1"/>
        <v>29.411999999999999</v>
      </c>
    </row>
    <row r="12" spans="1:7" x14ac:dyDescent="0.25">
      <c r="B12" s="7" t="s">
        <v>205</v>
      </c>
      <c r="C12" s="4">
        <f>COUNTIFS(Resp4[Vínculo],"tecnico",Resp4[4.71],B12)</f>
        <v>2</v>
      </c>
      <c r="D12" s="4">
        <f>COUNTIFS(Resp4[Vínculo],"docente",Resp4[4.71],B12)</f>
        <v>2</v>
      </c>
      <c r="E12" s="4">
        <f>COUNTIF(Resp4[4.71],B12)</f>
        <v>4</v>
      </c>
      <c r="F12" s="22">
        <f t="shared" si="0"/>
        <v>23.53</v>
      </c>
      <c r="G12" s="3">
        <f t="shared" si="1"/>
        <v>23.529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>SUM(F6:F12)</f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5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12.5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COUNTIFS(Resp4[Vínculo],"tecnico",Resp4[4.57],B7)</f>
        <v>0</v>
      </c>
      <c r="D7" s="4">
        <f>COUNTIFS(Resp4[Vínculo],"docente",Resp4[4.57],B7)</f>
        <v>0</v>
      </c>
      <c r="E7" s="4">
        <f>COUNTIF(Resp4[4.57],B7)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1</v>
      </c>
      <c r="E10" s="4">
        <f>COUNTIF(Resp4[4.57],B10)</f>
        <v>1</v>
      </c>
      <c r="F10" s="4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COUNTIFS(Resp4[Vínculo],"tecnico",Resp4[4.57],B11)</f>
        <v>0</v>
      </c>
      <c r="D11" s="4">
        <f>COUNTIFS(Resp4[Vínculo],"docente",Resp4[4.57],B11)</f>
        <v>1</v>
      </c>
      <c r="E11" s="4">
        <f>COUNTIF(Resp4[4.57],B11)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COUNTIFS(Resp4[Vínculo],"tecnico",Resp4[4.57],B12)</f>
        <v>1</v>
      </c>
      <c r="D12" s="4">
        <f>COUNTIFS(Resp4[Vínculo],"docente",Resp4[4.57],B12)</f>
        <v>2</v>
      </c>
      <c r="E12" s="4">
        <f>COUNTIF(Resp4[4.57],B12)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COUNTIFS(Resp4[Vínculo],"tecnico",Resp4[4.58],B7)</f>
        <v>0</v>
      </c>
      <c r="D7" s="4">
        <f>COUNTIFS(Resp4[Vínculo],"docente",Resp4[4.58],B7)</f>
        <v>1</v>
      </c>
      <c r="E7" s="4">
        <f>COUNTIF(Resp4[4.58],B7)</f>
        <v>1</v>
      </c>
      <c r="F7" s="4">
        <f t="shared" ref="F7:F13" si="0">ROUND($E7/E$13*100,2)</f>
        <v>5.88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COUNTIFS(Resp4[Vínculo],"tecnico",Resp4[4.58],B9)</f>
        <v>0</v>
      </c>
      <c r="D9" s="4">
        <f>COUNTIFS(Resp4[Vínculo],"docente",Resp4[4.58],B9)</f>
        <v>1</v>
      </c>
      <c r="E9" s="4">
        <f>COUNTIF(Resp4[4.58],B9)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1</v>
      </c>
      <c r="E10" s="4">
        <f>COUNTIF(Resp4[4.58],B10)</f>
        <v>1</v>
      </c>
      <c r="F10" s="4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COUNTIFS(Resp4[Vínculo],"tecnico",Resp4[4.58],B11)</f>
        <v>0</v>
      </c>
      <c r="D11" s="4">
        <f>COUNTIFS(Resp4[Vínculo],"docente",Resp4[4.58],B11)</f>
        <v>0</v>
      </c>
      <c r="E11" s="4">
        <f>COUNTIF(Resp4[4.58],B11)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COUNTIFS(Resp4[Vínculo],"tecnico",Resp4[4.58],B12)</f>
        <v>1</v>
      </c>
      <c r="D12" s="4">
        <f>COUNTIFS(Resp4[Vínculo],"docente",Resp4[4.58],B12)</f>
        <v>1</v>
      </c>
      <c r="E12" s="4">
        <f>COUNTIF(Resp4[4.58],B12)</f>
        <v>2</v>
      </c>
      <c r="F12" s="22">
        <f t="shared" si="0"/>
        <v>11.76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COUNTIFS(Resp4[Vínculo],"tecnico",Resp4[4.59],B7)</f>
        <v>0</v>
      </c>
      <c r="D7" s="4">
        <f>COUNTIFS(Resp4[Vínculo],"docente",Resp4[4.59],B7)</f>
        <v>0</v>
      </c>
      <c r="E7" s="4">
        <f>COUNTIF(Resp4[4.59],B7)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COUNTIFS(Resp4[Vínculo],"tecnico",Resp4[4.59],B9)</f>
        <v>0</v>
      </c>
      <c r="D9" s="4">
        <f>COUNTIFS(Resp4[Vínculo],"docente",Resp4[4.59],B9)</f>
        <v>1</v>
      </c>
      <c r="E9" s="4">
        <f>COUNTIF(Resp4[4.59],B9)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COUNTIFS(Resp4[Vínculo],"tecnico",Resp4[4.59],B11)</f>
        <v>0</v>
      </c>
      <c r="D11" s="4">
        <f>COUNTIFS(Resp4[Vínculo],"docente",Resp4[4.59],B11)</f>
        <v>1</v>
      </c>
      <c r="E11" s="4">
        <f>COUNTIF(Resp4[4.59],B11)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COUNTIFS(Resp4[Vínculo],"tecnico",Resp4[4.59],B12)</f>
        <v>1</v>
      </c>
      <c r="D12" s="4">
        <f>COUNTIFS(Resp4[Vínculo],"docente",Resp4[4.59],B12)</f>
        <v>2</v>
      </c>
      <c r="E12" s="4">
        <f>COUNTIF(Resp4[4.59],B12)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COUNTIFS(Resp4[Vínculo],"tecnico",Resp4[4.60],B9)</f>
        <v>0</v>
      </c>
      <c r="D9" s="4">
        <f>COUNTIFS(Resp4[Vínculo],"docente",Resp4[4.60],B9)</f>
        <v>1</v>
      </c>
      <c r="E9" s="4">
        <f>COUNTIF(Resp4[4.60],B9)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0</v>
      </c>
      <c r="E10" s="4">
        <f>COUNTIF(Resp4[4.60],B10)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COUNTIFS(Resp4[Vínculo],"tecnico",Resp4[4.60],B11)</f>
        <v>0</v>
      </c>
      <c r="D11" s="4">
        <f>COUNTIFS(Resp4[Vínculo],"docente",Resp4[4.60],B11)</f>
        <v>1</v>
      </c>
      <c r="E11" s="4">
        <f>COUNTIF(Resp4[4.60],B11)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COUNTIFS(Resp4[Vínculo],"tecnico",Resp4[4.60],B12)</f>
        <v>1</v>
      </c>
      <c r="D12" s="4">
        <f>COUNTIFS(Resp4[Vínculo],"docente",Resp4[4.60],B12)</f>
        <v>2</v>
      </c>
      <c r="E12" s="4">
        <f>COUNTIF(Resp4[4.60],B12)</f>
        <v>3</v>
      </c>
      <c r="F12" s="22">
        <f t="shared" si="0"/>
        <v>17.649999999999999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COUNTIFS(Resp4[Vínculo],"tecnico",Resp4[4.61],B7)</f>
        <v>0</v>
      </c>
      <c r="D7" s="4">
        <f>COUNTIFS(Resp4[Vínculo],"docente",Resp4[4.61],B7)</f>
        <v>0</v>
      </c>
      <c r="E7" s="4">
        <f>COUNTIF(Resp4[4.61],B7)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1</v>
      </c>
      <c r="E10" s="4">
        <f>COUNTIF(Resp4[4.61],B10)</f>
        <v>1</v>
      </c>
      <c r="F10" s="4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COUNTIFS(Resp4[Vínculo],"tecnico",Resp4[4.61],B11)</f>
        <v>1</v>
      </c>
      <c r="D11" s="4">
        <f>COUNTIFS(Resp4[Vínculo],"docente",Resp4[4.61],B11)</f>
        <v>1</v>
      </c>
      <c r="E11" s="4">
        <f>COUNTIF(Resp4[4.61],B11)</f>
        <v>2</v>
      </c>
      <c r="F11" s="4">
        <f t="shared" si="0"/>
        <v>11.76</v>
      </c>
      <c r="G11" s="3">
        <f t="shared" si="1"/>
        <v>40</v>
      </c>
    </row>
    <row r="12" spans="1:7" x14ac:dyDescent="0.25">
      <c r="B12" s="7" t="s">
        <v>205</v>
      </c>
      <c r="C12" s="4">
        <f>COUNTIFS(Resp4[Vínculo],"tecnico",Resp4[4.61],B12)</f>
        <v>0</v>
      </c>
      <c r="D12" s="4">
        <f>COUNTIFS(Resp4[Vínculo],"docente",Resp4[4.61],B12)</f>
        <v>2</v>
      </c>
      <c r="E12" s="4">
        <f>COUNTIF(Resp4[4.61],B12)</f>
        <v>2</v>
      </c>
      <c r="F12" s="22">
        <f t="shared" si="0"/>
        <v>11.76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COUNTIFS(Resp4[Vínculo],"tecnico",Resp4[4.62],B11)</f>
        <v>0</v>
      </c>
      <c r="D11" s="4">
        <f>COUNTIFS(Resp4[Vínculo],"docente",Resp4[4.62],B11)</f>
        <v>0</v>
      </c>
      <c r="E11" s="4">
        <f>COUNTIF(Resp4[4.62],B11)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COUNTIFS(Resp4[Vínculo],"tecnico",Resp4[4.62],B12)</f>
        <v>1</v>
      </c>
      <c r="D12" s="4">
        <f>COUNTIFS(Resp4[Vínculo],"docente",Resp4[4.62],B12)</f>
        <v>4</v>
      </c>
      <c r="E12" s="4">
        <f>COUNTIF(Resp4[4.62],B12)</f>
        <v>5</v>
      </c>
      <c r="F12" s="22">
        <f>ROUND($E12/E$13*100,2)</f>
        <v>29.41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COUNTIFS(Resp4[Vínculo],"tecnico",Resp4[4.63],B11)</f>
        <v>0</v>
      </c>
      <c r="D11" s="4">
        <f>COUNTIFS(Resp4[Vínculo],"docente",Resp4[4.63],B11)</f>
        <v>0</v>
      </c>
      <c r="E11" s="4">
        <f>COUNTIF(Resp4[4.63],B11)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COUNTIFS(Resp4[Vínculo],"tecnico",Resp4[4.63],B12)</f>
        <v>1</v>
      </c>
      <c r="D12" s="4">
        <f>COUNTIFS(Resp4[Vínculo],"docente",Resp4[4.63],B12)</f>
        <v>4</v>
      </c>
      <c r="E12" s="4">
        <f>COUNTIF(Resp4[4.63],B12)</f>
        <v>5</v>
      </c>
      <c r="F12" s="22">
        <f t="shared" si="0"/>
        <v>29.41</v>
      </c>
      <c r="G12" s="3">
        <f t="shared" si="1"/>
        <v>100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COUNTIFS(Resp4[Vínculo],"tecnico",Resp4[4.64],B7)</f>
        <v>0</v>
      </c>
      <c r="D7" s="4">
        <f>COUNTIFS(Resp4[Vínculo],"docente",Resp4[4.64],B7)</f>
        <v>0</v>
      </c>
      <c r="E7" s="4">
        <f>COUNTIF(Resp4[4.64],B7)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COUNTIFS(Resp4[Vínculo],"tecnico",Resp4[4.64],B9)</f>
        <v>0</v>
      </c>
      <c r="D9" s="4">
        <f>COUNTIFS(Resp4[Vínculo],"docente",Resp4[4.64],B9)</f>
        <v>2</v>
      </c>
      <c r="E9" s="4">
        <f>COUNTIF(Resp4[4.64],B9)</f>
        <v>2</v>
      </c>
      <c r="F9" s="4">
        <f t="shared" si="0"/>
        <v>11.76</v>
      </c>
      <c r="G9" s="3">
        <f t="shared" si="1"/>
        <v>40</v>
      </c>
    </row>
    <row r="10" spans="1:7" x14ac:dyDescent="0.25">
      <c r="B10" s="2" t="s">
        <v>30</v>
      </c>
      <c r="C10" s="4">
        <f>COUNTIFS(Resp4[Vínculo],"tecnico",Resp4[4.64],B10)</f>
        <v>1</v>
      </c>
      <c r="D10" s="4">
        <f>COUNTIFS(Resp4[Vínculo],"docente",Resp4[4.64],B10)</f>
        <v>2</v>
      </c>
      <c r="E10" s="4">
        <f>COUNTIF(Resp4[4.64],B10)</f>
        <v>3</v>
      </c>
      <c r="F10" s="4">
        <f t="shared" si="0"/>
        <v>17.649999999999999</v>
      </c>
      <c r="G10" s="3">
        <f t="shared" si="1"/>
        <v>60</v>
      </c>
    </row>
    <row r="11" spans="1:7" x14ac:dyDescent="0.25">
      <c r="B11" s="2" t="s">
        <v>200</v>
      </c>
      <c r="C11" s="4">
        <f>COUNTIFS(Resp4[Vínculo],"tecnico",Resp4[4.64],B11)</f>
        <v>0</v>
      </c>
      <c r="D11" s="4">
        <f>COUNTIFS(Resp4[Vínculo],"docente",Resp4[4.64],B11)</f>
        <v>0</v>
      </c>
      <c r="E11" s="4">
        <f>COUNTIF(Resp4[4.64],B11)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COUNTIFS(Resp4[Vínculo],"tecnico",Resp4[4.65],B7)</f>
        <v>0</v>
      </c>
      <c r="D7" s="4">
        <f>COUNTIFS(Resp4[Vínculo],"docente",Resp4[4.65],B7)</f>
        <v>0</v>
      </c>
      <c r="E7" s="4">
        <f>COUNTIF(Resp4[4.65],B7)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COUNTIFS(Resp4[Vínculo],"tecnico",Resp4[4.65],B9)</f>
        <v>0</v>
      </c>
      <c r="D9" s="4">
        <f>COUNTIFS(Resp4[Vínculo],"docente",Resp4[4.65],B9)</f>
        <v>2</v>
      </c>
      <c r="E9" s="4">
        <f>COUNTIF(Resp4[4.65],B9)</f>
        <v>2</v>
      </c>
      <c r="F9" s="4">
        <f t="shared" si="0"/>
        <v>11.76</v>
      </c>
      <c r="G9" s="3">
        <f t="shared" si="1"/>
        <v>40</v>
      </c>
    </row>
    <row r="10" spans="1:7" x14ac:dyDescent="0.25">
      <c r="B10" s="2" t="s">
        <v>30</v>
      </c>
      <c r="C10" s="4">
        <f>COUNTIFS(Resp4[Vínculo],"tecnico",Resp4[4.65],B10)</f>
        <v>1</v>
      </c>
      <c r="D10" s="4">
        <f>COUNTIFS(Resp4[Vínculo],"docente",Resp4[4.65],B10)</f>
        <v>2</v>
      </c>
      <c r="E10" s="4">
        <f>COUNTIF(Resp4[4.65],B10)</f>
        <v>3</v>
      </c>
      <c r="F10" s="4">
        <f t="shared" si="0"/>
        <v>17.649999999999999</v>
      </c>
      <c r="G10" s="3">
        <f t="shared" si="1"/>
        <v>60</v>
      </c>
    </row>
    <row r="11" spans="1:7" x14ac:dyDescent="0.25">
      <c r="B11" s="2" t="s">
        <v>200</v>
      </c>
      <c r="C11" s="4">
        <f>COUNTIFS(Resp4[Vínculo],"tecnico",Resp4[4.65],B11)</f>
        <v>0</v>
      </c>
      <c r="D11" s="4">
        <f>COUNTIFS(Resp4[Vínculo],"docente",Resp4[4.65],B11)</f>
        <v>0</v>
      </c>
      <c r="E11" s="4">
        <f>COUNTIF(Resp4[4.65],B11)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1</v>
      </c>
      <c r="E10" s="4">
        <f>COUNTIF(Resp4[4.66],B10)</f>
        <v>1</v>
      </c>
      <c r="F10" s="4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COUNTIFS(Resp4[Vínculo],"tecnico",Resp4[4.66],B11)</f>
        <v>1</v>
      </c>
      <c r="D11" s="4">
        <f>COUNTIFS(Resp4[Vínculo],"docente",Resp4[4.66],B11)</f>
        <v>1</v>
      </c>
      <c r="E11" s="4">
        <f>COUNTIF(Resp4[4.66],B11)</f>
        <v>2</v>
      </c>
      <c r="F11" s="4">
        <f t="shared" si="0"/>
        <v>11.76</v>
      </c>
      <c r="G11" s="3">
        <f t="shared" si="1"/>
        <v>40</v>
      </c>
    </row>
    <row r="12" spans="1:7" x14ac:dyDescent="0.25">
      <c r="B12" s="7" t="s">
        <v>205</v>
      </c>
      <c r="C12" s="4">
        <f>COUNTIFS(Resp4[Vínculo],"tecnico",Resp4[4.66],B12)</f>
        <v>0</v>
      </c>
      <c r="D12" s="4">
        <f>COUNTIFS(Resp4[Vínculo],"docente",Resp4[4.66],B12)</f>
        <v>2</v>
      </c>
      <c r="E12" s="4">
        <f>COUNTIF(Resp4[4.66],B12)</f>
        <v>2</v>
      </c>
      <c r="F12" s="22">
        <f t="shared" si="0"/>
        <v>11.76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5</v>
      </c>
      <c r="E7" s="2">
        <f>COUNTIF(Resp4[4.01],B7)</f>
        <v>7</v>
      </c>
      <c r="F7" s="3">
        <f t="shared" ref="F7:F9" si="0">ROUND($E7/E$9*100,2)</f>
        <v>41.18</v>
      </c>
      <c r="G7" s="4">
        <f>ROUND($E7/SUM($E$7:$E$8)*100,2)</f>
        <v>41.18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7</v>
      </c>
      <c r="D8" s="4">
        <f>COUNTIFS(Resp4[Vínculo],"docente",Resp4[4.01],B8)</f>
        <v>3</v>
      </c>
      <c r="E8" s="2">
        <f>COUNTIF(Resp4[4.01],B8)</f>
        <v>10</v>
      </c>
      <c r="F8" s="24">
        <f t="shared" si="0"/>
        <v>58.82</v>
      </c>
      <c r="G8" s="4">
        <f>ROUND($E8/SUM($E$7:$E$8)*100,2)</f>
        <v>58.82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15">
        <f>ROUND($E6/E$13*100,2)</f>
        <v>70.59</v>
      </c>
    </row>
    <row r="7" spans="1:7" x14ac:dyDescent="0.25">
      <c r="B7" s="2" t="s">
        <v>203</v>
      </c>
      <c r="C7" s="4">
        <f>COUNTIFS(Resp4[Vínculo],"tecnico",Resp4[4.67],B7)</f>
        <v>0</v>
      </c>
      <c r="D7" s="4">
        <f>COUNTIFS(Resp4[Vínculo],"docente",Resp4[4.67],B7)</f>
        <v>0</v>
      </c>
      <c r="E7" s="4">
        <f>COUNTIF(Resp4[4.67],B7)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COUNTIFS(Resp4[Vínculo],"tecnico",Resp4[4.67],B8)</f>
        <v>0</v>
      </c>
      <c r="D8" s="4">
        <f>COUNTIFS(Resp4[Vínculo],"docente",Resp4[4.67],B8)</f>
        <v>1</v>
      </c>
      <c r="E8" s="4">
        <f>COUNTIF(Resp4[4.67],B8)</f>
        <v>1</v>
      </c>
      <c r="F8" s="15">
        <f t="shared" si="0"/>
        <v>5.88</v>
      </c>
      <c r="G8" s="3">
        <f t="shared" si="1"/>
        <v>20</v>
      </c>
    </row>
    <row r="9" spans="1:7" x14ac:dyDescent="0.25">
      <c r="B9" s="2" t="s">
        <v>202</v>
      </c>
      <c r="C9" s="4">
        <f>COUNTIFS(Resp4[Vínculo],"tecnico",Resp4[4.67],B9)</f>
        <v>0</v>
      </c>
      <c r="D9" s="4">
        <f>COUNTIFS(Resp4[Vínculo],"docente",Resp4[4.67],B9)</f>
        <v>1</v>
      </c>
      <c r="E9" s="4">
        <f>COUNTIF(Resp4[4.67],B9)</f>
        <v>1</v>
      </c>
      <c r="F9" s="15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1</v>
      </c>
      <c r="E10" s="4">
        <f>COUNTIF(Resp4[4.67],B10)</f>
        <v>1</v>
      </c>
      <c r="F10" s="15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COUNTIFS(Resp4[Vínculo],"tecnico",Resp4[4.67],B11)</f>
        <v>1</v>
      </c>
      <c r="D11" s="4">
        <f>COUNTIFS(Resp4[Vínculo],"docente",Resp4[4.67],B11)</f>
        <v>0</v>
      </c>
      <c r="E11" s="4">
        <f>COUNTIF(Resp4[4.67],B11)</f>
        <v>1</v>
      </c>
      <c r="F11" s="15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COUNTIFS(Resp4[Vínculo],"tecnico",Resp4[4.67],B12)</f>
        <v>0</v>
      </c>
      <c r="D12" s="4">
        <f>COUNTIFS(Resp4[Vínculo],"docente",Resp4[4.67],B12)</f>
        <v>1</v>
      </c>
      <c r="E12" s="4">
        <f>COUNTIF(Resp4[4.67],B12)</f>
        <v>1</v>
      </c>
      <c r="F12" s="19">
        <f t="shared" si="0"/>
        <v>5.88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COUNTIFS(Resp4[Vínculo],"tecnico",Resp4[4.68],B7)</f>
        <v>0</v>
      </c>
      <c r="D7" s="4">
        <f>COUNTIFS(Resp4[Vínculo],"docente",Resp4[4.68],B7)</f>
        <v>0</v>
      </c>
      <c r="E7" s="4">
        <f>COUNTIF(Resp4[4.68],B7)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COUNTIFS(Resp4[Vínculo],"tecnico",Resp4[4.68],B8)</f>
        <v>0</v>
      </c>
      <c r="D8" s="4">
        <f>COUNTIFS(Resp4[Vínculo],"docente",Resp4[4.68],B8)</f>
        <v>1</v>
      </c>
      <c r="E8" s="4">
        <f>COUNTIF(Resp4[4.68],B8)</f>
        <v>1</v>
      </c>
      <c r="F8" s="4">
        <f t="shared" si="0"/>
        <v>5.88</v>
      </c>
      <c r="G8" s="3">
        <f t="shared" si="1"/>
        <v>20</v>
      </c>
    </row>
    <row r="9" spans="1:7" x14ac:dyDescent="0.25">
      <c r="B9" s="2" t="s">
        <v>202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1</v>
      </c>
      <c r="E10" s="4">
        <f>COUNTIF(Resp4[4.68],B10)</f>
        <v>1</v>
      </c>
      <c r="F10" s="4">
        <f t="shared" si="0"/>
        <v>5.88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COUNTIFS(Resp4[Vínculo],"tecnico",Resp4[4.68],B11)</f>
        <v>1</v>
      </c>
      <c r="D11" s="4">
        <f>COUNTIFS(Resp4[Vínculo],"docente",Resp4[4.68],B11)</f>
        <v>0</v>
      </c>
      <c r="E11" s="4">
        <f>COUNTIF(Resp4[4.68],B11)</f>
        <v>1</v>
      </c>
      <c r="F11" s="4">
        <f t="shared" si="0"/>
        <v>5.88</v>
      </c>
      <c r="G11" s="3">
        <f t="shared" si="1"/>
        <v>20</v>
      </c>
    </row>
    <row r="12" spans="1:7" x14ac:dyDescent="0.25">
      <c r="B12" s="7" t="s">
        <v>205</v>
      </c>
      <c r="C12" s="4">
        <f>COUNTIFS(Resp4[Vínculo],"tecnico",Resp4[4.68],B12)</f>
        <v>0</v>
      </c>
      <c r="D12" s="4">
        <f>COUNTIFS(Resp4[Vínculo],"docente",Resp4[4.68],B12)</f>
        <v>2</v>
      </c>
      <c r="E12" s="4">
        <f>COUNTIF(Resp4[4.68],B12)</f>
        <v>2</v>
      </c>
      <c r="F12" s="22">
        <f t="shared" si="0"/>
        <v>11.76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4</v>
      </c>
      <c r="E6" s="4">
        <f>E13-SUM(E7:E12)</f>
        <v>12</v>
      </c>
      <c r="F6" s="4">
        <f>ROUND($E6/E$13*100,2)</f>
        <v>70.59</v>
      </c>
    </row>
    <row r="7" spans="1:7" x14ac:dyDescent="0.25">
      <c r="B7" s="2" t="s">
        <v>203</v>
      </c>
      <c r="C7" s="4">
        <f>COUNTIFS(Resp4[Vínculo],"tecnico",Resp4[4.69],B7)</f>
        <v>0</v>
      </c>
      <c r="D7" s="4">
        <f>COUNTIFS(Resp4[Vínculo],"docente",Resp4[4.69],B7)</f>
        <v>0</v>
      </c>
      <c r="E7" s="4">
        <f>COUNTIF(Resp4[4.69],B7)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COUNTIFS(Resp4[Vínculo],"tecnico",Resp4[4.69],B9)</f>
        <v>0</v>
      </c>
      <c r="D9" s="4">
        <f>COUNTIFS(Resp4[Vínculo],"docente",Resp4[4.69],B9)</f>
        <v>1</v>
      </c>
      <c r="E9" s="4">
        <f>COUNTIF(Resp4[4.69],B9)</f>
        <v>1</v>
      </c>
      <c r="F9" s="4">
        <f t="shared" si="0"/>
        <v>5.88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0</v>
      </c>
      <c r="E10" s="4">
        <f>COUNTIF(Resp4[4.69],B10)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COUNTIFS(Resp4[Vínculo],"tecnico",Resp4[4.69],B11)</f>
        <v>1</v>
      </c>
      <c r="D11" s="4">
        <f>COUNTIFS(Resp4[Vínculo],"docente",Resp4[4.69],B11)</f>
        <v>1</v>
      </c>
      <c r="E11" s="4">
        <f>COUNTIF(Resp4[4.69],B11)</f>
        <v>2</v>
      </c>
      <c r="F11" s="4">
        <f t="shared" si="0"/>
        <v>11.76</v>
      </c>
      <c r="G11" s="3">
        <f t="shared" si="1"/>
        <v>40</v>
      </c>
    </row>
    <row r="12" spans="1:7" x14ac:dyDescent="0.25">
      <c r="B12" s="7" t="s">
        <v>205</v>
      </c>
      <c r="C12" s="4">
        <f>COUNTIFS(Resp4[Vínculo],"tecnico",Resp4[4.69],B12)</f>
        <v>0</v>
      </c>
      <c r="D12" s="4">
        <f>COUNTIFS(Resp4[Vínculo],"docente",Resp4[4.69],B12)</f>
        <v>2</v>
      </c>
      <c r="E12" s="4">
        <f>COUNTIF(Resp4[4.69],B12)</f>
        <v>2</v>
      </c>
      <c r="F12" s="22">
        <f t="shared" si="0"/>
        <v>11.76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197</v>
      </c>
      <c r="C7" s="4">
        <f>COUNTIFS(Resp4[Vínculo],"tecnico",Resp4[4.71],B7)</f>
        <v>5</v>
      </c>
      <c r="D7" s="4">
        <f>COUNTIFS(Resp4[Vínculo],"docente",Resp4[4.71],B7)</f>
        <v>2</v>
      </c>
      <c r="E7" s="4">
        <f>COUNTIF(Resp4[4.71],B7)</f>
        <v>7</v>
      </c>
      <c r="F7" s="4">
        <f t="shared" ref="F7:F13" si="0">ROUND($E7/E$13*100,2)</f>
        <v>41.18</v>
      </c>
      <c r="G7" s="3">
        <f t="shared" ref="G7:G12" si="1">ROUND($E7/SUM($E$7:$E$12)*100,3)</f>
        <v>41.176000000000002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5.88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COUNTIFS(Resp4[Vínculo],"tecnico",Resp4[4.71],B11)</f>
        <v>2</v>
      </c>
      <c r="D11" s="4">
        <f>COUNTIFS(Resp4[Vínculo],"docente",Resp4[4.71],B11)</f>
        <v>3</v>
      </c>
      <c r="E11" s="4">
        <f>COUNTIF(Resp4[4.71],B11)</f>
        <v>5</v>
      </c>
      <c r="F11" s="4">
        <f t="shared" si="0"/>
        <v>29.41</v>
      </c>
      <c r="G11" s="3">
        <f t="shared" si="1"/>
        <v>29.411999999999999</v>
      </c>
    </row>
    <row r="12" spans="1:7" x14ac:dyDescent="0.25">
      <c r="B12" s="7" t="s">
        <v>205</v>
      </c>
      <c r="C12" s="4">
        <f>COUNTIFS(Resp4[Vínculo],"tecnico",Resp4[4.71],B12)</f>
        <v>2</v>
      </c>
      <c r="D12" s="4">
        <f>COUNTIFS(Resp4[Vínculo],"docente",Resp4[4.71],B12)</f>
        <v>2</v>
      </c>
      <c r="E12" s="4">
        <f>COUNTIF(Resp4[4.71],B12)</f>
        <v>4</v>
      </c>
      <c r="F12" s="22">
        <f t="shared" si="0"/>
        <v>23.53</v>
      </c>
      <c r="G12" s="3">
        <f t="shared" si="1"/>
        <v>23.529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5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12.5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s="90" t="s">
        <v>197</v>
      </c>
      <c r="C7" s="4">
        <f>COUNTIFS(Resp4[Vínculo],"tecnico",Resp4[4.72],B7)</f>
        <v>4</v>
      </c>
      <c r="D7" s="4">
        <f>COUNTIFS(Resp4[Vínculo],"docente",Resp4[4.72],B7)</f>
        <v>2</v>
      </c>
      <c r="E7" s="4">
        <f>COUNTIF(Resp4[4.72],B7)</f>
        <v>6</v>
      </c>
      <c r="F7" s="4">
        <f t="shared" ref="F7:F13" si="0">ROUND($E7/E$13*100,2)</f>
        <v>35.29</v>
      </c>
      <c r="G7" s="3">
        <f t="shared" ref="G7:G12" si="1">ROUND($E7/SUM($E$7:$E$12)*100,3)</f>
        <v>35.293999999999997</v>
      </c>
    </row>
    <row r="8" spans="1:7" x14ac:dyDescent="0.25">
      <c r="B8" s="2" t="s">
        <v>204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COUNTIFS(Resp4[Vínculo],"tecnico",Resp4[4.72],B9)</f>
        <v>1</v>
      </c>
      <c r="D9" s="4">
        <f>COUNTIFS(Resp4[Vínculo],"docente",Resp4[4.72],B9)</f>
        <v>0</v>
      </c>
      <c r="E9" s="4">
        <f>COUNTIF(Resp4[4.72],B9)</f>
        <v>1</v>
      </c>
      <c r="F9" s="4">
        <f t="shared" si="0"/>
        <v>5.88</v>
      </c>
      <c r="G9" s="3">
        <f t="shared" si="1"/>
        <v>5.8819999999999997</v>
      </c>
    </row>
    <row r="10" spans="1:7" x14ac:dyDescent="0.25">
      <c r="B10" s="2" t="s">
        <v>30</v>
      </c>
      <c r="C10" s="4">
        <f>COUNTIFS(Resp4[Vínculo],"tecnico",Resp4[4.72],B10)</f>
        <v>0</v>
      </c>
      <c r="D10" s="4">
        <f>COUNTIFS(Resp4[Vínculo],"docente",Resp4[4.72],B10)</f>
        <v>0</v>
      </c>
      <c r="E10" s="4">
        <f>COUNTIF(Resp4[4.72],B10)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COUNTIFS(Resp4[Vínculo],"tecnico",Resp4[4.72],B11)</f>
        <v>2</v>
      </c>
      <c r="D11" s="4">
        <f>COUNTIFS(Resp4[Vínculo],"docente",Resp4[4.72],B11)</f>
        <v>3</v>
      </c>
      <c r="E11" s="4">
        <f>COUNTIF(Resp4[4.72],B11)</f>
        <v>5</v>
      </c>
      <c r="F11" s="4">
        <f t="shared" si="0"/>
        <v>29.41</v>
      </c>
      <c r="G11" s="3">
        <f t="shared" si="1"/>
        <v>29.411999999999999</v>
      </c>
    </row>
    <row r="12" spans="1:7" x14ac:dyDescent="0.25">
      <c r="B12" s="7" t="s">
        <v>205</v>
      </c>
      <c r="C12" s="4">
        <f>COUNTIFS(Resp4[Vínculo],"tecnico",Resp4[4.72],B12)</f>
        <v>2</v>
      </c>
      <c r="D12" s="4">
        <f>COUNTIFS(Resp4[Vínculo],"docente",Resp4[4.72],B12)</f>
        <v>3</v>
      </c>
      <c r="E12" s="4">
        <f>COUNTIF(Resp4[4.72],B12)</f>
        <v>5</v>
      </c>
      <c r="F12" s="22">
        <f t="shared" si="0"/>
        <v>29.41</v>
      </c>
      <c r="G12" s="3">
        <f t="shared" si="1"/>
        <v>29.411999999999999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11.111000000000001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4</v>
      </c>
      <c r="E19" s="15">
        <f t="shared" ref="E19:E21" si="2">ROUND(D19/SUM(D$18:D$21)*100,3)</f>
        <v>44.444000000000003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s="90" t="s">
        <v>197</v>
      </c>
      <c r="C7" s="4">
        <f>COUNTIFS(Resp4[Vínculo],"tecnico",Resp4[4.73],B7)</f>
        <v>4</v>
      </c>
      <c r="D7" s="4">
        <f>COUNTIFS(Resp4[Vínculo],"docente",Resp4[4.73],B7)</f>
        <v>2</v>
      </c>
      <c r="E7" s="4">
        <f>COUNTIF(Resp4[4.73],B7)</f>
        <v>6</v>
      </c>
      <c r="F7" s="4">
        <f t="shared" ref="F7:F12" si="0">ROUND($E7/E$13*100,2)</f>
        <v>35.29</v>
      </c>
      <c r="G7" s="3">
        <f t="shared" ref="G7:G12" si="1">ROUND($E7/SUM($E$7:$E$12)*100,3)</f>
        <v>35.293999999999997</v>
      </c>
    </row>
    <row r="8" spans="1:7" x14ac:dyDescent="0.25">
      <c r="B8" s="2" t="s">
        <v>204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1</v>
      </c>
      <c r="D10" s="4">
        <f>COUNTIFS(Resp4[Vínculo],"docente",Resp4[4.73],B10)</f>
        <v>0</v>
      </c>
      <c r="E10" s="4">
        <f>COUNTIF(Resp4[4.73],B10)</f>
        <v>1</v>
      </c>
      <c r="F10" s="4">
        <f t="shared" si="0"/>
        <v>5.88</v>
      </c>
      <c r="G10" s="3">
        <f t="shared" si="1"/>
        <v>5.8819999999999997</v>
      </c>
    </row>
    <row r="11" spans="1:7" x14ac:dyDescent="0.25">
      <c r="B11" s="2" t="s">
        <v>200</v>
      </c>
      <c r="C11" s="4">
        <f>COUNTIFS(Resp4[Vínculo],"tecnico",Resp4[4.73],B11)</f>
        <v>2</v>
      </c>
      <c r="D11" s="4">
        <f>COUNTIFS(Resp4[Vínculo],"docente",Resp4[4.73],B11)</f>
        <v>5</v>
      </c>
      <c r="E11" s="4">
        <f>COUNTIF(Resp4[4.73],B11)</f>
        <v>7</v>
      </c>
      <c r="F11" s="4">
        <f t="shared" si="0"/>
        <v>41.18</v>
      </c>
      <c r="G11" s="3">
        <f t="shared" si="1"/>
        <v>41.176000000000002</v>
      </c>
    </row>
    <row r="12" spans="1:7" x14ac:dyDescent="0.25">
      <c r="B12" s="7" t="s">
        <v>205</v>
      </c>
      <c r="C12" s="4">
        <f>COUNTIFS(Resp4[Vínculo],"tecnico",Resp4[4.73],B12)</f>
        <v>2</v>
      </c>
      <c r="D12" s="4">
        <f>COUNTIFS(Resp4[Vínculo],"docente",Resp4[4.73],B12)</f>
        <v>1</v>
      </c>
      <c r="E12" s="4">
        <f>COUNTIF(Resp4[4.73],B12)</f>
        <v>3</v>
      </c>
      <c r="F12" s="22">
        <f t="shared" si="0"/>
        <v>17.649999999999999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>ROUND($E13/E$13*100,2)</f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4</v>
      </c>
      <c r="E19" s="15">
        <f t="shared" ref="E19:E21" si="2">ROUND(D19/SUM(D$18:D$21)*100,3)</f>
        <v>44.444000000000003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11.111000000000001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197</v>
      </c>
      <c r="C7" s="4">
        <f>COUNTIFS(Resp4[Vínculo],"tecnico",Resp4[4.74],B7)</f>
        <v>5</v>
      </c>
      <c r="D7" s="4">
        <f>COUNTIFS(Resp4[Vínculo],"docente",Resp4[4.74],B7)</f>
        <v>2</v>
      </c>
      <c r="E7" s="4">
        <f>COUNTIF(Resp4[4.74],B7)</f>
        <v>7</v>
      </c>
      <c r="F7" s="4">
        <f t="shared" ref="F7:F13" si="0">ROUND($E7/E$13*100,2)</f>
        <v>41.18</v>
      </c>
      <c r="G7" s="3">
        <f t="shared" ref="G7:G12" si="1">ROUND($E7/SUM($E$7:$E$12)*100,3)</f>
        <v>41.176000000000002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1</v>
      </c>
      <c r="E10" s="4">
        <f>COUNTIF(Resp4[4.74],B10)</f>
        <v>1</v>
      </c>
      <c r="F10" s="4">
        <f t="shared" si="0"/>
        <v>5.88</v>
      </c>
      <c r="G10" s="3">
        <f t="shared" si="1"/>
        <v>5.8819999999999997</v>
      </c>
    </row>
    <row r="11" spans="1:7" x14ac:dyDescent="0.25">
      <c r="B11" s="2" t="s">
        <v>200</v>
      </c>
      <c r="C11" s="4">
        <f>COUNTIFS(Resp4[Vínculo],"tecnico",Resp4[4.74],B11)</f>
        <v>2</v>
      </c>
      <c r="D11" s="4">
        <f>COUNTIFS(Resp4[Vínculo],"docente",Resp4[4.74],B11)</f>
        <v>3</v>
      </c>
      <c r="E11" s="4">
        <f>COUNTIF(Resp4[4.74],B11)</f>
        <v>5</v>
      </c>
      <c r="F11" s="4">
        <f t="shared" si="0"/>
        <v>29.41</v>
      </c>
      <c r="G11" s="3">
        <f t="shared" si="1"/>
        <v>29.411999999999999</v>
      </c>
    </row>
    <row r="12" spans="1:7" x14ac:dyDescent="0.25">
      <c r="B12" s="7" t="s">
        <v>205</v>
      </c>
      <c r="C12" s="4">
        <f>COUNTIFS(Resp4[Vínculo],"tecnico",Resp4[4.74],B12)</f>
        <v>2</v>
      </c>
      <c r="D12" s="4">
        <f>COUNTIFS(Resp4[Vínculo],"docente",Resp4[4.74],B12)</f>
        <v>2</v>
      </c>
      <c r="E12" s="4">
        <f>COUNTIF(Resp4[4.74],B12)</f>
        <v>4</v>
      </c>
      <c r="F12" s="22">
        <f t="shared" si="0"/>
        <v>23.53</v>
      </c>
      <c r="G12" s="3">
        <f t="shared" si="1"/>
        <v>23.529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5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</v>
      </c>
      <c r="E6" s="4">
        <f>E13-SUM(E7:E12)</f>
        <v>1</v>
      </c>
      <c r="F6" s="4">
        <f>ROUND($E6/E$13*100,2)</f>
        <v>5.88</v>
      </c>
    </row>
    <row r="7" spans="1:7" x14ac:dyDescent="0.25">
      <c r="B7" t="s">
        <v>197</v>
      </c>
      <c r="C7" s="4">
        <f>COUNTIFS(Resp4[Vínculo],"tecnico",Resp4[4.75],B7)</f>
        <v>5</v>
      </c>
      <c r="D7" s="4">
        <f>COUNTIFS(Resp4[Vínculo],"docente",Resp4[4.75],B7)</f>
        <v>2</v>
      </c>
      <c r="E7" s="4">
        <f>COUNTIF(Resp4[4.75],B7)</f>
        <v>7</v>
      </c>
      <c r="F7" s="4">
        <f t="shared" ref="F7:F12" si="0">ROUND($E7/E$13*100,2)</f>
        <v>41.18</v>
      </c>
      <c r="G7" s="3">
        <f t="shared" ref="G7:G12" si="1">ROUND($E7/SUM($E$7:$E$12)*100,3)</f>
        <v>43.75</v>
      </c>
    </row>
    <row r="8" spans="1:7" x14ac:dyDescent="0.25">
      <c r="B8" s="2" t="s">
        <v>204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0</v>
      </c>
      <c r="E10" s="4">
        <f>COUNTIF(Resp4[4.75],B10)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COUNTIFS(Resp4[Vínculo],"tecnico",Resp4[4.75],B11)</f>
        <v>2</v>
      </c>
      <c r="D11" s="4">
        <f>COUNTIFS(Resp4[Vínculo],"docente",Resp4[4.75],B11)</f>
        <v>3</v>
      </c>
      <c r="E11" s="4">
        <f>COUNTIF(Resp4[4.75],B11)</f>
        <v>5</v>
      </c>
      <c r="F11" s="4">
        <f t="shared" si="0"/>
        <v>29.41</v>
      </c>
      <c r="G11" s="3">
        <f t="shared" si="1"/>
        <v>31.25</v>
      </c>
    </row>
    <row r="12" spans="1:7" x14ac:dyDescent="0.25">
      <c r="B12" s="7" t="s">
        <v>205</v>
      </c>
      <c r="C12" s="4">
        <f>COUNTIFS(Resp4[Vínculo],"tecnico",Resp4[4.75],B12)</f>
        <v>2</v>
      </c>
      <c r="D12" s="4">
        <f>COUNTIFS(Resp4[Vínculo],"docente",Resp4[4.75],B12)</f>
        <v>2</v>
      </c>
      <c r="E12" s="4">
        <f>COUNTIF(Resp4[4.75],B12)</f>
        <v>4</v>
      </c>
      <c r="F12" s="22">
        <f t="shared" si="0"/>
        <v>23.53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5</v>
      </c>
      <c r="E19" s="15">
        <f t="shared" ref="E19:E21" si="2">ROUND(D19/SUM(D$18:D$21)*100,3)</f>
        <v>55.555999999999997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44.444000000000003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28.571000000000002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1</v>
      </c>
      <c r="E6" s="4">
        <f>E13-SUM(E7:E12)</f>
        <v>2</v>
      </c>
      <c r="F6" s="4">
        <f>ROUND($E6/E$13*100,2)</f>
        <v>11.76</v>
      </c>
    </row>
    <row r="7" spans="1:7" x14ac:dyDescent="0.25">
      <c r="B7" t="s">
        <v>197</v>
      </c>
      <c r="C7" s="4">
        <f>COUNTIFS(Resp4[Vínculo],"tecnico",Resp4[4.76],B7)</f>
        <v>4</v>
      </c>
      <c r="D7" s="4">
        <f>COUNTIFS(Resp4[Vínculo],"docente",Resp4[4.76],B7)</f>
        <v>2</v>
      </c>
      <c r="E7" s="4">
        <f>COUNTIF(Resp4[4.76],B7)</f>
        <v>6</v>
      </c>
      <c r="F7" s="4">
        <f t="shared" ref="F7:F12" si="0">ROUND($E7/E$13*100,2)</f>
        <v>35.29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1</v>
      </c>
      <c r="D10" s="4">
        <f>COUNTIFS(Resp4[Vínculo],"docente",Resp4[4.76],B10)</f>
        <v>0</v>
      </c>
      <c r="E10" s="4">
        <f>COUNTIF(Resp4[4.76],B10)</f>
        <v>1</v>
      </c>
      <c r="F10" s="4">
        <f t="shared" si="0"/>
        <v>5.88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COUNTIFS(Resp4[Vínculo],"tecnico",Resp4[4.76],B11)</f>
        <v>1</v>
      </c>
      <c r="D11" s="4">
        <f>COUNTIFS(Resp4[Vínculo],"docente",Resp4[4.76],B11)</f>
        <v>4</v>
      </c>
      <c r="E11" s="4">
        <f>COUNTIF(Resp4[4.76],B11)</f>
        <v>5</v>
      </c>
      <c r="F11" s="4">
        <f t="shared" si="0"/>
        <v>29.41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COUNTIFS(Resp4[Vínculo],"tecnico",Resp4[4.76],B12)</f>
        <v>2</v>
      </c>
      <c r="D12" s="4">
        <f>COUNTIFS(Resp4[Vínculo],"docente",Resp4[4.76],B12)</f>
        <v>1</v>
      </c>
      <c r="E12" s="4">
        <f>COUNTIF(Resp4[4.76],B12)</f>
        <v>3</v>
      </c>
      <c r="F12" s="4">
        <f t="shared" si="0"/>
        <v>17.649999999999999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88">
        <f>SUM(F6:F12)</f>
        <v>99.990000000000009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4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28.571000000000002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11.76</v>
      </c>
    </row>
    <row r="7" spans="1:7" x14ac:dyDescent="0.25">
      <c r="B7" t="s">
        <v>197</v>
      </c>
      <c r="C7" s="4">
        <f>COUNTIFS(Resp4[Vínculo],"tecnico",Resp4[4.77],B7)</f>
        <v>3</v>
      </c>
      <c r="D7" s="4">
        <f>COUNTIFS(Resp4[Vínculo],"docente",Resp4[4.77],B7)</f>
        <v>2</v>
      </c>
      <c r="E7" s="4">
        <f>COUNTIF(Resp4[4.77],B7)</f>
        <v>5</v>
      </c>
      <c r="F7" s="4">
        <f t="shared" ref="F7:F12" si="0">ROUND($E7/E$13*100,2)</f>
        <v>29.41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1</v>
      </c>
      <c r="E10" s="4">
        <f>COUNTIF(Resp4[4.74],B10)</f>
        <v>1</v>
      </c>
      <c r="F10" s="4">
        <f t="shared" si="0"/>
        <v>5.88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COUNTIFS(Resp4[Vínculo],"tecnico",Resp4[4.74],B11)</f>
        <v>2</v>
      </c>
      <c r="D11" s="4">
        <f>COUNTIFS(Resp4[Vínculo],"docente",Resp4[4.74],B11)</f>
        <v>3</v>
      </c>
      <c r="E11" s="4">
        <f>COUNTIF(Resp4[4.74],B11)</f>
        <v>5</v>
      </c>
      <c r="F11" s="4">
        <f t="shared" si="0"/>
        <v>29.41</v>
      </c>
      <c r="G11" s="3">
        <f t="shared" si="1"/>
        <v>33.332999999999998</v>
      </c>
    </row>
    <row r="12" spans="1:7" x14ac:dyDescent="0.25">
      <c r="B12" s="7" t="s">
        <v>205</v>
      </c>
      <c r="C12" s="4">
        <f>COUNTIFS(Resp4[Vínculo],"tecnico",Resp4[4.74],B12)</f>
        <v>2</v>
      </c>
      <c r="D12" s="4">
        <f>COUNTIFS(Resp4[Vínculo],"docente",Resp4[4.74],B12)</f>
        <v>2</v>
      </c>
      <c r="E12" s="4">
        <f>COUNTIF(Resp4[4.74],B12)</f>
        <v>4</v>
      </c>
      <c r="F12" s="22">
        <f t="shared" si="0"/>
        <v>23.53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89">
        <f>SUM(F6:F12)</f>
        <v>99.990000000000009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197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3">
        <f>ROUND($E6/E$13*100,2)</f>
        <v>58.82</v>
      </c>
    </row>
    <row r="7" spans="1:7" x14ac:dyDescent="0.25">
      <c r="B7" s="2" t="s">
        <v>203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</v>
      </c>
      <c r="E10" s="4">
        <f>COUNTIF(Resp4[4.02],B10)</f>
        <v>1</v>
      </c>
      <c r="F10" s="3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1</v>
      </c>
      <c r="E11" s="4">
        <f>COUNTIF(Resp4[4.02],B11)</f>
        <v>1</v>
      </c>
      <c r="F11" s="3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COUNTIFS(Resp4[Vínculo],"tecnico",Resp4[4.02],B$12)</f>
        <v>2</v>
      </c>
      <c r="D12" s="4">
        <f>COUNTIFS(Resp4[Vínculo],"docente",Resp4[4.02],B12)</f>
        <v>2</v>
      </c>
      <c r="E12" s="4">
        <f>COUNTIF(Resp4[4.02],B12)</f>
        <v>4</v>
      </c>
      <c r="F12" s="24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4</v>
      </c>
      <c r="D7" s="4">
        <f>COUNTIFS(Resp4[Vínculo],"docente",Resp4[4.79],C14)</f>
        <v>1</v>
      </c>
      <c r="E7" s="4">
        <f>COUNTIF(Resp4[4.79],C14)</f>
        <v>5</v>
      </c>
      <c r="F7" s="4">
        <f t="shared" ref="F7:F11" si="0">ROUND($E7/E$11*100,2)</f>
        <v>29.41</v>
      </c>
      <c r="G7" s="3">
        <f>ROUND($E7/SUM($E$7:$E$10)*100,3)</f>
        <v>29.411999999999999</v>
      </c>
    </row>
    <row r="8" spans="1:7" x14ac:dyDescent="0.25">
      <c r="B8" t="s">
        <v>508</v>
      </c>
      <c r="C8" s="4">
        <f>COUNTIFS(Resp4[Vínculo],"tecnico",Resp4[4.79],C15)</f>
        <v>1</v>
      </c>
      <c r="D8" s="4">
        <f>COUNTIFS(Resp4[Vínculo],"docente",Resp4[4.79],C15)</f>
        <v>0</v>
      </c>
      <c r="E8" s="4">
        <f>COUNTIF(Resp4[4.79],C15)</f>
        <v>1</v>
      </c>
      <c r="F8" s="4">
        <f t="shared" si="0"/>
        <v>5.88</v>
      </c>
      <c r="G8" s="3">
        <f>ROUND($E8/SUM($E$7:$E$10)*100,3)</f>
        <v>5.8819999999999997</v>
      </c>
    </row>
    <row r="9" spans="1:7" x14ac:dyDescent="0.25">
      <c r="B9" t="s">
        <v>509</v>
      </c>
      <c r="C9" s="4">
        <f>COUNTIFS(Resp4[Vínculo],"tecnico",Resp4[4.79],C16)</f>
        <v>2</v>
      </c>
      <c r="D9" s="4">
        <f>COUNTIFS(Resp4[Vínculo],"docente",Resp4[4.79],C16)</f>
        <v>4</v>
      </c>
      <c r="E9" s="4">
        <f>COUNTIF(Resp4[4.79],C16)</f>
        <v>6</v>
      </c>
      <c r="F9" s="4">
        <f t="shared" si="0"/>
        <v>35.29</v>
      </c>
      <c r="G9" s="3">
        <f>ROUND($E9/SUM($E$7:$E$10)*100,3)</f>
        <v>35.293999999999997</v>
      </c>
    </row>
    <row r="10" spans="1:7" x14ac:dyDescent="0.25">
      <c r="B10" s="23" t="s">
        <v>206</v>
      </c>
      <c r="C10" s="22">
        <f>COUNTIFS(Resp4[Vínculo],"tecnico",Resp4[4.79],B10)</f>
        <v>2</v>
      </c>
      <c r="D10" s="22">
        <f>COUNTIFS(Resp4[Vínculo],"docente",Resp4[4.79],B10)</f>
        <v>3</v>
      </c>
      <c r="E10" s="22">
        <f>COUNTIF(Resp4[4.79],B10)</f>
        <v>5</v>
      </c>
      <c r="F10" s="22">
        <f t="shared" si="0"/>
        <v>29.41</v>
      </c>
      <c r="G10" s="24">
        <f>ROUND($E10/SUM($E$7:$E$10)*100,3)</f>
        <v>29.411999999999999</v>
      </c>
    </row>
    <row r="11" spans="1:7" x14ac:dyDescent="0.25">
      <c r="B11" t="s">
        <v>502</v>
      </c>
      <c r="C11">
        <f>SUM(C6:C10)</f>
        <v>9</v>
      </c>
      <c r="D11">
        <f>SUM(D6:D10)</f>
        <v>8</v>
      </c>
      <c r="E11">
        <f>SUM(C11:D11)</f>
        <v>17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198</v>
      </c>
    </row>
    <row r="15" spans="1:7" x14ac:dyDescent="0.25">
      <c r="B15" t="s">
        <v>508</v>
      </c>
      <c r="C15" t="s">
        <v>208</v>
      </c>
    </row>
    <row r="16" spans="1:7" x14ac:dyDescent="0.25">
      <c r="B16" t="s">
        <v>509</v>
      </c>
      <c r="C16" t="s">
        <v>201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8</v>
      </c>
      <c r="D7" s="4">
        <f>COUNTIFS(Resp4[Vínculo],"docente",Resp4[4.81],B7)</f>
        <v>8</v>
      </c>
      <c r="E7" s="2">
        <f>COUNTIF(Resp4[4.81],B7)</f>
        <v>16</v>
      </c>
      <c r="F7" s="15">
        <f t="shared" ref="F7:F9" si="0">ROUND($E7/E$9*100,2)</f>
        <v>94.12</v>
      </c>
      <c r="G7" s="4">
        <f>ROUND($E7/SUM($E$7:$E$8)*100,2)</f>
        <v>94.12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1</v>
      </c>
      <c r="D8" s="4">
        <f>COUNTIFS(Resp4[Vínculo],"docente",Resp4[4.81],B8)</f>
        <v>0</v>
      </c>
      <c r="E8" s="2">
        <f>COUNTIF(Resp4[4.81],B8)</f>
        <v>1</v>
      </c>
      <c r="F8" s="19">
        <f t="shared" si="0"/>
        <v>5.88</v>
      </c>
      <c r="G8" s="4">
        <f>ROUND($E8/SUM($E$7:$E$8)*100,2)</f>
        <v>5.88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9</v>
      </c>
      <c r="D9" s="28">
        <f>SUM(D6:D8)</f>
        <v>8</v>
      </c>
      <c r="E9" s="28">
        <f>SUM(C9:D9)</f>
        <v>17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2</v>
      </c>
      <c r="D7" s="4">
        <f>COUNTIFS(Resp4[Vínculo],"docente",Resp4[4.85],B7)</f>
        <v>5</v>
      </c>
      <c r="E7" s="2">
        <f>COUNTIF(Resp4[4.85],B7)</f>
        <v>7</v>
      </c>
      <c r="F7" s="4">
        <f t="shared" ref="F7:F9" si="0">ROUND($E7/E$9*100,2)</f>
        <v>41.18</v>
      </c>
      <c r="G7" s="4">
        <f>ROUND($E7/SUM($E$7:$E$8)*100,2)</f>
        <v>41.18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7</v>
      </c>
      <c r="D8" s="4">
        <f>COUNTIFS(Resp4[Vínculo],"docente",Resp4[4.85],B8)</f>
        <v>3</v>
      </c>
      <c r="E8" s="2">
        <f>COUNTIF(Resp4[4.85],B8)</f>
        <v>10</v>
      </c>
      <c r="F8" s="22">
        <f t="shared" si="0"/>
        <v>58.82</v>
      </c>
      <c r="G8" s="4">
        <f>ROUND($E8/SUM($E$7:$E$8)*100,2)</f>
        <v>58.82</v>
      </c>
      <c r="H8" s="2"/>
    </row>
    <row r="9" spans="1:8" x14ac:dyDescent="0.25">
      <c r="A9" s="2"/>
      <c r="B9" s="8" t="s">
        <v>502</v>
      </c>
      <c r="C9" s="8">
        <f>SUM(C6:C8)</f>
        <v>9</v>
      </c>
      <c r="D9" s="8">
        <f>SUM(D6:D8)</f>
        <v>8</v>
      </c>
      <c r="E9" s="8">
        <f>SUM(C9:D9)</f>
        <v>17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COUNTIFS(Resp4[Vínculo],"tecnico",Resp4[4.86],B9)</f>
        <v>1</v>
      </c>
      <c r="D9" s="4">
        <f>COUNTIFS(Resp4[Vínculo],"docente",Resp4[4.86],B9)</f>
        <v>0</v>
      </c>
      <c r="E9" s="4">
        <f>COUNTIF(Resp4[4.86],B9)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1</v>
      </c>
      <c r="E10" s="4">
        <f>COUNTIF(Resp4[4.86],B10)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COUNTIFS(Resp4[Vínculo],"tecnico",Resp4[4.86],B11)</f>
        <v>0</v>
      </c>
      <c r="D11" s="4">
        <f>COUNTIFS(Resp4[Vínculo],"docente",Resp4[4.86],B11)</f>
        <v>1</v>
      </c>
      <c r="E11" s="4">
        <f>COUNTIF(Resp4[4.86],B11)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COUNTIFS(Resp4[Vínculo],"tecnico",Resp4[4.86],B12)</f>
        <v>1</v>
      </c>
      <c r="D12" s="4">
        <f>COUNTIFS(Resp4[Vínculo],"docente",Resp4[4.86],B12)</f>
        <v>3</v>
      </c>
      <c r="E12" s="4">
        <f>COUNTIF(Resp4[4.86],B12)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204</v>
      </c>
      <c r="C8" s="4">
        <f>COUNTIFS(Resp4[Vínculo],"tecnico",Resp4[4.87],B8)</f>
        <v>0</v>
      </c>
      <c r="D8" s="4">
        <f>COUNTIFS(Resp4[Vínculo],"docente",Resp4[4.87],B8)</f>
        <v>1</v>
      </c>
      <c r="E8" s="4">
        <f>COUNTIF(Resp4[4.87],B8)</f>
        <v>1</v>
      </c>
      <c r="F8" s="4">
        <f t="shared" ref="F8:F13" si="1">ROUND($E8/E$13*100,2)</f>
        <v>5.88</v>
      </c>
      <c r="G8" s="3">
        <f t="shared" si="0"/>
        <v>14.286</v>
      </c>
    </row>
    <row r="9" spans="1:7" x14ac:dyDescent="0.25">
      <c r="B9" s="2" t="s">
        <v>202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1</v>
      </c>
      <c r="D10" s="4">
        <f>COUNTIFS(Resp4[Vínculo],"docente",Resp4[4.87],B10)</f>
        <v>0</v>
      </c>
      <c r="E10" s="4">
        <f>COUNTIF(Resp4[4.87],B10)</f>
        <v>1</v>
      </c>
      <c r="F10" s="4">
        <f>ROUND($E10/E$13*100,2)</f>
        <v>5.88</v>
      </c>
      <c r="G10" s="3">
        <f t="shared" si="0"/>
        <v>14.286</v>
      </c>
    </row>
    <row r="11" spans="1:7" x14ac:dyDescent="0.25">
      <c r="B11" s="2" t="s">
        <v>200</v>
      </c>
      <c r="C11" s="4">
        <f>COUNTIFS(Resp4[Vínculo],"tecnico",Resp4[4.87],B11)</f>
        <v>0</v>
      </c>
      <c r="D11" s="4">
        <f>COUNTIFS(Resp4[Vínculo],"docente",Resp4[4.87],B11)</f>
        <v>1</v>
      </c>
      <c r="E11" s="4">
        <f>COUNTIF(Resp4[4.87],B11)</f>
        <v>1</v>
      </c>
      <c r="F11" s="4">
        <f>ROUND($E11/E$13*100,2)</f>
        <v>5.88</v>
      </c>
      <c r="G11" s="3">
        <f t="shared" si="0"/>
        <v>14.286</v>
      </c>
    </row>
    <row r="12" spans="1:7" x14ac:dyDescent="0.25">
      <c r="B12" s="7" t="s">
        <v>205</v>
      </c>
      <c r="C12" s="4">
        <f>COUNTIFS(Resp4[Vínculo],"tecnico",Resp4[4.87],B12)</f>
        <v>1</v>
      </c>
      <c r="D12" s="4">
        <f>COUNTIFS(Resp4[Vínculo],"docente",Resp4[4.87],B12)</f>
        <v>3</v>
      </c>
      <c r="E12" s="4">
        <f>COUNTIF(Resp4[4.87],B12)</f>
        <v>4</v>
      </c>
      <c r="F12" s="22">
        <f>ROUND($E12/E$13*100,2)</f>
        <v>23.53</v>
      </c>
      <c r="G12" s="3">
        <f t="shared" si="0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1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15">
        <f>ROUND($E6/E$13*100,2)</f>
        <v>58.82</v>
      </c>
    </row>
    <row r="7" spans="1:7" x14ac:dyDescent="0.25">
      <c r="B7" s="2" t="s">
        <v>203</v>
      </c>
      <c r="C7" s="4">
        <f>COUNTIFS(Resp4[Vínculo],"tecnico",Resp4[4.88],B7)</f>
        <v>0</v>
      </c>
      <c r="D7" s="4">
        <f>COUNTIFS(Resp4[Vínculo],"docente",Resp4[4.88],B7)</f>
        <v>0</v>
      </c>
      <c r="E7" s="4">
        <f>COUNTIF(Resp4[4.88],B7)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COUNTIFS(Resp4[Vínculo],"tecnico",Resp4[4.88],B9)</f>
        <v>1</v>
      </c>
      <c r="D9" s="4">
        <f>COUNTIFS(Resp4[Vínculo],"docente",Resp4[4.88],B9)</f>
        <v>1</v>
      </c>
      <c r="E9" s="4">
        <f>COUNTIF(Resp4[4.88],B9)</f>
        <v>2</v>
      </c>
      <c r="F9" s="15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COUNTIFS(Resp4[Vínculo],"tecnico",Resp4[4.88],B11)</f>
        <v>0</v>
      </c>
      <c r="D11" s="4">
        <f>COUNTIFS(Resp4[Vínculo],"docente",Resp4[4.88],B11)</f>
        <v>1</v>
      </c>
      <c r="E11" s="4">
        <f>COUNTIF(Resp4[4.88],B11)</f>
        <v>1</v>
      </c>
      <c r="F11" s="15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COUNTIFS(Resp4[Vínculo],"tecnico",Resp4[4.88],B12)</f>
        <v>1</v>
      </c>
      <c r="D12" s="4">
        <f>COUNTIFS(Resp4[Vínculo],"docente",Resp4[4.88],B12)</f>
        <v>3</v>
      </c>
      <c r="E12" s="4">
        <f>COUNTIF(Resp4[4.88],B12)</f>
        <v>4</v>
      </c>
      <c r="F12" s="19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COUNTIFS(Resp4[Vínculo],"tecnico",Resp4[4.89],B7)</f>
        <v>0</v>
      </c>
      <c r="D7" s="4">
        <f>COUNTIFS(Resp4[Vínculo],"docente",Resp4[4.89],B7)</f>
        <v>0</v>
      </c>
      <c r="E7" s="4">
        <f>COUNTIF(Resp4[4.89],B7)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COUNTIFS(Resp4[Vínculo],"tecnico",Resp4[4.89],B10)</f>
        <v>1</v>
      </c>
      <c r="D10" s="4">
        <f>COUNTIFS(Resp4[Vínculo],"docente",Resp4[4.89],B10)</f>
        <v>1</v>
      </c>
      <c r="E10" s="4">
        <f>COUNTIF(Resp4[4.89],B10)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COUNTIFS(Resp4[Vínculo],"tecnico",Resp4[4.89],B11)</f>
        <v>0</v>
      </c>
      <c r="D11" s="4">
        <f>COUNTIFS(Resp4[Vínculo],"docente",Resp4[4.89],B11)</f>
        <v>0</v>
      </c>
      <c r="E11" s="4">
        <f>COUNTIF(Resp4[4.89],B11)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COUNTIFS(Resp4[Vínculo],"tecnico",Resp4[4.89],B12)</f>
        <v>1</v>
      </c>
      <c r="D12" s="4">
        <f>COUNTIFS(Resp4[Vínculo],"docente",Resp4[4.89],B12)</f>
        <v>4</v>
      </c>
      <c r="E12" s="4">
        <f>COUNTIF(Resp4[4.89],B12)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COUNTIFS(Resp4[Vínculo],"tecnico",Resp4[4.90],B7)</f>
        <v>0</v>
      </c>
      <c r="D7" s="4">
        <f>COUNTIFS(Resp4[Vínculo],"docente",Resp4[4.90],B7)</f>
        <v>0</v>
      </c>
      <c r="E7" s="4">
        <f>COUNTIF(Resp4[4.90],B7)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COUNTIFS(Resp4[Vínculo],"tecnico",Resp4[4.90],B9)</f>
        <v>1</v>
      </c>
      <c r="D9" s="4">
        <f>COUNTIFS(Resp4[Vínculo],"docente",Resp4[4.90],B9)</f>
        <v>1</v>
      </c>
      <c r="E9" s="4">
        <f>COUNTIF(Resp4[4.90],B9)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COUNTIFS(Resp4[Vínculo],"tecnico",Resp4[4.90],B11)</f>
        <v>0</v>
      </c>
      <c r="D11" s="4">
        <f>COUNTIFS(Resp4[Vínculo],"docente",Resp4[4.90],B11)</f>
        <v>0</v>
      </c>
      <c r="E11" s="4">
        <f>COUNTIF(Resp4[4.90],B11)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COUNTIFS(Resp4[Vínculo],"tecnico",Resp4[4.90],B12)</f>
        <v>1</v>
      </c>
      <c r="D12" s="4">
        <f>COUNTIFS(Resp4[Vínculo],"docente",Resp4[4.90],B12)</f>
        <v>4</v>
      </c>
      <c r="E12" s="4">
        <f>COUNTIF(Resp4[4.90],B12)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COUNTIFS(Resp4[Vínculo],"tecnico",Resp4[4.91],B9)</f>
        <v>1</v>
      </c>
      <c r="D9" s="4">
        <f>COUNTIFS(Resp4[Vínculo],"docente",Resp4[4.91],B9)</f>
        <v>1</v>
      </c>
      <c r="E9" s="4">
        <f>COUNTIF(Resp4[4.91],B9)</f>
        <v>2</v>
      </c>
      <c r="F9" s="4">
        <f t="shared" si="0"/>
        <v>11.76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0</v>
      </c>
      <c r="E10" s="4">
        <f>COUNTIF(Resp4[4.91],B10)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COUNTIFS(Resp4[Vínculo],"tecnico",Resp4[4.91],B11)</f>
        <v>0</v>
      </c>
      <c r="D11" s="4">
        <f>COUNTIFS(Resp4[Vínculo],"docente",Resp4[4.91],B11)</f>
        <v>0</v>
      </c>
      <c r="E11" s="4">
        <f>COUNTIF(Resp4[4.91],B11)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205</v>
      </c>
      <c r="C12" s="4">
        <f>COUNTIFS(Resp4[Vínculo],"tecnico",Resp4[4.91],B12)</f>
        <v>1</v>
      </c>
      <c r="D12" s="4">
        <f>COUNTIFS(Resp4[Vínculo],"docente",Resp4[4.91],B12)</f>
        <v>4</v>
      </c>
      <c r="E12" s="4">
        <f>COUNTIF(Resp4[4.91],B12)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1</v>
      </c>
      <c r="D10" s="4">
        <f>COUNTIFS(Resp4[Vínculo],"docente",Resp4[4.92],B10)</f>
        <v>0</v>
      </c>
      <c r="E10" s="4">
        <f>COUNTIF(Resp4[4.92],B10)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COUNTIFS(Resp4[Vínculo],"tecnico",Resp4[4.92],B11)</f>
        <v>0</v>
      </c>
      <c r="D11" s="4">
        <f>COUNTIFS(Resp4[Vínculo],"docente",Resp4[4.92],B11)</f>
        <v>3</v>
      </c>
      <c r="E11" s="4">
        <f>COUNTIF(Resp4[4.92],B11)</f>
        <v>3</v>
      </c>
      <c r="F11" s="4">
        <f t="shared" si="0"/>
        <v>17.649999999999999</v>
      </c>
      <c r="G11" s="3">
        <f t="shared" si="1"/>
        <v>42.856999999999999</v>
      </c>
    </row>
    <row r="12" spans="1:7" x14ac:dyDescent="0.25">
      <c r="B12" s="7" t="s">
        <v>205</v>
      </c>
      <c r="C12" s="4">
        <f>COUNTIFS(Resp4[Vínculo],"tecnico",Resp4[4.92],B12)</f>
        <v>1</v>
      </c>
      <c r="D12" s="4">
        <f>COUNTIFS(Resp4[Vínculo],"docente",Resp4[4.92],B12)</f>
        <v>2</v>
      </c>
      <c r="E12" s="4">
        <f>COUNTIF(Resp4[4.92],B12)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103">
        <f t="shared" ref="F6:F13" si="0">ROUND($E6/E$13*100,2)</f>
        <v>58.82</v>
      </c>
    </row>
    <row r="7" spans="1:7" x14ac:dyDescent="0.25">
      <c r="B7" s="2" t="s">
        <v>203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COUNTIFS(Resp4[Vínculo],"tecnico",Resp4[4.03],B9)</f>
        <v>0</v>
      </c>
      <c r="D9" s="4">
        <f>COUNTIFS(Resp4[Vínculo],"docente",Resp4[4.03],B9)</f>
        <v>1</v>
      </c>
      <c r="E9" s="4">
        <f>COUNTIF(Resp4[4.03],B9)</f>
        <v>1</v>
      </c>
      <c r="F9" s="103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1</v>
      </c>
      <c r="E10" s="4">
        <f>COUNTIF(Resp4[4.03],B10)</f>
        <v>1</v>
      </c>
      <c r="F10" s="103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COUNTIFS(Resp4[Vínculo],"tecnico",Resp4[4.03],B11)</f>
        <v>0</v>
      </c>
      <c r="D11" s="4">
        <f>COUNTIFS(Resp4[Vínculo],"docente",Resp4[4.03],B11)</f>
        <v>2</v>
      </c>
      <c r="E11" s="4">
        <f>COUNTIF(Resp4[4.03],B11)</f>
        <v>2</v>
      </c>
      <c r="F11" s="103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COUNTIFS(Resp4[Vínculo],"tecnico",Resp4[4.03],B12)</f>
        <v>2</v>
      </c>
      <c r="D12" s="4">
        <f>COUNTIFS(Resp4[Vínculo],"docente",Resp4[4.03],B12)</f>
        <v>1</v>
      </c>
      <c r="E12" s="4">
        <f>COUNTIF(Resp4[4.03],B12)</f>
        <v>3</v>
      </c>
      <c r="F12" s="104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COUNTIFS(Resp4[Vínculo],"tecnico",Resp4[4.93],B7)</f>
        <v>0</v>
      </c>
      <c r="D7" s="4">
        <f>COUNTIFS(Resp4[Vínculo],"docente",Resp4[4.93],B7)</f>
        <v>0</v>
      </c>
      <c r="E7" s="4">
        <f>COUNTIF(Resp4[4.93],B7)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1</v>
      </c>
      <c r="D10" s="4">
        <f>COUNTIFS(Resp4[Vínculo],"docente",Resp4[4.93],B10)</f>
        <v>0</v>
      </c>
      <c r="E10" s="4">
        <f>COUNTIF(Resp4[4.93],B10)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COUNTIFS(Resp4[Vínculo],"tecnico",Resp4[4.93],B11)</f>
        <v>0</v>
      </c>
      <c r="D11" s="4">
        <f>COUNTIFS(Resp4[Vínculo],"docente",Resp4[4.93],B11)</f>
        <v>3</v>
      </c>
      <c r="E11" s="4">
        <f>COUNTIF(Resp4[4.93],B11)</f>
        <v>3</v>
      </c>
      <c r="F11" s="4">
        <f t="shared" si="0"/>
        <v>17.649999999999999</v>
      </c>
      <c r="G11" s="3">
        <f t="shared" si="1"/>
        <v>42.856999999999999</v>
      </c>
    </row>
    <row r="12" spans="1:7" x14ac:dyDescent="0.25">
      <c r="B12" s="7" t="s">
        <v>205</v>
      </c>
      <c r="C12" s="4">
        <f>COUNTIFS(Resp4[Vínculo],"tecnico",Resp4[4.93],B12)</f>
        <v>1</v>
      </c>
      <c r="D12" s="4">
        <f>COUNTIFS(Resp4[Vínculo],"docente",Resp4[4.93],B12)</f>
        <v>2</v>
      </c>
      <c r="E12" s="4">
        <f>COUNTIF(Resp4[4.93],B12)</f>
        <v>3</v>
      </c>
      <c r="F12" s="22">
        <f t="shared" si="0"/>
        <v>17.649999999999999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COUNTIFS(Resp4[Vínculo],"tecnico",Resp4[4.94],B8)</f>
        <v>0</v>
      </c>
      <c r="D8" s="4">
        <f>COUNTIFS(Resp4[Vínculo],"docente",Resp4[4.94],B8)</f>
        <v>1</v>
      </c>
      <c r="E8" s="4">
        <f>COUNTIF(Resp4[4.94],B8)</f>
        <v>1</v>
      </c>
      <c r="F8" s="4">
        <f t="shared" si="0"/>
        <v>5.88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COUNTIFS(Resp4[Vínculo],"tecnico",Resp4[4.94],B9)</f>
        <v>0</v>
      </c>
      <c r="D9" s="4">
        <f>COUNTIFS(Resp4[Vínculo],"docente",Resp4[4.94],B9)</f>
        <v>1</v>
      </c>
      <c r="E9" s="4">
        <f>COUNTIF(Resp4[4.94],B9)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COUNTIFS(Resp4[Vínculo],"tecnico",Resp4[4.94],B10)</f>
        <v>1</v>
      </c>
      <c r="D10" s="4">
        <f>COUNTIFS(Resp4[Vínculo],"docente",Resp4[4.94],B10)</f>
        <v>2</v>
      </c>
      <c r="E10" s="4">
        <f>COUNTIF(Resp4[4.94],B10)</f>
        <v>3</v>
      </c>
      <c r="F10" s="4">
        <f t="shared" si="0"/>
        <v>17.649999999999999</v>
      </c>
      <c r="G10" s="3">
        <f t="shared" si="1"/>
        <v>42.856999999999999</v>
      </c>
    </row>
    <row r="11" spans="1:7" x14ac:dyDescent="0.25">
      <c r="B11" s="2" t="s">
        <v>200</v>
      </c>
      <c r="C11" s="4">
        <f>COUNTIFS(Resp4[Vínculo],"tecnico",Resp4[4.94],B11)</f>
        <v>0</v>
      </c>
      <c r="D11" s="4">
        <f>COUNTIFS(Resp4[Vínculo],"docente",Resp4[4.94],B11)</f>
        <v>1</v>
      </c>
      <c r="E11" s="4">
        <f>COUNTIF(Resp4[4.94],B11)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COUNTIFS(Resp4[Vínculo],"tecnico",Resp4[4.94],B12)</f>
        <v>1</v>
      </c>
      <c r="D12" s="4">
        <f>COUNTIFS(Resp4[Vínculo],"docente",Resp4[4.94],B12)</f>
        <v>0</v>
      </c>
      <c r="E12" s="4">
        <f>COUNTIF(Resp4[4.94],B12)</f>
        <v>1</v>
      </c>
      <c r="F12" s="22">
        <f t="shared" si="0"/>
        <v>5.88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1</v>
      </c>
      <c r="E10" s="4">
        <f>COUNTIF(Resp4[4.95],B10)</f>
        <v>2</v>
      </c>
      <c r="F10" s="4">
        <f t="shared" si="0"/>
        <v>11.76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COUNTIFS(Resp4[Vínculo],"tecnico",Resp4[4.95],B11)</f>
        <v>0</v>
      </c>
      <c r="D11" s="4">
        <f>COUNTIFS(Resp4[Vínculo],"docente",Resp4[4.95],B11)</f>
        <v>1</v>
      </c>
      <c r="E11" s="4">
        <f>COUNTIF(Resp4[4.95],B11)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COUNTIFS(Resp4[Vínculo],"tecnico",Resp4[4.95],B12)</f>
        <v>1</v>
      </c>
      <c r="D12" s="4">
        <f>COUNTIFS(Resp4[Vínculo],"docente",Resp4[4.95],B12)</f>
        <v>3</v>
      </c>
      <c r="E12" s="4">
        <f>COUNTIF(Resp4[4.95],B12)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1</v>
      </c>
      <c r="D10" s="4">
        <f>COUNTIFS(Resp4[Vínculo],"docente",Resp4[4.96],B10)</f>
        <v>0</v>
      </c>
      <c r="E10" s="4">
        <f>COUNTIF(Resp4[4.96],B10)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COUNTIFS(Resp4[Vínculo],"tecnico",Resp4[4.96],B11)</f>
        <v>0</v>
      </c>
      <c r="D11" s="4">
        <f>COUNTIFS(Resp4[Vínculo],"docente",Resp4[4.96],B11)</f>
        <v>1</v>
      </c>
      <c r="E11" s="4">
        <f>COUNTIF(Resp4[4.96],B11)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COUNTIFS(Resp4[Vínculo],"tecnico",Resp4[4.96],B12)</f>
        <v>1</v>
      </c>
      <c r="D12" s="4">
        <f>COUNTIFS(Resp4[Vínculo],"docente",Resp4[4.96],B12)</f>
        <v>4</v>
      </c>
      <c r="E12" s="4">
        <f>COUNTIF(Resp4[4.96],B12)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COUNTIFS(Resp4[Vínculo],"tecnico",Resp4[4.97],B9)</f>
        <v>1</v>
      </c>
      <c r="D9" s="4">
        <f>COUNTIFS(Resp4[Vínculo],"docente",Resp4[4.97],B9)</f>
        <v>0</v>
      </c>
      <c r="E9" s="4">
        <f>COUNTIF(Resp4[4.97],B9)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COUNTIFS(Resp4[Vínculo],"tecnico",Resp4[4.97],B11)</f>
        <v>0</v>
      </c>
      <c r="D11" s="4">
        <f>COUNTIFS(Resp4[Vínculo],"docente",Resp4[4.97],B11)</f>
        <v>2</v>
      </c>
      <c r="E11" s="4">
        <f>COUNTIF(Resp4[4.97],B11)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COUNTIFS(Resp4[Vínculo],"tecnico",Resp4[4.97],B12)</f>
        <v>1</v>
      </c>
      <c r="D12" s="4">
        <f>COUNTIFS(Resp4[Vínculo],"docente",Resp4[4.97],B12)</f>
        <v>3</v>
      </c>
      <c r="E12" s="4">
        <f>COUNTIF(Resp4[4.97],B12)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COUNTIFS(Resp4[Vínculo],"tecnico",Resp4[4.98],B7)</f>
        <v>0</v>
      </c>
      <c r="D7" s="4">
        <f>COUNTIFS(Resp4[Vínculo],"docente",Resp4[4.98],B7)</f>
        <v>0</v>
      </c>
      <c r="E7" s="4">
        <f>COUNTIF(Resp4[4.98],B7)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COUNTIFS(Resp4[Vínculo],"tecnico",Resp4[4.98],B9)</f>
        <v>1</v>
      </c>
      <c r="D9" s="4">
        <f>COUNTIFS(Resp4[Vínculo],"docente",Resp4[4.98],B9)</f>
        <v>0</v>
      </c>
      <c r="E9" s="4">
        <f>COUNTIF(Resp4[4.98],B9)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1</v>
      </c>
      <c r="E10" s="4">
        <f>COUNTIF(Resp4[4.98],B10)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COUNTIFS(Resp4[Vínculo],"tecnico",Resp4[4.98],B11)</f>
        <v>0</v>
      </c>
      <c r="D11" s="4">
        <f>COUNTIFS(Resp4[Vínculo],"docente",Resp4[4.98],B11)</f>
        <v>1</v>
      </c>
      <c r="E11" s="4">
        <f>COUNTIF(Resp4[4.98],B11)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COUNTIFS(Resp4[Vínculo],"tecnico",Resp4[4.98],B12)</f>
        <v>1</v>
      </c>
      <c r="D12" s="4">
        <f>COUNTIFS(Resp4[Vínculo],"docente",Resp4[4.98],B12)</f>
        <v>3</v>
      </c>
      <c r="E12" s="4">
        <f>COUNTIF(Resp4[4.98],B12)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COUNTIFS(Resp4[Vínculo],"tecnico",Resp4[4.99],B9)</f>
        <v>1</v>
      </c>
      <c r="D9" s="4">
        <f>COUNTIFS(Resp4[Vínculo],"docente",Resp4[4.99],B9)</f>
        <v>0</v>
      </c>
      <c r="E9" s="4">
        <f>COUNTIF(Resp4[4.99],B9)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COUNTIFS(Resp4[Vínculo],"tecnico",Resp4[4.99],B11)</f>
        <v>0</v>
      </c>
      <c r="D11" s="4">
        <f>COUNTIFS(Resp4[Vínculo],"docente",Resp4[4.99],B11)</f>
        <v>1</v>
      </c>
      <c r="E11" s="4">
        <f>COUNTIF(Resp4[4.99],B11)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COUNTIFS(Resp4[Vínculo],"tecnico",Resp4[4.99],B12)</f>
        <v>1</v>
      </c>
      <c r="D12" s="4">
        <f>COUNTIFS(Resp4[Vínculo],"docente",Resp4[4.99],B12)</f>
        <v>4</v>
      </c>
      <c r="E12" s="4">
        <f>COUNTIF(Resp4[4.99],B12)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COUNTIFS(Resp4[Vínculo],"tecnico",Resp4[4.100],B7)</f>
        <v>0</v>
      </c>
      <c r="D7" s="4">
        <f>COUNTIFS(Resp4[Vínculo],"docente",Resp4[4.100],B7)</f>
        <v>1</v>
      </c>
      <c r="E7" s="4">
        <f>COUNTIF(Resp4[4.100],B7)</f>
        <v>1</v>
      </c>
      <c r="F7" s="4">
        <f t="shared" ref="F7:F13" si="0">ROUND($E7/E$13*100,2)</f>
        <v>5.88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COUNTIFS(Resp4[Vínculo],"tecnico",Resp4[4.100],B10)</f>
        <v>1</v>
      </c>
      <c r="D10" s="4">
        <f>COUNTIFS(Resp4[Vínculo],"docente",Resp4[4.100],B10)</f>
        <v>0</v>
      </c>
      <c r="E10" s="4">
        <f>COUNTIF(Resp4[4.100],B10)</f>
        <v>1</v>
      </c>
      <c r="F10" s="4">
        <f t="shared" si="0"/>
        <v>5.88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COUNTIFS(Resp4[Vínculo],"tecnico",Resp4[4.100],B11)</f>
        <v>0</v>
      </c>
      <c r="D11" s="4">
        <f>COUNTIFS(Resp4[Vínculo],"docente",Resp4[4.100],B11)</f>
        <v>1</v>
      </c>
      <c r="E11" s="4">
        <f>COUNTIF(Resp4[4.100],B11)</f>
        <v>1</v>
      </c>
      <c r="F11" s="4">
        <f t="shared" si="0"/>
        <v>5.88</v>
      </c>
      <c r="G11" s="3">
        <f t="shared" si="1"/>
        <v>14.286</v>
      </c>
    </row>
    <row r="12" spans="1:7" x14ac:dyDescent="0.25">
      <c r="B12" s="7" t="s">
        <v>205</v>
      </c>
      <c r="C12" s="4">
        <f>COUNTIFS(Resp4[Vínculo],"tecnico",Resp4[4.100],B12)</f>
        <v>1</v>
      </c>
      <c r="D12" s="4">
        <f>COUNTIFS(Resp4[Vínculo],"docente",Resp4[4.100],B12)</f>
        <v>3</v>
      </c>
      <c r="E12" s="4">
        <f>COUNTIF(Resp4[4.100],B12)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COUNTIFS(Resp4[Vínculo],"tecnico",Resp4[4.101],B9)</f>
        <v>1</v>
      </c>
      <c r="D9" s="4">
        <f>COUNTIFS(Resp4[Vínculo],"docente",Resp4[4.101],B9)</f>
        <v>0</v>
      </c>
      <c r="E9" s="4">
        <f>COUNTIF(Resp4[4.101],B9)</f>
        <v>1</v>
      </c>
      <c r="F9" s="4">
        <f t="shared" si="0"/>
        <v>5.88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0</v>
      </c>
      <c r="E10" s="4">
        <f>COUNTIF(Resp4[4.101],B10)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COUNTIFS(Resp4[Vínculo],"tecnico",Resp4[4.101],B11)</f>
        <v>0</v>
      </c>
      <c r="D11" s="4">
        <f>COUNTIFS(Resp4[Vínculo],"docente",Resp4[4.101],B11)</f>
        <v>2</v>
      </c>
      <c r="E11" s="4">
        <f>COUNTIF(Resp4[4.101],B11)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COUNTIFS(Resp4[Vínculo],"tecnico",Resp4[4.101],B12)</f>
        <v>1</v>
      </c>
      <c r="D12" s="4">
        <f>COUNTIFS(Resp4[Vínculo],"docente",Resp4[4.101],B12)</f>
        <v>3</v>
      </c>
      <c r="E12" s="4">
        <f>COUNTIF(Resp4[4.101],B12)</f>
        <v>4</v>
      </c>
      <c r="F12" s="22">
        <f t="shared" si="0"/>
        <v>23.53</v>
      </c>
      <c r="G12" s="3">
        <f t="shared" si="1"/>
        <v>57.143000000000001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58.82</v>
      </c>
    </row>
    <row r="7" spans="1:7" x14ac:dyDescent="0.25">
      <c r="B7" s="2" t="s">
        <v>203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0</v>
      </c>
      <c r="E10" s="4">
        <f>COUNTIF(Resp4[4.102],B10)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COUNTIFS(Resp4[Vínculo],"tecnico",Resp4[4.102],B11)</f>
        <v>1</v>
      </c>
      <c r="D11" s="4">
        <f>COUNTIFS(Resp4[Vínculo],"docente",Resp4[4.102],B11)</f>
        <v>1</v>
      </c>
      <c r="E11" s="4">
        <f>COUNTIF(Resp4[4.102],B11)</f>
        <v>2</v>
      </c>
      <c r="F11" s="4">
        <f t="shared" si="0"/>
        <v>11.76</v>
      </c>
      <c r="G11" s="3">
        <f t="shared" si="1"/>
        <v>28.571000000000002</v>
      </c>
    </row>
    <row r="12" spans="1:7" x14ac:dyDescent="0.25">
      <c r="B12" s="7" t="s">
        <v>205</v>
      </c>
      <c r="C12" s="4">
        <f>COUNTIFS(Resp4[Vínculo],"tecnico",Resp4[4.102],B12)</f>
        <v>1</v>
      </c>
      <c r="D12" s="4">
        <f>COUNTIFS(Resp4[Vínculo],"docente",Resp4[4.102],B12)</f>
        <v>4</v>
      </c>
      <c r="E12" s="4">
        <f>COUNTIF(Resp4[4.102],B12)</f>
        <v>5</v>
      </c>
      <c r="F12" s="22">
        <f t="shared" si="0"/>
        <v>29.41</v>
      </c>
      <c r="G12" s="3">
        <f t="shared" si="1"/>
        <v>71.429000000000002</v>
      </c>
    </row>
    <row r="13" spans="1:7" x14ac:dyDescent="0.25">
      <c r="B13" s="2" t="s">
        <v>502</v>
      </c>
      <c r="C13" s="8">
        <f>SUM(C6:C12)</f>
        <v>9</v>
      </c>
      <c r="D13" s="8">
        <f>SUM(D6:D12)</f>
        <v>8</v>
      </c>
      <c r="E13" s="8">
        <f>SUM(C13:D13)</f>
        <v>17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2022-02-04T14:57:57Z</dcterms:modified>
  <cp:category/>
  <cp:contentStatus/>
</cp:coreProperties>
</file>