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5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7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18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9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0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2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3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24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25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26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27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28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760" tabRatio="941"/>
  </bookViews>
  <sheets>
    <sheet name="OrientaçõesInformações" sheetId="33" r:id="rId1"/>
    <sheet name="IC-IT" sheetId="1" r:id="rId2"/>
    <sheet name="TítuloQuestões" sheetId="2" r:id="rId3"/>
    <sheet name="Q01" sheetId="4" r:id="rId4"/>
    <sheet name="Q02" sheetId="5" r:id="rId5"/>
    <sheet name="Q03" sheetId="6" r:id="rId6"/>
    <sheet name="Q04" sheetId="7" r:id="rId7"/>
    <sheet name="Q05" sheetId="8" r:id="rId8"/>
    <sheet name="Q06" sheetId="9" r:id="rId9"/>
    <sheet name="Q07" sheetId="10" r:id="rId10"/>
    <sheet name="Q08" sheetId="11" r:id="rId11"/>
    <sheet name="Q09" sheetId="12" r:id="rId12"/>
    <sheet name="Q10" sheetId="13" r:id="rId13"/>
    <sheet name="Q11" sheetId="14" r:id="rId14"/>
    <sheet name="Q12" sheetId="15" r:id="rId15"/>
    <sheet name="Q13" sheetId="16" r:id="rId16"/>
    <sheet name="Q14" sheetId="17" r:id="rId17"/>
    <sheet name="Q15" sheetId="18" r:id="rId18"/>
    <sheet name="Q16" sheetId="19" r:id="rId19"/>
    <sheet name="Q17" sheetId="20" r:id="rId20"/>
    <sheet name="Q18" sheetId="21" r:id="rId21"/>
    <sheet name="Q19" sheetId="22" r:id="rId22"/>
    <sheet name="Q20" sheetId="23" r:id="rId23"/>
    <sheet name="Q21" sheetId="24" r:id="rId24"/>
    <sheet name="Q22" sheetId="25" r:id="rId25"/>
    <sheet name="Q23" sheetId="26" r:id="rId26"/>
    <sheet name="Q24" sheetId="3" r:id="rId27"/>
    <sheet name="Q26" sheetId="28" r:id="rId28"/>
    <sheet name="Q27" sheetId="29" r:id="rId29"/>
    <sheet name="Q29" sheetId="30" r:id="rId30"/>
    <sheet name="Q30" sheetId="31" r:id="rId3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3" l="1"/>
  <c r="C8" i="31" l="1"/>
  <c r="D8" i="31"/>
  <c r="E8" i="31"/>
  <c r="C9" i="31"/>
  <c r="D18" i="31" s="1"/>
  <c r="D9" i="31"/>
  <c r="D24" i="31" s="1"/>
  <c r="E9" i="31"/>
  <c r="C10" i="31"/>
  <c r="D10" i="31"/>
  <c r="E10" i="31"/>
  <c r="C11" i="31"/>
  <c r="D11" i="31"/>
  <c r="E11" i="31"/>
  <c r="C12" i="31"/>
  <c r="D12" i="31"/>
  <c r="E12" i="31"/>
  <c r="C13" i="31"/>
  <c r="D13" i="31"/>
  <c r="E13" i="31"/>
  <c r="E7" i="31"/>
  <c r="D7" i="31"/>
  <c r="C7" i="31"/>
  <c r="A2" i="31"/>
  <c r="C8" i="30"/>
  <c r="D8" i="30"/>
  <c r="E8" i="30"/>
  <c r="C9" i="30"/>
  <c r="D18" i="30" s="1"/>
  <c r="D9" i="30"/>
  <c r="D24" i="30" s="1"/>
  <c r="E9" i="30"/>
  <c r="C10" i="30"/>
  <c r="D10" i="30"/>
  <c r="E10" i="30"/>
  <c r="C11" i="30"/>
  <c r="D11" i="30"/>
  <c r="E11" i="30"/>
  <c r="C12" i="30"/>
  <c r="D12" i="30"/>
  <c r="E12" i="30"/>
  <c r="C13" i="30"/>
  <c r="D13" i="30"/>
  <c r="E13" i="30"/>
  <c r="E7" i="30"/>
  <c r="D7" i="30"/>
  <c r="C7" i="30"/>
  <c r="A2" i="30"/>
  <c r="C8" i="29"/>
  <c r="D8" i="29"/>
  <c r="E8" i="29"/>
  <c r="C9" i="29"/>
  <c r="D18" i="29" s="1"/>
  <c r="D9" i="29"/>
  <c r="D24" i="29" s="1"/>
  <c r="E9" i="29"/>
  <c r="C10" i="29"/>
  <c r="D10" i="29"/>
  <c r="E10" i="29"/>
  <c r="C11" i="29"/>
  <c r="D11" i="29"/>
  <c r="E11" i="29"/>
  <c r="C12" i="29"/>
  <c r="D12" i="29"/>
  <c r="E12" i="29"/>
  <c r="C13" i="29"/>
  <c r="D13" i="29"/>
  <c r="E13" i="29"/>
  <c r="E7" i="29"/>
  <c r="D7" i="29"/>
  <c r="C7" i="29"/>
  <c r="A2" i="29"/>
  <c r="C8" i="28"/>
  <c r="D8" i="28"/>
  <c r="E8" i="28"/>
  <c r="C9" i="28"/>
  <c r="D18" i="28" s="1"/>
  <c r="D9" i="28"/>
  <c r="D24" i="28" s="1"/>
  <c r="E9" i="28"/>
  <c r="C10" i="28"/>
  <c r="D10" i="28"/>
  <c r="E10" i="28"/>
  <c r="C11" i="28"/>
  <c r="D11" i="28"/>
  <c r="E11" i="28"/>
  <c r="C12" i="28"/>
  <c r="D12" i="28"/>
  <c r="E12" i="28"/>
  <c r="C13" i="28"/>
  <c r="D13" i="28"/>
  <c r="E13" i="28"/>
  <c r="E7" i="28"/>
  <c r="D7" i="28"/>
  <c r="C7" i="28"/>
  <c r="A2" i="28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E7" i="3"/>
  <c r="D7" i="3"/>
  <c r="C7" i="3"/>
  <c r="C8" i="26"/>
  <c r="D8" i="26"/>
  <c r="E8" i="26"/>
  <c r="C9" i="26"/>
  <c r="D18" i="26" s="1"/>
  <c r="D9" i="26"/>
  <c r="D24" i="26" s="1"/>
  <c r="E9" i="26"/>
  <c r="C10" i="26"/>
  <c r="D10" i="26"/>
  <c r="E10" i="26"/>
  <c r="C11" i="26"/>
  <c r="D11" i="26"/>
  <c r="E11" i="26"/>
  <c r="C12" i="26"/>
  <c r="D12" i="26"/>
  <c r="E12" i="26"/>
  <c r="C13" i="26"/>
  <c r="D13" i="26"/>
  <c r="E13" i="26"/>
  <c r="E7" i="26"/>
  <c r="D7" i="26"/>
  <c r="C7" i="26"/>
  <c r="A2" i="26"/>
  <c r="C8" i="25"/>
  <c r="D8" i="25"/>
  <c r="E8" i="25"/>
  <c r="C9" i="25"/>
  <c r="D18" i="25" s="1"/>
  <c r="D9" i="25"/>
  <c r="D24" i="25" s="1"/>
  <c r="E9" i="25"/>
  <c r="C10" i="25"/>
  <c r="D10" i="25"/>
  <c r="E10" i="25"/>
  <c r="C11" i="25"/>
  <c r="D11" i="25"/>
  <c r="E11" i="25"/>
  <c r="C12" i="25"/>
  <c r="D12" i="25"/>
  <c r="E12" i="25"/>
  <c r="C13" i="25"/>
  <c r="D13" i="25"/>
  <c r="E13" i="25"/>
  <c r="E7" i="25"/>
  <c r="D7" i="25"/>
  <c r="C7" i="25"/>
  <c r="A2" i="25"/>
  <c r="C8" i="24"/>
  <c r="D8" i="24"/>
  <c r="E8" i="24"/>
  <c r="C9" i="24"/>
  <c r="D18" i="24" s="1"/>
  <c r="D9" i="24"/>
  <c r="D24" i="24" s="1"/>
  <c r="E9" i="24"/>
  <c r="C10" i="24"/>
  <c r="D10" i="24"/>
  <c r="E10" i="24"/>
  <c r="C11" i="24"/>
  <c r="D11" i="24"/>
  <c r="E11" i="24"/>
  <c r="C12" i="24"/>
  <c r="D12" i="24"/>
  <c r="E12" i="24"/>
  <c r="C13" i="24"/>
  <c r="D13" i="24"/>
  <c r="E13" i="24"/>
  <c r="E7" i="24"/>
  <c r="D7" i="24"/>
  <c r="C7" i="24"/>
  <c r="A2" i="24"/>
  <c r="C8" i="23"/>
  <c r="D8" i="23"/>
  <c r="E8" i="23"/>
  <c r="C9" i="23"/>
  <c r="D18" i="23" s="1"/>
  <c r="D9" i="23"/>
  <c r="D24" i="23" s="1"/>
  <c r="E9" i="23"/>
  <c r="C10" i="23"/>
  <c r="D10" i="23"/>
  <c r="E10" i="23"/>
  <c r="C11" i="23"/>
  <c r="D11" i="23"/>
  <c r="E11" i="23"/>
  <c r="C12" i="23"/>
  <c r="D12" i="23"/>
  <c r="E12" i="23"/>
  <c r="C13" i="23"/>
  <c r="D13" i="23"/>
  <c r="E13" i="23"/>
  <c r="E7" i="23"/>
  <c r="D7" i="23"/>
  <c r="C7" i="23"/>
  <c r="A2" i="23"/>
  <c r="C8" i="22"/>
  <c r="D8" i="22"/>
  <c r="E8" i="22"/>
  <c r="C9" i="22"/>
  <c r="D18" i="22" s="1"/>
  <c r="D9" i="22"/>
  <c r="D24" i="22" s="1"/>
  <c r="E9" i="22"/>
  <c r="C10" i="22"/>
  <c r="D10" i="22"/>
  <c r="E10" i="22"/>
  <c r="C11" i="22"/>
  <c r="D11" i="22"/>
  <c r="E11" i="22"/>
  <c r="C12" i="22"/>
  <c r="D12" i="22"/>
  <c r="E12" i="22"/>
  <c r="C13" i="22"/>
  <c r="D13" i="22"/>
  <c r="E13" i="22"/>
  <c r="E7" i="22"/>
  <c r="D7" i="22"/>
  <c r="C7" i="22"/>
  <c r="A2" i="22"/>
  <c r="C8" i="21"/>
  <c r="D8" i="21"/>
  <c r="E8" i="21"/>
  <c r="C9" i="21"/>
  <c r="D18" i="21" s="1"/>
  <c r="D9" i="21"/>
  <c r="D24" i="21" s="1"/>
  <c r="E9" i="21"/>
  <c r="C10" i="21"/>
  <c r="D10" i="21"/>
  <c r="E10" i="21"/>
  <c r="C11" i="21"/>
  <c r="D11" i="21"/>
  <c r="E11" i="21"/>
  <c r="C12" i="21"/>
  <c r="D12" i="21"/>
  <c r="E12" i="21"/>
  <c r="C13" i="21"/>
  <c r="D13" i="21"/>
  <c r="E13" i="21"/>
  <c r="E7" i="21"/>
  <c r="D7" i="21"/>
  <c r="C7" i="21"/>
  <c r="A2" i="21"/>
  <c r="C8" i="20"/>
  <c r="D8" i="20"/>
  <c r="E8" i="20"/>
  <c r="C9" i="20"/>
  <c r="D18" i="20" s="1"/>
  <c r="D9" i="20"/>
  <c r="D24" i="20" s="1"/>
  <c r="E9" i="20"/>
  <c r="C10" i="20"/>
  <c r="D10" i="20"/>
  <c r="E10" i="20"/>
  <c r="C11" i="20"/>
  <c r="D11" i="20"/>
  <c r="E11" i="20"/>
  <c r="C12" i="20"/>
  <c r="D12" i="20"/>
  <c r="E12" i="20"/>
  <c r="C13" i="20"/>
  <c r="D13" i="20"/>
  <c r="E13" i="20"/>
  <c r="E7" i="20"/>
  <c r="D7" i="20"/>
  <c r="C7" i="20"/>
  <c r="A2" i="20"/>
  <c r="C8" i="19"/>
  <c r="D8" i="19"/>
  <c r="E8" i="19"/>
  <c r="C9" i="19"/>
  <c r="D18" i="19" s="1"/>
  <c r="D9" i="19"/>
  <c r="D24" i="19" s="1"/>
  <c r="E9" i="19"/>
  <c r="C10" i="19"/>
  <c r="D10" i="19"/>
  <c r="E10" i="19"/>
  <c r="C11" i="19"/>
  <c r="D11" i="19"/>
  <c r="E11" i="19"/>
  <c r="C12" i="19"/>
  <c r="D12" i="19"/>
  <c r="E12" i="19"/>
  <c r="C13" i="19"/>
  <c r="D13" i="19"/>
  <c r="E13" i="19"/>
  <c r="E7" i="19"/>
  <c r="D7" i="19"/>
  <c r="C7" i="19"/>
  <c r="A2" i="19"/>
  <c r="C8" i="18"/>
  <c r="D8" i="18"/>
  <c r="E8" i="18"/>
  <c r="C9" i="18"/>
  <c r="D18" i="18" s="1"/>
  <c r="D9" i="18"/>
  <c r="D24" i="18" s="1"/>
  <c r="E9" i="18"/>
  <c r="C10" i="18"/>
  <c r="D10" i="18"/>
  <c r="E10" i="18"/>
  <c r="C11" i="18"/>
  <c r="D11" i="18"/>
  <c r="E11" i="18"/>
  <c r="C12" i="18"/>
  <c r="D12" i="18"/>
  <c r="E12" i="18"/>
  <c r="C13" i="18"/>
  <c r="D13" i="18"/>
  <c r="E13" i="18"/>
  <c r="E7" i="18"/>
  <c r="D7" i="18"/>
  <c r="C7" i="18"/>
  <c r="A2" i="18"/>
  <c r="C8" i="17"/>
  <c r="D8" i="17"/>
  <c r="E8" i="17"/>
  <c r="C9" i="17"/>
  <c r="D18" i="17" s="1"/>
  <c r="D9" i="17"/>
  <c r="D24" i="17" s="1"/>
  <c r="E9" i="17"/>
  <c r="C10" i="17"/>
  <c r="D10" i="17"/>
  <c r="E10" i="17"/>
  <c r="C11" i="17"/>
  <c r="D11" i="17"/>
  <c r="E11" i="17"/>
  <c r="C12" i="17"/>
  <c r="D12" i="17"/>
  <c r="E12" i="17"/>
  <c r="C13" i="17"/>
  <c r="D13" i="17"/>
  <c r="E13" i="17"/>
  <c r="E7" i="17"/>
  <c r="D7" i="17"/>
  <c r="C7" i="17"/>
  <c r="A2" i="17"/>
  <c r="C8" i="16"/>
  <c r="D8" i="16"/>
  <c r="E8" i="16"/>
  <c r="C9" i="16"/>
  <c r="D18" i="16" s="1"/>
  <c r="D9" i="16"/>
  <c r="D24" i="16" s="1"/>
  <c r="E9" i="16"/>
  <c r="C10" i="16"/>
  <c r="D10" i="16"/>
  <c r="E10" i="16"/>
  <c r="C11" i="16"/>
  <c r="D11" i="16"/>
  <c r="E11" i="16"/>
  <c r="C12" i="16"/>
  <c r="D12" i="16"/>
  <c r="E12" i="16"/>
  <c r="C13" i="16"/>
  <c r="D13" i="16"/>
  <c r="E13" i="16"/>
  <c r="E7" i="16"/>
  <c r="D7" i="16"/>
  <c r="C7" i="16"/>
  <c r="A2" i="16"/>
  <c r="C8" i="15"/>
  <c r="D8" i="15"/>
  <c r="E8" i="15"/>
  <c r="C9" i="15"/>
  <c r="D18" i="15" s="1"/>
  <c r="D9" i="15"/>
  <c r="D24" i="15" s="1"/>
  <c r="E9" i="15"/>
  <c r="C10" i="15"/>
  <c r="D10" i="15"/>
  <c r="E10" i="15"/>
  <c r="C11" i="15"/>
  <c r="D11" i="15"/>
  <c r="E11" i="15"/>
  <c r="C12" i="15"/>
  <c r="D12" i="15"/>
  <c r="E12" i="15"/>
  <c r="C13" i="15"/>
  <c r="D13" i="15"/>
  <c r="E13" i="15"/>
  <c r="E7" i="15"/>
  <c r="D7" i="15"/>
  <c r="C7" i="15"/>
  <c r="A2" i="15"/>
  <c r="C8" i="14"/>
  <c r="D8" i="14"/>
  <c r="E8" i="14"/>
  <c r="C9" i="14"/>
  <c r="D18" i="14" s="1"/>
  <c r="D9" i="14"/>
  <c r="D24" i="14" s="1"/>
  <c r="E9" i="14"/>
  <c r="C10" i="14"/>
  <c r="D10" i="14"/>
  <c r="E10" i="14"/>
  <c r="C11" i="14"/>
  <c r="D11" i="14"/>
  <c r="E11" i="14"/>
  <c r="C12" i="14"/>
  <c r="D12" i="14"/>
  <c r="E12" i="14"/>
  <c r="C13" i="14"/>
  <c r="D13" i="14"/>
  <c r="E13" i="14"/>
  <c r="E7" i="14"/>
  <c r="D7" i="14"/>
  <c r="C7" i="14"/>
  <c r="A2" i="14"/>
  <c r="C8" i="13"/>
  <c r="D8" i="13"/>
  <c r="E8" i="13"/>
  <c r="C9" i="13"/>
  <c r="D18" i="13" s="1"/>
  <c r="D9" i="13"/>
  <c r="D24" i="13" s="1"/>
  <c r="E9" i="13"/>
  <c r="C10" i="13"/>
  <c r="D10" i="13"/>
  <c r="E10" i="13"/>
  <c r="C11" i="13"/>
  <c r="D11" i="13"/>
  <c r="E11" i="13"/>
  <c r="C12" i="13"/>
  <c r="D12" i="13"/>
  <c r="E12" i="13"/>
  <c r="C13" i="13"/>
  <c r="D13" i="13"/>
  <c r="E13" i="13"/>
  <c r="E7" i="13"/>
  <c r="D7" i="13"/>
  <c r="C7" i="13"/>
  <c r="A2" i="13"/>
  <c r="C8" i="12"/>
  <c r="D8" i="12"/>
  <c r="E8" i="12"/>
  <c r="C9" i="12"/>
  <c r="D18" i="12" s="1"/>
  <c r="D9" i="12"/>
  <c r="D24" i="12" s="1"/>
  <c r="E9" i="12"/>
  <c r="C10" i="12"/>
  <c r="D10" i="12"/>
  <c r="E10" i="12"/>
  <c r="C11" i="12"/>
  <c r="D11" i="12"/>
  <c r="E11" i="12"/>
  <c r="C12" i="12"/>
  <c r="D12" i="12"/>
  <c r="E12" i="12"/>
  <c r="C13" i="12"/>
  <c r="D13" i="12"/>
  <c r="E13" i="12"/>
  <c r="E7" i="12"/>
  <c r="D7" i="12"/>
  <c r="C7" i="12"/>
  <c r="A2" i="12"/>
  <c r="C8" i="11"/>
  <c r="D8" i="11"/>
  <c r="E8" i="11"/>
  <c r="C9" i="11"/>
  <c r="D18" i="11" s="1"/>
  <c r="D9" i="11"/>
  <c r="D24" i="11" s="1"/>
  <c r="E9" i="11"/>
  <c r="C10" i="11"/>
  <c r="D10" i="11"/>
  <c r="E10" i="11"/>
  <c r="C11" i="11"/>
  <c r="D11" i="11"/>
  <c r="E11" i="11"/>
  <c r="C12" i="11"/>
  <c r="D12" i="11"/>
  <c r="E12" i="11"/>
  <c r="C13" i="11"/>
  <c r="D13" i="11"/>
  <c r="E13" i="11"/>
  <c r="E7" i="11"/>
  <c r="D7" i="11"/>
  <c r="C7" i="11"/>
  <c r="A2" i="11"/>
  <c r="C8" i="10"/>
  <c r="D8" i="10"/>
  <c r="E8" i="10"/>
  <c r="C9" i="10"/>
  <c r="D18" i="10" s="1"/>
  <c r="D9" i="10"/>
  <c r="D24" i="10" s="1"/>
  <c r="E9" i="10"/>
  <c r="C10" i="10"/>
  <c r="D10" i="10"/>
  <c r="E10" i="10"/>
  <c r="C11" i="10"/>
  <c r="D11" i="10"/>
  <c r="E11" i="10"/>
  <c r="C12" i="10"/>
  <c r="D12" i="10"/>
  <c r="E12" i="10"/>
  <c r="C13" i="10"/>
  <c r="D13" i="10"/>
  <c r="E13" i="10"/>
  <c r="E7" i="10"/>
  <c r="D7" i="10"/>
  <c r="C7" i="10"/>
  <c r="A2" i="10"/>
  <c r="C8" i="9"/>
  <c r="D8" i="9"/>
  <c r="E8" i="9"/>
  <c r="C9" i="9"/>
  <c r="D18" i="9" s="1"/>
  <c r="D9" i="9"/>
  <c r="D24" i="9" s="1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E7" i="9"/>
  <c r="D7" i="9"/>
  <c r="C7" i="9"/>
  <c r="A2" i="9"/>
  <c r="C8" i="8"/>
  <c r="D8" i="8"/>
  <c r="E8" i="8"/>
  <c r="C9" i="8"/>
  <c r="D18" i="8" s="1"/>
  <c r="D9" i="8"/>
  <c r="D24" i="8" s="1"/>
  <c r="E9" i="8"/>
  <c r="C10" i="8"/>
  <c r="D10" i="8"/>
  <c r="E10" i="8"/>
  <c r="C11" i="8"/>
  <c r="D11" i="8"/>
  <c r="E11" i="8"/>
  <c r="C12" i="8"/>
  <c r="D12" i="8"/>
  <c r="E12" i="8"/>
  <c r="C13" i="8"/>
  <c r="D13" i="8"/>
  <c r="E13" i="8"/>
  <c r="E7" i="8"/>
  <c r="D7" i="8"/>
  <c r="C7" i="8"/>
  <c r="A2" i="8"/>
  <c r="C8" i="7"/>
  <c r="D8" i="7"/>
  <c r="E8" i="7"/>
  <c r="C9" i="7"/>
  <c r="D18" i="7" s="1"/>
  <c r="D9" i="7"/>
  <c r="D24" i="7" s="1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E7" i="7"/>
  <c r="D7" i="7"/>
  <c r="C7" i="7"/>
  <c r="A2" i="7"/>
  <c r="C8" i="6"/>
  <c r="D8" i="6"/>
  <c r="E8" i="6"/>
  <c r="C9" i="6"/>
  <c r="D18" i="6" s="1"/>
  <c r="D9" i="6"/>
  <c r="D24" i="6" s="1"/>
  <c r="E9" i="6"/>
  <c r="C10" i="6"/>
  <c r="D10" i="6"/>
  <c r="E10" i="6"/>
  <c r="C11" i="6"/>
  <c r="D11" i="6"/>
  <c r="E11" i="6"/>
  <c r="C12" i="6"/>
  <c r="D12" i="6"/>
  <c r="E12" i="6"/>
  <c r="C13" i="6"/>
  <c r="D13" i="6"/>
  <c r="E13" i="6"/>
  <c r="E7" i="6"/>
  <c r="D7" i="6"/>
  <c r="C7" i="6"/>
  <c r="A2" i="6"/>
  <c r="C8" i="5"/>
  <c r="D8" i="5"/>
  <c r="E8" i="5"/>
  <c r="C9" i="5"/>
  <c r="D18" i="5" s="1"/>
  <c r="D9" i="5"/>
  <c r="D24" i="5" s="1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E7" i="5"/>
  <c r="D7" i="5"/>
  <c r="C7" i="5"/>
  <c r="A2" i="5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D24" i="4" s="1"/>
  <c r="C9" i="4"/>
  <c r="D18" i="4" s="1"/>
  <c r="E8" i="4"/>
  <c r="D8" i="4"/>
  <c r="C8" i="4"/>
  <c r="E7" i="4"/>
  <c r="D7" i="4"/>
  <c r="C7" i="4"/>
  <c r="A2" i="4"/>
  <c r="D17" i="31" l="1"/>
  <c r="D17" i="28"/>
  <c r="D17" i="29"/>
  <c r="D17" i="23"/>
  <c r="D17" i="26"/>
  <c r="D17" i="18"/>
  <c r="D17" i="21"/>
  <c r="D17" i="30"/>
  <c r="D17" i="16"/>
  <c r="D17" i="6"/>
  <c r="D6" i="31"/>
  <c r="D14" i="31" s="1"/>
  <c r="D23" i="20"/>
  <c r="D25" i="31"/>
  <c r="D25" i="14"/>
  <c r="D19" i="12"/>
  <c r="D26" i="6"/>
  <c r="D25" i="23"/>
  <c r="D25" i="25"/>
  <c r="D23" i="25"/>
  <c r="D19" i="18"/>
  <c r="D20" i="19"/>
  <c r="D23" i="4"/>
  <c r="D26" i="20"/>
  <c r="D20" i="26"/>
  <c r="D20" i="28"/>
  <c r="D6" i="29"/>
  <c r="D14" i="29" s="1"/>
  <c r="D20" i="4"/>
  <c r="D23" i="7"/>
  <c r="D26" i="9"/>
  <c r="D20" i="20"/>
  <c r="D20" i="23"/>
  <c r="D26" i="26"/>
  <c r="D26" i="29"/>
  <c r="C6" i="31"/>
  <c r="C14" i="31" s="1"/>
  <c r="C6" i="14"/>
  <c r="C14" i="14" s="1"/>
  <c r="D6" i="26"/>
  <c r="D14" i="26" s="1"/>
  <c r="D19" i="9"/>
  <c r="D26" i="12"/>
  <c r="D26" i="14"/>
  <c r="D25" i="22"/>
  <c r="D19" i="24"/>
  <c r="D20" i="13"/>
  <c r="D25" i="20"/>
  <c r="D23" i="22"/>
  <c r="D20" i="29"/>
  <c r="D23" i="29"/>
  <c r="D23" i="31"/>
  <c r="D20" i="31"/>
  <c r="C6" i="7"/>
  <c r="C14" i="7" s="1"/>
  <c r="C6" i="13"/>
  <c r="C14" i="13" s="1"/>
  <c r="D19" i="15"/>
  <c r="D23" i="26"/>
  <c r="D19" i="30"/>
  <c r="D19" i="6"/>
  <c r="D25" i="8"/>
  <c r="D19" i="10"/>
  <c r="D26" i="15"/>
  <c r="D6" i="17"/>
  <c r="D14" i="17" s="1"/>
  <c r="D26" i="17"/>
  <c r="D19" i="21"/>
  <c r="D6" i="14"/>
  <c r="D14" i="14" s="1"/>
  <c r="C6" i="16"/>
  <c r="C14" i="16" s="1"/>
  <c r="C6" i="17"/>
  <c r="C14" i="17" s="1"/>
  <c r="D6" i="18"/>
  <c r="D14" i="18" s="1"/>
  <c r="D6" i="25"/>
  <c r="D14" i="25" s="1"/>
  <c r="D25" i="26"/>
  <c r="D19" i="13"/>
  <c r="D6" i="4"/>
  <c r="D14" i="4" s="1"/>
  <c r="D19" i="4"/>
  <c r="D26" i="5"/>
  <c r="D23" i="8"/>
  <c r="D26" i="8"/>
  <c r="D23" i="9"/>
  <c r="D23" i="11"/>
  <c r="D26" i="11"/>
  <c r="D23" i="12"/>
  <c r="D20" i="16"/>
  <c r="C6" i="19"/>
  <c r="C14" i="19" s="1"/>
  <c r="D6" i="22"/>
  <c r="D14" i="22" s="1"/>
  <c r="D25" i="7"/>
  <c r="D20" i="12"/>
  <c r="D19" i="16"/>
  <c r="D20" i="18"/>
  <c r="D6" i="20"/>
  <c r="D14" i="20" s="1"/>
  <c r="D23" i="23"/>
  <c r="D26" i="23"/>
  <c r="C6" i="24"/>
  <c r="C14" i="24" s="1"/>
  <c r="D6" i="8"/>
  <c r="D14" i="8" s="1"/>
  <c r="D26" i="4"/>
  <c r="D23" i="6"/>
  <c r="D23" i="14"/>
  <c r="D6" i="16"/>
  <c r="D14" i="16" s="1"/>
  <c r="D6" i="21"/>
  <c r="D14" i="21" s="1"/>
  <c r="C6" i="22"/>
  <c r="C14" i="22" s="1"/>
  <c r="D6" i="30"/>
  <c r="D14" i="30" s="1"/>
  <c r="D17" i="4"/>
  <c r="D25" i="4"/>
  <c r="D6" i="7"/>
  <c r="D14" i="7" s="1"/>
  <c r="D6" i="11"/>
  <c r="D14" i="11" s="1"/>
  <c r="D6" i="12"/>
  <c r="D14" i="12" s="1"/>
  <c r="D23" i="15"/>
  <c r="C6" i="20"/>
  <c r="C14" i="20" s="1"/>
  <c r="D6" i="23"/>
  <c r="D14" i="23" s="1"/>
  <c r="D6" i="24"/>
  <c r="D14" i="24" s="1"/>
  <c r="C6" i="25"/>
  <c r="C14" i="25" s="1"/>
  <c r="C6" i="28"/>
  <c r="C14" i="28" s="1"/>
  <c r="D6" i="28"/>
  <c r="D14" i="28" s="1"/>
  <c r="C6" i="10"/>
  <c r="C14" i="10" s="1"/>
  <c r="D6" i="19"/>
  <c r="D14" i="19" s="1"/>
  <c r="C6" i="29"/>
  <c r="C14" i="29" s="1"/>
  <c r="D6" i="5"/>
  <c r="D14" i="5" s="1"/>
  <c r="D23" i="5"/>
  <c r="D25" i="5"/>
  <c r="D20" i="5"/>
  <c r="D20" i="6"/>
  <c r="D19" i="7"/>
  <c r="D17" i="7"/>
  <c r="D20" i="8"/>
  <c r="C6" i="8"/>
  <c r="C14" i="8" s="1"/>
  <c r="E14" i="8" s="1"/>
  <c r="F13" i="8" s="1"/>
  <c r="D20" i="9"/>
  <c r="D20" i="10"/>
  <c r="D17" i="10"/>
  <c r="D25" i="11"/>
  <c r="C6" i="11"/>
  <c r="C14" i="11" s="1"/>
  <c r="D17" i="13"/>
  <c r="D20" i="14"/>
  <c r="D20" i="15"/>
  <c r="D25" i="17"/>
  <c r="D20" i="17"/>
  <c r="D25" i="19"/>
  <c r="D17" i="19"/>
  <c r="D20" i="21"/>
  <c r="D20" i="22"/>
  <c r="D17" i="22"/>
  <c r="D20" i="24"/>
  <c r="D20" i="25"/>
  <c r="D17" i="25"/>
  <c r="D25" i="28"/>
  <c r="D25" i="29"/>
  <c r="C6" i="30"/>
  <c r="C14" i="30" s="1"/>
  <c r="D20" i="30"/>
  <c r="D20" i="7"/>
  <c r="D19" i="14"/>
  <c r="D25" i="15"/>
  <c r="D20" i="11"/>
  <c r="D25" i="12"/>
  <c r="E23" i="12" s="1"/>
  <c r="D17" i="5"/>
  <c r="C6" i="6"/>
  <c r="C14" i="6" s="1"/>
  <c r="D6" i="9"/>
  <c r="D14" i="9" s="1"/>
  <c r="D6" i="15"/>
  <c r="D14" i="15" s="1"/>
  <c r="C6" i="15"/>
  <c r="C14" i="15" s="1"/>
  <c r="D23" i="17"/>
  <c r="D17" i="17"/>
  <c r="C6" i="18"/>
  <c r="C14" i="18" s="1"/>
  <c r="E14" i="18" s="1"/>
  <c r="D25" i="21"/>
  <c r="D26" i="21"/>
  <c r="D26" i="22"/>
  <c r="C6" i="23"/>
  <c r="C14" i="23" s="1"/>
  <c r="D17" i="24"/>
  <c r="D25" i="24"/>
  <c r="D26" i="24"/>
  <c r="D26" i="25"/>
  <c r="C6" i="26"/>
  <c r="C14" i="26" s="1"/>
  <c r="D23" i="28"/>
  <c r="D19" i="28"/>
  <c r="D19" i="29"/>
  <c r="D25" i="30"/>
  <c r="D26" i="30"/>
  <c r="D25" i="9"/>
  <c r="D25" i="16"/>
  <c r="D26" i="16"/>
  <c r="D25" i="18"/>
  <c r="D26" i="18"/>
  <c r="D26" i="19"/>
  <c r="D19" i="20"/>
  <c r="D19" i="22"/>
  <c r="D19" i="23"/>
  <c r="E17" i="23" s="1"/>
  <c r="D19" i="25"/>
  <c r="D19" i="26"/>
  <c r="D26" i="31"/>
  <c r="D17" i="14"/>
  <c r="D19" i="17"/>
  <c r="D23" i="19"/>
  <c r="D19" i="19"/>
  <c r="C6" i="21"/>
  <c r="C14" i="21" s="1"/>
  <c r="D26" i="28"/>
  <c r="D19" i="31"/>
  <c r="G7" i="5"/>
  <c r="D19" i="5"/>
  <c r="D26" i="7"/>
  <c r="E23" i="7" s="1"/>
  <c r="C6" i="9"/>
  <c r="C14" i="9" s="1"/>
  <c r="D17" i="9"/>
  <c r="C6" i="12"/>
  <c r="C14" i="12" s="1"/>
  <c r="D17" i="12"/>
  <c r="D19" i="8"/>
  <c r="D19" i="11"/>
  <c r="D6" i="13"/>
  <c r="D14" i="13" s="1"/>
  <c r="D23" i="13"/>
  <c r="D25" i="13"/>
  <c r="D26" i="13"/>
  <c r="D25" i="6"/>
  <c r="D6" i="10"/>
  <c r="D14" i="10" s="1"/>
  <c r="D23" i="10"/>
  <c r="D25" i="10"/>
  <c r="D26" i="10"/>
  <c r="C6" i="5"/>
  <c r="C14" i="5" s="1"/>
  <c r="D6" i="6"/>
  <c r="D14" i="6" s="1"/>
  <c r="D17" i="8"/>
  <c r="D17" i="11"/>
  <c r="C6" i="4"/>
  <c r="C14" i="4" s="1"/>
  <c r="D17" i="15"/>
  <c r="D23" i="16"/>
  <c r="D23" i="18"/>
  <c r="D17" i="20"/>
  <c r="D23" i="21"/>
  <c r="D23" i="24"/>
  <c r="D23" i="30"/>
  <c r="B3" i="31"/>
  <c r="B2" i="31"/>
  <c r="G7" i="31"/>
  <c r="G8" i="31"/>
  <c r="G9" i="31"/>
  <c r="G10" i="31"/>
  <c r="G11" i="31"/>
  <c r="G12" i="31"/>
  <c r="G13" i="31"/>
  <c r="B3" i="30"/>
  <c r="B2" i="30"/>
  <c r="G7" i="30"/>
  <c r="G8" i="30"/>
  <c r="G9" i="30"/>
  <c r="G10" i="30"/>
  <c r="G11" i="30"/>
  <c r="G12" i="30"/>
  <c r="G13" i="30"/>
  <c r="B3" i="29"/>
  <c r="B2" i="29"/>
  <c r="G7" i="29"/>
  <c r="G8" i="29"/>
  <c r="G9" i="29"/>
  <c r="G10" i="29"/>
  <c r="G11" i="29"/>
  <c r="G12" i="29"/>
  <c r="G13" i="29"/>
  <c r="B3" i="28"/>
  <c r="B2" i="28"/>
  <c r="G7" i="28"/>
  <c r="G8" i="28"/>
  <c r="G9" i="28"/>
  <c r="G10" i="28"/>
  <c r="G11" i="28"/>
  <c r="G12" i="28"/>
  <c r="G13" i="28"/>
  <c r="B3" i="26"/>
  <c r="B2" i="26"/>
  <c r="G7" i="26"/>
  <c r="G8" i="26"/>
  <c r="G9" i="26"/>
  <c r="G10" i="26"/>
  <c r="G11" i="26"/>
  <c r="G12" i="26"/>
  <c r="G13" i="26"/>
  <c r="B3" i="25"/>
  <c r="B2" i="25"/>
  <c r="G7" i="25"/>
  <c r="G8" i="25"/>
  <c r="G9" i="25"/>
  <c r="G10" i="25"/>
  <c r="G11" i="25"/>
  <c r="G12" i="25"/>
  <c r="G13" i="25"/>
  <c r="B3" i="24"/>
  <c r="B2" i="24"/>
  <c r="G7" i="24"/>
  <c r="G8" i="24"/>
  <c r="G9" i="24"/>
  <c r="G10" i="24"/>
  <c r="G11" i="24"/>
  <c r="G12" i="24"/>
  <c r="G13" i="24"/>
  <c r="B3" i="23"/>
  <c r="B2" i="23"/>
  <c r="G7" i="23"/>
  <c r="G8" i="23"/>
  <c r="G9" i="23"/>
  <c r="G10" i="23"/>
  <c r="G11" i="23"/>
  <c r="G12" i="23"/>
  <c r="G13" i="23"/>
  <c r="B3" i="22"/>
  <c r="B2" i="22"/>
  <c r="G7" i="22"/>
  <c r="G8" i="22"/>
  <c r="G9" i="22"/>
  <c r="G10" i="22"/>
  <c r="G11" i="22"/>
  <c r="G12" i="22"/>
  <c r="G13" i="22"/>
  <c r="B3" i="21"/>
  <c r="B2" i="21"/>
  <c r="G7" i="21"/>
  <c r="G8" i="21"/>
  <c r="G9" i="21"/>
  <c r="G10" i="21"/>
  <c r="G11" i="21"/>
  <c r="G12" i="21"/>
  <c r="G13" i="21"/>
  <c r="B3" i="20"/>
  <c r="B2" i="20"/>
  <c r="G7" i="20"/>
  <c r="G8" i="20"/>
  <c r="G9" i="20"/>
  <c r="G10" i="20"/>
  <c r="G11" i="20"/>
  <c r="G12" i="20"/>
  <c r="G13" i="20"/>
  <c r="B3" i="19"/>
  <c r="B2" i="19"/>
  <c r="G7" i="19"/>
  <c r="G8" i="19"/>
  <c r="G9" i="19"/>
  <c r="G10" i="19"/>
  <c r="G11" i="19"/>
  <c r="G12" i="19"/>
  <c r="G13" i="19"/>
  <c r="B3" i="18"/>
  <c r="B2" i="18"/>
  <c r="G7" i="18"/>
  <c r="G8" i="18"/>
  <c r="G9" i="18"/>
  <c r="G10" i="18"/>
  <c r="G11" i="18"/>
  <c r="G12" i="18"/>
  <c r="G13" i="18"/>
  <c r="B3" i="17"/>
  <c r="B2" i="17"/>
  <c r="G7" i="17"/>
  <c r="G8" i="17"/>
  <c r="G9" i="17"/>
  <c r="G10" i="17"/>
  <c r="G11" i="17"/>
  <c r="G12" i="17"/>
  <c r="G13" i="17"/>
  <c r="B3" i="16"/>
  <c r="B2" i="16"/>
  <c r="G7" i="16"/>
  <c r="G8" i="16"/>
  <c r="G9" i="16"/>
  <c r="G10" i="16"/>
  <c r="G11" i="16"/>
  <c r="G12" i="16"/>
  <c r="G13" i="16"/>
  <c r="B3" i="15"/>
  <c r="B2" i="15"/>
  <c r="G7" i="15"/>
  <c r="G8" i="15"/>
  <c r="G9" i="15"/>
  <c r="G10" i="15"/>
  <c r="G11" i="15"/>
  <c r="G12" i="15"/>
  <c r="G13" i="15"/>
  <c r="B3" i="14"/>
  <c r="B2" i="14"/>
  <c r="G7" i="14"/>
  <c r="G8" i="14"/>
  <c r="G9" i="14"/>
  <c r="G10" i="14"/>
  <c r="G11" i="14"/>
  <c r="G12" i="14"/>
  <c r="G13" i="14"/>
  <c r="B3" i="13"/>
  <c r="B2" i="13"/>
  <c r="G7" i="13"/>
  <c r="G8" i="13"/>
  <c r="G9" i="13"/>
  <c r="G10" i="13"/>
  <c r="G11" i="13"/>
  <c r="G12" i="13"/>
  <c r="G13" i="13"/>
  <c r="B3" i="12"/>
  <c r="B2" i="12"/>
  <c r="G7" i="12"/>
  <c r="G8" i="12"/>
  <c r="G9" i="12"/>
  <c r="G10" i="12"/>
  <c r="G11" i="12"/>
  <c r="G12" i="12"/>
  <c r="G13" i="12"/>
  <c r="B3" i="11"/>
  <c r="B2" i="11"/>
  <c r="G7" i="11"/>
  <c r="G8" i="11"/>
  <c r="G9" i="11"/>
  <c r="G10" i="11"/>
  <c r="G11" i="11"/>
  <c r="G12" i="11"/>
  <c r="G13" i="11"/>
  <c r="B3" i="10"/>
  <c r="B2" i="10"/>
  <c r="G7" i="10"/>
  <c r="G8" i="10"/>
  <c r="G9" i="10"/>
  <c r="G10" i="10"/>
  <c r="G11" i="10"/>
  <c r="G12" i="10"/>
  <c r="G13" i="10"/>
  <c r="B3" i="9"/>
  <c r="B2" i="9"/>
  <c r="G7" i="9"/>
  <c r="G8" i="9"/>
  <c r="G9" i="9"/>
  <c r="G10" i="9"/>
  <c r="G11" i="9"/>
  <c r="G12" i="9"/>
  <c r="G13" i="9"/>
  <c r="B3" i="8"/>
  <c r="B2" i="8"/>
  <c r="G7" i="8"/>
  <c r="G8" i="8"/>
  <c r="G9" i="8"/>
  <c r="G10" i="8"/>
  <c r="G11" i="8"/>
  <c r="G12" i="8"/>
  <c r="G13" i="8"/>
  <c r="B3" i="7"/>
  <c r="B2" i="7"/>
  <c r="G7" i="7"/>
  <c r="G8" i="7"/>
  <c r="G9" i="7"/>
  <c r="G10" i="7"/>
  <c r="G11" i="7"/>
  <c r="G12" i="7"/>
  <c r="G13" i="7"/>
  <c r="B3" i="6"/>
  <c r="B2" i="6"/>
  <c r="G7" i="6"/>
  <c r="G8" i="6"/>
  <c r="G9" i="6"/>
  <c r="G10" i="6"/>
  <c r="G11" i="6"/>
  <c r="G12" i="6"/>
  <c r="G13" i="6"/>
  <c r="G11" i="5"/>
  <c r="G9" i="5"/>
  <c r="G8" i="5"/>
  <c r="B3" i="5"/>
  <c r="B2" i="5"/>
  <c r="G10" i="5"/>
  <c r="G12" i="5"/>
  <c r="G13" i="5"/>
  <c r="B3" i="4"/>
  <c r="B2" i="4"/>
  <c r="G7" i="4"/>
  <c r="G8" i="4"/>
  <c r="G9" i="4"/>
  <c r="G10" i="4"/>
  <c r="G11" i="4"/>
  <c r="G12" i="4"/>
  <c r="G13" i="4"/>
  <c r="D24" i="3"/>
  <c r="D18" i="3"/>
  <c r="A2" i="3"/>
  <c r="B2" i="3" s="1"/>
  <c r="E23" i="4" l="1"/>
  <c r="E14" i="23"/>
  <c r="F11" i="23" s="1"/>
  <c r="G14" i="18"/>
  <c r="G14" i="19"/>
  <c r="E18" i="26"/>
  <c r="E25" i="20"/>
  <c r="E24" i="25"/>
  <c r="E17" i="29"/>
  <c r="E17" i="31"/>
  <c r="E26" i="20"/>
  <c r="E24" i="26"/>
  <c r="E26" i="14"/>
  <c r="E23" i="31"/>
  <c r="E24" i="23"/>
  <c r="E20" i="16"/>
  <c r="E14" i="31"/>
  <c r="E6" i="31" s="1"/>
  <c r="F6" i="31" s="1"/>
  <c r="E24" i="29"/>
  <c r="E26" i="4"/>
  <c r="E14" i="13"/>
  <c r="F7" i="13" s="1"/>
  <c r="E18" i="6"/>
  <c r="E19" i="16"/>
  <c r="E24" i="8"/>
  <c r="E25" i="4"/>
  <c r="E24" i="4"/>
  <c r="E24" i="22"/>
  <c r="E24" i="14"/>
  <c r="E26" i="12"/>
  <c r="E23" i="26"/>
  <c r="E24" i="20"/>
  <c r="E26" i="26"/>
  <c r="E14" i="29"/>
  <c r="E6" i="29" s="1"/>
  <c r="F6" i="29" s="1"/>
  <c r="E14" i="21"/>
  <c r="E6" i="21" s="1"/>
  <c r="F6" i="21" s="1"/>
  <c r="E17" i="13"/>
  <c r="E25" i="14"/>
  <c r="E23" i="6"/>
  <c r="E25" i="26"/>
  <c r="E17" i="21"/>
  <c r="E14" i="26"/>
  <c r="F12" i="26" s="1"/>
  <c r="E19" i="4"/>
  <c r="E14" i="16"/>
  <c r="E6" i="16" s="1"/>
  <c r="F6" i="16" s="1"/>
  <c r="E26" i="23"/>
  <c r="E17" i="16"/>
  <c r="E20" i="4"/>
  <c r="E18" i="28"/>
  <c r="E17" i="12"/>
  <c r="E20" i="6"/>
  <c r="E24" i="12"/>
  <c r="E14" i="30"/>
  <c r="F13" i="30" s="1"/>
  <c r="E25" i="12"/>
  <c r="E14" i="20"/>
  <c r="F7" i="20" s="1"/>
  <c r="E17" i="18"/>
  <c r="E23" i="8"/>
  <c r="E19" i="18"/>
  <c r="E26" i="8"/>
  <c r="E25" i="8"/>
  <c r="E20" i="18"/>
  <c r="E14" i="11"/>
  <c r="E6" i="11" s="1"/>
  <c r="F6" i="11" s="1"/>
  <c r="E26" i="22"/>
  <c r="E14" i="17"/>
  <c r="E6" i="17" s="1"/>
  <c r="F6" i="17" s="1"/>
  <c r="E18" i="18"/>
  <c r="E25" i="22"/>
  <c r="E20" i="28"/>
  <c r="E17" i="4"/>
  <c r="E23" i="23"/>
  <c r="E18" i="16"/>
  <c r="E23" i="20"/>
  <c r="E23" i="14"/>
  <c r="E19" i="28"/>
  <c r="E17" i="26"/>
  <c r="E18" i="4"/>
  <c r="E25" i="23"/>
  <c r="E20" i="30"/>
  <c r="E26" i="29"/>
  <c r="E19" i="6"/>
  <c r="E25" i="31"/>
  <c r="E23" i="9"/>
  <c r="E17" i="28"/>
  <c r="E19" i="19"/>
  <c r="E14" i="7"/>
  <c r="F8" i="7" s="1"/>
  <c r="E14" i="5"/>
  <c r="F8" i="5" s="1"/>
  <c r="E19" i="24"/>
  <c r="E14" i="25"/>
  <c r="F10" i="25" s="1"/>
  <c r="E23" i="11"/>
  <c r="E24" i="7"/>
  <c r="E26" i="31"/>
  <c r="E24" i="31"/>
  <c r="E23" i="17"/>
  <c r="E19" i="9"/>
  <c r="E19" i="21"/>
  <c r="E24" i="17"/>
  <c r="E20" i="21"/>
  <c r="E23" i="30"/>
  <c r="E18" i="21"/>
  <c r="E14" i="10"/>
  <c r="F8" i="10" s="1"/>
  <c r="E25" i="17"/>
  <c r="E23" i="5"/>
  <c r="E14" i="19"/>
  <c r="F8" i="19" s="1"/>
  <c r="E14" i="14"/>
  <c r="F12" i="14" s="1"/>
  <c r="E23" i="28"/>
  <c r="E18" i="22"/>
  <c r="E17" i="10"/>
  <c r="E17" i="7"/>
  <c r="E14" i="28"/>
  <c r="F8" i="28" s="1"/>
  <c r="E14" i="22"/>
  <c r="F8" i="22" s="1"/>
  <c r="E19" i="17"/>
  <c r="E20" i="25"/>
  <c r="E17" i="30"/>
  <c r="E24" i="24"/>
  <c r="E24" i="16"/>
  <c r="E19" i="26"/>
  <c r="E20" i="26"/>
  <c r="E14" i="9"/>
  <c r="F9" i="9" s="1"/>
  <c r="E19" i="10"/>
  <c r="E18" i="17"/>
  <c r="E19" i="22"/>
  <c r="E20" i="22"/>
  <c r="E26" i="28"/>
  <c r="E17" i="20"/>
  <c r="E26" i="10"/>
  <c r="E25" i="30"/>
  <c r="E26" i="17"/>
  <c r="E24" i="30"/>
  <c r="E18" i="5"/>
  <c r="E26" i="7"/>
  <c r="E24" i="9"/>
  <c r="E24" i="28"/>
  <c r="E17" i="6"/>
  <c r="E25" i="28"/>
  <c r="E17" i="22"/>
  <c r="E20" i="17"/>
  <c r="E6" i="18"/>
  <c r="F6" i="18" s="1"/>
  <c r="F12" i="18"/>
  <c r="E26" i="5"/>
  <c r="E25" i="13"/>
  <c r="E20" i="7"/>
  <c r="E18" i="7"/>
  <c r="E18" i="10"/>
  <c r="E19" i="12"/>
  <c r="E20" i="13"/>
  <c r="E18" i="30"/>
  <c r="E23" i="25"/>
  <c r="E25" i="10"/>
  <c r="E17" i="5"/>
  <c r="E18" i="8"/>
  <c r="E18" i="15"/>
  <c r="E25" i="21"/>
  <c r="E25" i="5"/>
  <c r="E20" i="5"/>
  <c r="E24" i="6"/>
  <c r="E25" i="9"/>
  <c r="E26" i="9"/>
  <c r="E19" i="13"/>
  <c r="E18" i="23"/>
  <c r="E26" i="25"/>
  <c r="E19" i="29"/>
  <c r="E20" i="29"/>
  <c r="E18" i="29"/>
  <c r="E19" i="30"/>
  <c r="E26" i="30"/>
  <c r="E23" i="18"/>
  <c r="E19" i="5"/>
  <c r="E25" i="6"/>
  <c r="E26" i="6"/>
  <c r="E25" i="7"/>
  <c r="E20" i="10"/>
  <c r="E18" i="12"/>
  <c r="E18" i="13"/>
  <c r="E20" i="23"/>
  <c r="E19" i="25"/>
  <c r="E23" i="22"/>
  <c r="E17" i="9"/>
  <c r="E14" i="24"/>
  <c r="E6" i="24" s="1"/>
  <c r="F6" i="24" s="1"/>
  <c r="E24" i="19"/>
  <c r="E26" i="19"/>
  <c r="E26" i="16"/>
  <c r="E25" i="16"/>
  <c r="E23" i="15"/>
  <c r="E26" i="15"/>
  <c r="E24" i="15"/>
  <c r="E17" i="25"/>
  <c r="E25" i="15"/>
  <c r="E18" i="25"/>
  <c r="E20" i="31"/>
  <c r="E19" i="31"/>
  <c r="E18" i="31"/>
  <c r="E17" i="14"/>
  <c r="E18" i="14"/>
  <c r="E20" i="14"/>
  <c r="E19" i="14"/>
  <c r="F9" i="23"/>
  <c r="E6" i="8"/>
  <c r="F6" i="8" s="1"/>
  <c r="F10" i="8"/>
  <c r="F8" i="8"/>
  <c r="F9" i="8"/>
  <c r="F11" i="8"/>
  <c r="E17" i="24"/>
  <c r="E18" i="24"/>
  <c r="F12" i="8"/>
  <c r="E25" i="29"/>
  <c r="E23" i="29"/>
  <c r="E20" i="24"/>
  <c r="E17" i="19"/>
  <c r="E18" i="19"/>
  <c r="E20" i="19"/>
  <c r="E24" i="11"/>
  <c r="E25" i="11"/>
  <c r="F7" i="8"/>
  <c r="E26" i="11"/>
  <c r="E23" i="21"/>
  <c r="E24" i="21"/>
  <c r="E26" i="21"/>
  <c r="E23" i="19"/>
  <c r="E25" i="19"/>
  <c r="E26" i="13"/>
  <c r="E24" i="18"/>
  <c r="E17" i="15"/>
  <c r="E17" i="8"/>
  <c r="E24" i="5"/>
  <c r="E19" i="7"/>
  <c r="E20" i="9"/>
  <c r="E18" i="9"/>
  <c r="E20" i="12"/>
  <c r="E19" i="23"/>
  <c r="E25" i="25"/>
  <c r="E23" i="24"/>
  <c r="E23" i="16"/>
  <c r="E14" i="6"/>
  <c r="F11" i="6" s="1"/>
  <c r="E14" i="12"/>
  <c r="F7" i="12" s="1"/>
  <c r="E17" i="17"/>
  <c r="E23" i="13"/>
  <c r="E20" i="11"/>
  <c r="E23" i="10"/>
  <c r="E14" i="15"/>
  <c r="E18" i="11"/>
  <c r="E19" i="15"/>
  <c r="E20" i="15"/>
  <c r="F10" i="18"/>
  <c r="E18" i="20"/>
  <c r="E19" i="8"/>
  <c r="E20" i="8"/>
  <c r="E19" i="11"/>
  <c r="E25" i="18"/>
  <c r="E26" i="18"/>
  <c r="F8" i="18"/>
  <c r="E19" i="20"/>
  <c r="E20" i="20"/>
  <c r="E25" i="24"/>
  <c r="E26" i="24"/>
  <c r="E17" i="11"/>
  <c r="E24" i="10"/>
  <c r="E24" i="13"/>
  <c r="F13" i="18"/>
  <c r="F11" i="18"/>
  <c r="F9" i="18"/>
  <c r="F7" i="18"/>
  <c r="E14" i="4"/>
  <c r="G14" i="31"/>
  <c r="G14" i="30"/>
  <c r="G14" i="29"/>
  <c r="G14" i="28"/>
  <c r="G14" i="26"/>
  <c r="G14" i="25"/>
  <c r="G14" i="24"/>
  <c r="G14" i="23"/>
  <c r="G14" i="22"/>
  <c r="G14" i="21"/>
  <c r="G14" i="20"/>
  <c r="G14" i="17"/>
  <c r="G14" i="16"/>
  <c r="G14" i="15"/>
  <c r="G14" i="14"/>
  <c r="G14" i="13"/>
  <c r="G14" i="12"/>
  <c r="G14" i="11"/>
  <c r="G14" i="10"/>
  <c r="G14" i="9"/>
  <c r="G14" i="8"/>
  <c r="G14" i="7"/>
  <c r="G14" i="6"/>
  <c r="D19" i="3"/>
  <c r="D20" i="3"/>
  <c r="D25" i="3"/>
  <c r="D26" i="3"/>
  <c r="D23" i="3"/>
  <c r="D6" i="3"/>
  <c r="D17" i="3"/>
  <c r="C6" i="3"/>
  <c r="C14" i="3" s="1"/>
  <c r="G14" i="5"/>
  <c r="G14" i="4"/>
  <c r="G7" i="3"/>
  <c r="G13" i="3"/>
  <c r="G12" i="3"/>
  <c r="G11" i="3"/>
  <c r="G10" i="3"/>
  <c r="G9" i="3"/>
  <c r="G8" i="3"/>
  <c r="B3" i="3"/>
  <c r="F10" i="23" l="1"/>
  <c r="E6" i="23"/>
  <c r="F6" i="23" s="1"/>
  <c r="F12" i="23"/>
  <c r="F13" i="23"/>
  <c r="F8" i="23"/>
  <c r="F7" i="23"/>
  <c r="F9" i="26"/>
  <c r="F13" i="21"/>
  <c r="F10" i="20"/>
  <c r="F11" i="13"/>
  <c r="F10" i="13"/>
  <c r="F9" i="13"/>
  <c r="F12" i="13"/>
  <c r="F9" i="31"/>
  <c r="F11" i="31"/>
  <c r="F10" i="31"/>
  <c r="F13" i="31"/>
  <c r="F8" i="31"/>
  <c r="F12" i="31"/>
  <c r="F7" i="31"/>
  <c r="F13" i="16"/>
  <c r="F12" i="16"/>
  <c r="F8" i="13"/>
  <c r="E6" i="13"/>
  <c r="F6" i="13" s="1"/>
  <c r="F13" i="13"/>
  <c r="F7" i="21"/>
  <c r="F9" i="21"/>
  <c r="F8" i="21"/>
  <c r="F10" i="21"/>
  <c r="F12" i="21"/>
  <c r="F11" i="21"/>
  <c r="F10" i="29"/>
  <c r="E6" i="22"/>
  <c r="F6" i="22" s="1"/>
  <c r="F12" i="29"/>
  <c r="F7" i="29"/>
  <c r="F7" i="30"/>
  <c r="F13" i="29"/>
  <c r="F8" i="29"/>
  <c r="F11" i="29"/>
  <c r="F9" i="29"/>
  <c r="F7" i="16"/>
  <c r="F9" i="16"/>
  <c r="F8" i="16"/>
  <c r="F10" i="16"/>
  <c r="F11" i="16"/>
  <c r="F11" i="26"/>
  <c r="F7" i="26"/>
  <c r="F13" i="26"/>
  <c r="F8" i="26"/>
  <c r="F10" i="26"/>
  <c r="E6" i="26"/>
  <c r="F6" i="26" s="1"/>
  <c r="F12" i="22"/>
  <c r="F11" i="22"/>
  <c r="F7" i="22"/>
  <c r="F8" i="20"/>
  <c r="F12" i="20"/>
  <c r="F13" i="20"/>
  <c r="F9" i="20"/>
  <c r="F11" i="20"/>
  <c r="E6" i="20"/>
  <c r="F6" i="20" s="1"/>
  <c r="F10" i="22"/>
  <c r="F13" i="22"/>
  <c r="F7" i="17"/>
  <c r="F13" i="19"/>
  <c r="F8" i="17"/>
  <c r="E6" i="9"/>
  <c r="F6" i="9" s="1"/>
  <c r="F9" i="22"/>
  <c r="F9" i="17"/>
  <c r="F9" i="30"/>
  <c r="F8" i="30"/>
  <c r="F10" i="30"/>
  <c r="F11" i="30"/>
  <c r="F12" i="30"/>
  <c r="E6" i="30"/>
  <c r="F6" i="30" s="1"/>
  <c r="F12" i="11"/>
  <c r="F7" i="11"/>
  <c r="E6" i="19"/>
  <c r="F6" i="19" s="1"/>
  <c r="F10" i="11"/>
  <c r="F13" i="11"/>
  <c r="F11" i="5"/>
  <c r="F10" i="17"/>
  <c r="F11" i="17"/>
  <c r="F13" i="17"/>
  <c r="F12" i="17"/>
  <c r="F9" i="11"/>
  <c r="F8" i="11"/>
  <c r="F11" i="11"/>
  <c r="F12" i="10"/>
  <c r="F7" i="10"/>
  <c r="E6" i="10"/>
  <c r="F6" i="10" s="1"/>
  <c r="F9" i="24"/>
  <c r="F12" i="5"/>
  <c r="F9" i="10"/>
  <c r="E6" i="25"/>
  <c r="F6" i="25" s="1"/>
  <c r="F9" i="25"/>
  <c r="F13" i="28"/>
  <c r="F11" i="10"/>
  <c r="F13" i="25"/>
  <c r="F10" i="10"/>
  <c r="F13" i="10"/>
  <c r="F13" i="5"/>
  <c r="F9" i="5"/>
  <c r="E6" i="5"/>
  <c r="F6" i="5" s="1"/>
  <c r="F7" i="5"/>
  <c r="F10" i="5"/>
  <c r="F11" i="12"/>
  <c r="F13" i="9"/>
  <c r="F8" i="9"/>
  <c r="E6" i="28"/>
  <c r="F6" i="28" s="1"/>
  <c r="F10" i="14"/>
  <c r="F7" i="14"/>
  <c r="F13" i="12"/>
  <c r="F11" i="25"/>
  <c r="F12" i="25"/>
  <c r="F12" i="28"/>
  <c r="F10" i="28"/>
  <c r="F12" i="19"/>
  <c r="F10" i="19"/>
  <c r="F7" i="9"/>
  <c r="F8" i="12"/>
  <c r="F8" i="25"/>
  <c r="F10" i="9"/>
  <c r="F11" i="28"/>
  <c r="F9" i="28"/>
  <c r="F11" i="19"/>
  <c r="F9" i="19"/>
  <c r="F12" i="9"/>
  <c r="F7" i="25"/>
  <c r="F7" i="28"/>
  <c r="F7" i="19"/>
  <c r="F11" i="9"/>
  <c r="E6" i="7"/>
  <c r="F6" i="7" s="1"/>
  <c r="F11" i="7"/>
  <c r="F13" i="7"/>
  <c r="F9" i="7"/>
  <c r="F7" i="7"/>
  <c r="F10" i="7"/>
  <c r="F12" i="7"/>
  <c r="F13" i="14"/>
  <c r="F11" i="14"/>
  <c r="F8" i="14"/>
  <c r="F9" i="6"/>
  <c r="F9" i="14"/>
  <c r="E6" i="14"/>
  <c r="F6" i="14" s="1"/>
  <c r="F8" i="24"/>
  <c r="F11" i="24"/>
  <c r="F10" i="24"/>
  <c r="F12" i="24"/>
  <c r="F14" i="8"/>
  <c r="F8" i="6"/>
  <c r="E18" i="3"/>
  <c r="F12" i="6"/>
  <c r="F7" i="6"/>
  <c r="F7" i="24"/>
  <c r="F13" i="24"/>
  <c r="F13" i="6"/>
  <c r="E6" i="6"/>
  <c r="F6" i="6" s="1"/>
  <c r="F10" i="6"/>
  <c r="F14" i="23"/>
  <c r="E6" i="12"/>
  <c r="F6" i="12" s="1"/>
  <c r="F12" i="12"/>
  <c r="F10" i="12"/>
  <c r="F9" i="12"/>
  <c r="F14" i="18"/>
  <c r="E17" i="3"/>
  <c r="E6" i="15"/>
  <c r="F6" i="15" s="1"/>
  <c r="F10" i="15"/>
  <c r="F12" i="15"/>
  <c r="F7" i="15"/>
  <c r="F9" i="15"/>
  <c r="F11" i="15"/>
  <c r="F13" i="15"/>
  <c r="F8" i="15"/>
  <c r="E6" i="4"/>
  <c r="F6" i="4" s="1"/>
  <c r="F8" i="4"/>
  <c r="F7" i="4"/>
  <c r="F9" i="4"/>
  <c r="F10" i="4"/>
  <c r="F12" i="4"/>
  <c r="F11" i="4"/>
  <c r="F13" i="4"/>
  <c r="G14" i="3"/>
  <c r="E24" i="3"/>
  <c r="E23" i="3"/>
  <c r="E25" i="3"/>
  <c r="E26" i="3"/>
  <c r="E19" i="3"/>
  <c r="E20" i="3"/>
  <c r="D14" i="3"/>
  <c r="E14" i="3" s="1"/>
  <c r="F14" i="31" l="1"/>
  <c r="F14" i="13"/>
  <c r="F14" i="21"/>
  <c r="F14" i="16"/>
  <c r="F14" i="29"/>
  <c r="F14" i="26"/>
  <c r="F14" i="30"/>
  <c r="F14" i="17"/>
  <c r="F14" i="22"/>
  <c r="F14" i="20"/>
  <c r="F14" i="19"/>
  <c r="F14" i="11"/>
  <c r="F14" i="25"/>
  <c r="F14" i="10"/>
  <c r="F14" i="28"/>
  <c r="F14" i="9"/>
  <c r="F14" i="5"/>
  <c r="F14" i="7"/>
  <c r="F14" i="14"/>
  <c r="F14" i="6"/>
  <c r="F14" i="24"/>
  <c r="F14" i="12"/>
  <c r="F14" i="15"/>
  <c r="F14" i="4"/>
  <c r="E6" i="3"/>
  <c r="F6" i="3" s="1"/>
  <c r="F7" i="3"/>
  <c r="F13" i="3"/>
  <c r="F12" i="3"/>
  <c r="F11" i="3"/>
  <c r="F10" i="3"/>
  <c r="F9" i="3"/>
  <c r="F8" i="3"/>
  <c r="F14" i="3" l="1"/>
</calcChain>
</file>

<file path=xl/sharedStrings.xml><?xml version="1.0" encoding="utf-8"?>
<sst xmlns="http://schemas.openxmlformats.org/spreadsheetml/2006/main" count="1534" uniqueCount="146">
  <si>
    <t>ORIENTAÇÕES DE ANÁLISE DE RESULTADO E INFORMAÇÕES GERAIS</t>
  </si>
  <si>
    <t>A aba "IC-IT" é o arquivo base e corresponde às respostas coletadas na pesquisa para todas as questões do tipo A.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</si>
  <si>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</si>
  <si>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 seguida de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</si>
  <si>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</si>
  <si>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</si>
  <si>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Excelente</t>
  </si>
  <si>
    <t>Bom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</si>
  <si>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</si>
  <si>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</si>
  <si>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</si>
  <si>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</si>
  <si>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</si>
  <si>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</si>
  <si>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</si>
  <si>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</si>
  <si>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</si>
  <si>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</si>
  <si>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</si>
  <si>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</si>
  <si>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</si>
  <si>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 xml:space="preserve">CURSO </t>
  </si>
  <si>
    <t>IC</t>
  </si>
  <si>
    <t>IT</t>
  </si>
  <si>
    <t>TOTAL</t>
  </si>
  <si>
    <t>SETOR DE CIÊNCIAS EXATAS</t>
  </si>
  <si>
    <t>Química - Bacharelado</t>
  </si>
  <si>
    <t>Curso</t>
  </si>
  <si>
    <t>Código Curso</t>
  </si>
  <si>
    <t>Programa</t>
  </si>
  <si>
    <t>Setor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</si>
  <si>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</si>
  <si>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</si>
  <si>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</si>
  <si>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</si>
  <si>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</si>
  <si>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</si>
  <si>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</si>
  <si>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</si>
  <si>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</si>
  <si>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</si>
  <si>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</si>
  <si>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</si>
  <si>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</si>
  <si>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</si>
  <si>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</si>
  <si>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</si>
  <si>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</si>
  <si>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</si>
  <si>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</si>
  <si>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</si>
  <si>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</si>
  <si>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</si>
  <si>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</si>
  <si>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</si>
  <si>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26</t>
  </si>
  <si>
    <t>27</t>
  </si>
  <si>
    <t>29</t>
  </si>
  <si>
    <t>30</t>
  </si>
  <si>
    <t>Setor de Ciências Exatas</t>
  </si>
  <si>
    <t>12B</t>
  </si>
  <si>
    <t>Número_Questão</t>
  </si>
  <si>
    <t>Tipo_Questão</t>
  </si>
  <si>
    <t>Título_Questão</t>
  </si>
  <si>
    <t>Título Gráfico</t>
  </si>
  <si>
    <t>Observações</t>
  </si>
  <si>
    <t>A</t>
  </si>
  <si>
    <t>Avalie a sua experiência no Programa de Iniciação Científica, de Iniciação Tecnológica ou similar, com relação: [À compatibilidade da formação inicial com o projeto]</t>
  </si>
  <si>
    <t>Alunos IC/IT: Questão 1</t>
  </si>
  <si>
    <t>Avalie a sua experiência no Programa de Iniciação Científica, de Iniciação Tecnológica ou similar, com relação: [Às melhorias das expectativas profissionais (acesso à pós-graduação ou ao mercado de trabalho)]</t>
  </si>
  <si>
    <t>Alunos IC/IT: Questão 2</t>
  </si>
  <si>
    <t>Avalie a sua experiência no Programa de Iniciação Científica, de Iniciação Tecnológica ou similar, com relação: [À melhoria de conhecimento]</t>
  </si>
  <si>
    <t>Alunos IC/IT: Questão 3</t>
  </si>
  <si>
    <t>Avalie a sua experiência no Programa de Iniciação Científica, de Iniciação Tecnológica ou similar, com relação: [À qualidade do trabalho final]</t>
  </si>
  <si>
    <t>Alunos IC/IT: Questão 4</t>
  </si>
  <si>
    <t>Avalie a sua experiência no Programa de Iniciação Científica, de Iniciação Tecnológica ou similar, com relação: [À contribuição para o aperfeiçoamento das habilidades pessoais]</t>
  </si>
  <si>
    <t>Alunos IC/IT: Questão 5</t>
  </si>
  <si>
    <t>Com relação ao Programa de Iniciação Científica, de Iniciação Tecnológica ou similar, opine sobre: [O calendário]</t>
  </si>
  <si>
    <t>Alunos IC/IT: Questão 6</t>
  </si>
  <si>
    <t>Com relação ao Programa de Iniciação Científica, de Iniciação Tecnológica ou similar, opine sobre: [O Sistema de Iniciação Científica e Tecnológica - SICT]</t>
  </si>
  <si>
    <t>Alunos IC/IT: Questão 7</t>
  </si>
  <si>
    <t>Com relação ao Programa de Iniciação Científica, de Iniciação Tecnológica ou similar, opine sobre: [O processo de inscrição, seleção, etc.]</t>
  </si>
  <si>
    <t>Alunos IC/IT: Questão 8</t>
  </si>
  <si>
    <t>Com relação ao Programa de Iniciação Científica, de Iniciação Tecnológica ou similar, opine sobre: [O acesso à informação]</t>
  </si>
  <si>
    <t>Alunos IC/IT: Questão 9</t>
  </si>
  <si>
    <t>Quanto ao quadro de docentes disponíveis para orientação e à qualidade da orientação, avalie: [O número de orientadores disponíveis]</t>
  </si>
  <si>
    <t>Alunos IC/IT: Questão 10</t>
  </si>
  <si>
    <t>Quanto ao quadro de docentes disponíveis para orientação e à qualidade da orientação, avalie: [O conhecimento e a atualização do orientador]</t>
  </si>
  <si>
    <t>Alunos IC/IT: Questão 11</t>
  </si>
  <si>
    <t>Quanto ao quadro de docentes disponíveis para orientação e à qualidade da orientação, avalie: [A disponibilidade do docente para atividades de orientação]</t>
  </si>
  <si>
    <t>Alunos IC/IT: Questão 12</t>
  </si>
  <si>
    <t>Quanto ao quadro de docentes disponíveis para orientação e à qualidade da orientação, avalie: [O número de atividades solicitadas pelos docentes no período de orientação]</t>
  </si>
  <si>
    <t>Alunos IC/IT: Questão 13</t>
  </si>
  <si>
    <t>Com relação à oferta de bolsas para os programas de ICT, como você avalia: [A divulgação]</t>
  </si>
  <si>
    <t>Alunos IC/IT: Questão 14</t>
  </si>
  <si>
    <t>Com relação à oferta de bolsas para os programas de ICT, como você avalia: [Os critérios de seleção]</t>
  </si>
  <si>
    <t>Alunos IC/IT: Questão 15</t>
  </si>
  <si>
    <t>Com relação à oferta de bolsas para os programas de ICT, como você avalia: [A disponibilidade]</t>
  </si>
  <si>
    <t>Alunos IC/IT: Questão 16</t>
  </si>
  <si>
    <t>Com relação à oferta de bolsas para os programas de ICT, como você avalia: [O valor]</t>
  </si>
  <si>
    <t>Alunos IC/IT: Questão 17</t>
  </si>
  <si>
    <t>Com relação à oferta de bolsas para os programas de ICT, como você avalia: [A aplicação dos critérios de seleção para a distribuição de bolsas]</t>
  </si>
  <si>
    <t>Alunos IC/IT: Questão 18</t>
  </si>
  <si>
    <t>Avalie a sua interação com outros docentes, além do seu orientador (apoio a atividades práticas, discussão dos resultados, etc.): [Na UFPR]</t>
  </si>
  <si>
    <t>Alunos IC/IT: Questão 19</t>
  </si>
  <si>
    <t>Avalie a sua interação com outros docentes, além do seu orientador (apoio a atividades práticas, discussão dos resultados, etc.): [No país]</t>
  </si>
  <si>
    <t>Alunos IC/IT: Questão 20</t>
  </si>
  <si>
    <t>Avalie a sua interação com outros docentes, além do seu orientador (apoio a atividades práticas, discussão dos resultados, etc.): [No exterior]</t>
  </si>
  <si>
    <t>Alunos IC/IT: Questão 21</t>
  </si>
  <si>
    <t>Avalie a sua interação com outros discentes que desenvolvem pesquisa (apoio a atividades práticas, discussão dos resultados, etc.): [Na UFPR]</t>
  </si>
  <si>
    <t>Alunos IC/IT: Questão 22</t>
  </si>
  <si>
    <t>Avalie a sua interação com outros discentes que desenvolvem pesquisa (apoio a atividades práticas, discussão dos resultados, etc.): [No país]</t>
  </si>
  <si>
    <t>Alunos IC/IT: Questão 23</t>
  </si>
  <si>
    <t>Avalie a sua interação com outros discentes que desenvolvem pesquisa (apoio a atividades práticas, discussão dos resultados, etc.): [No exterior]</t>
  </si>
  <si>
    <t>Alunos IC/IT: Questão 24</t>
  </si>
  <si>
    <t>25</t>
  </si>
  <si>
    <t>Aberta</t>
  </si>
  <si>
    <t>Se desejar, deixe suas considerações sobre quaisquer dos temas abordados neste conjunto de perguntas de políticas e ações para a ICT:</t>
  </si>
  <si>
    <t>Ver arquivo específico</t>
  </si>
  <si>
    <t>Avalie a qualidade do atendimento durante o ano de 2021 da: [PRPPG]</t>
  </si>
  <si>
    <t>Alunos IC/IT: Questão 26</t>
  </si>
  <si>
    <t>Avalie a qualidade do atendimento durante o ano de 2021 da: [Biblioteca]</t>
  </si>
  <si>
    <t>Alunos IC/IT: Questão 27</t>
  </si>
  <si>
    <t>28</t>
  </si>
  <si>
    <t>Se desejar, deixe suas considerações sobre os serviços da UFPR que você utilizou em 2021 para o seu programa de ICT:</t>
  </si>
  <si>
    <t>Avalie este instrumento de pesquisa: [Abrangência dos temas]</t>
  </si>
  <si>
    <t>Alunos IC/IT: Questão 29</t>
  </si>
  <si>
    <t>Avalie este instrumento de pesquisa: [Objetividade e clareza]</t>
  </si>
  <si>
    <t>Alunos IC/IT: Questão 30</t>
  </si>
  <si>
    <t>31</t>
  </si>
  <si>
    <t>Se desejar, utilize o espaço para comentários e sugestões sobre este instrumento de pesquisa:</t>
  </si>
  <si>
    <t>Titulo</t>
  </si>
  <si>
    <t>Resposta</t>
  </si>
  <si>
    <t>Freq</t>
  </si>
  <si>
    <t>% Total</t>
  </si>
  <si>
    <t>% Válidas</t>
  </si>
  <si>
    <t>Sem resposta</t>
  </si>
  <si>
    <t>Total</t>
  </si>
  <si>
    <t>Ações</t>
  </si>
  <si>
    <t>Respostas</t>
  </si>
  <si>
    <t>Total %</t>
  </si>
  <si>
    <t>Excelente+Bom</t>
  </si>
  <si>
    <t xml:space="preserve">Atenção </t>
  </si>
  <si>
    <t>Não se aplica+Não sei responder</t>
  </si>
  <si>
    <t>Ruim+Péssimo</t>
  </si>
  <si>
    <t>NÚMERO DE RESPONDENTES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</si>
</sst>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4" fillId="0" borderId="0" xfId="0" quotePrefix="1" applyFont="1"/>
    <xf numFmtId="0" fontId="3" fillId="0" borderId="5" xfId="0" applyFont="1" applyBorder="1"/>
    <xf numFmtId="0" fontId="3" fillId="0" borderId="6" xfId="0" applyFont="1" applyBorder="1"/>
    <xf numFmtId="1" fontId="3" fillId="0" borderId="0" xfId="0" applyNumberFormat="1" applyFont="1"/>
    <xf numFmtId="1" fontId="3" fillId="0" borderId="6" xfId="0" applyNumberFormat="1" applyFont="1" applyBorder="1"/>
    <xf numFmtId="0" fontId="4" fillId="0" borderId="5" xfId="0" quotePrefix="1" applyFont="1" applyBorder="1"/>
    <xf numFmtId="0" fontId="3" fillId="0" borderId="2" xfId="0" applyFont="1" applyBorder="1"/>
    <xf numFmtId="0" fontId="5" fillId="0" borderId="0" xfId="0" applyFont="1"/>
    <xf numFmtId="0" fontId="3" fillId="6" borderId="0" xfId="0" applyFont="1" applyFill="1"/>
    <xf numFmtId="0" fontId="3" fillId="5" borderId="0" xfId="0" applyFont="1" applyFill="1"/>
    <xf numFmtId="0" fontId="3" fillId="4" borderId="0" xfId="0" applyFont="1" applyFill="1"/>
    <xf numFmtId="0" fontId="3" fillId="3" borderId="5" xfId="0" applyFont="1" applyFill="1" applyBorder="1"/>
    <xf numFmtId="0" fontId="3" fillId="0" borderId="7" xfId="0" applyFont="1" applyBorder="1"/>
    <xf numFmtId="2" fontId="4" fillId="0" borderId="0" xfId="0" quotePrefix="1" applyNumberFormat="1" applyFont="1"/>
    <xf numFmtId="10" fontId="5" fillId="0" borderId="0" xfId="0" applyNumberFormat="1" applyFont="1"/>
    <xf numFmtId="2" fontId="2" fillId="0" borderId="0" xfId="0" quotePrefix="1" applyNumberFormat="1" applyFont="1"/>
    <xf numFmtId="2" fontId="2" fillId="0" borderId="5" xfId="0" quotePrefix="1" applyNumberFormat="1" applyFont="1" applyBorder="1"/>
    <xf numFmtId="2" fontId="3" fillId="0" borderId="2" xfId="0" applyNumberFormat="1" applyFont="1" applyBorder="1"/>
    <xf numFmtId="2" fontId="4" fillId="0" borderId="5" xfId="0" quotePrefix="1" applyNumberFormat="1" applyFont="1" applyBorder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7" borderId="8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8" borderId="8" xfId="0" applyFont="1" applyFill="1" applyBorder="1" applyAlignment="1">
      <alignment vertical="center"/>
    </xf>
    <xf numFmtId="0" fontId="10" fillId="9" borderId="8" xfId="0" applyFont="1" applyFill="1" applyBorder="1" applyAlignment="1">
      <alignment vertical="center"/>
    </xf>
    <xf numFmtId="0" fontId="10" fillId="10" borderId="8" xfId="0" applyFont="1" applyFill="1" applyBorder="1" applyAlignment="1">
      <alignment vertical="center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9" fontId="11" fillId="0" borderId="0" xfId="1" applyFont="1" applyFill="1" applyBorder="1" applyAlignment="1">
      <alignment horizontal="left" wrapText="1"/>
    </xf>
    <xf numFmtId="49" fontId="14" fillId="2" borderId="1" xfId="0" applyNumberFormat="1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15" fillId="0" borderId="0" xfId="0" applyFont="1"/>
    <xf numFmtId="0" fontId="10" fillId="0" borderId="8" xfId="0" applyFont="1" applyBorder="1" applyAlignment="1">
      <alignment vertical="center"/>
    </xf>
    <xf numFmtId="0" fontId="13" fillId="11" borderId="14" xfId="0" applyFont="1" applyFill="1" applyBorder="1" applyAlignment="1">
      <alignment horizontal="center"/>
    </xf>
    <xf numFmtId="0" fontId="13" fillId="11" borderId="15" xfId="0" applyFont="1" applyFill="1" applyBorder="1" applyAlignment="1">
      <alignment horizontal="center"/>
    </xf>
    <xf numFmtId="0" fontId="13" fillId="11" borderId="16" xfId="0" applyFont="1" applyFill="1" applyBorder="1" applyAlignment="1">
      <alignment horizontal="center"/>
    </xf>
    <xf numFmtId="0" fontId="12" fillId="12" borderId="9" xfId="0" applyFont="1" applyFill="1" applyBorder="1" applyAlignment="1">
      <alignment horizontal="center" vertical="center" wrapText="1"/>
    </xf>
    <xf numFmtId="0" fontId="0" fillId="12" borderId="10" xfId="0" applyFill="1" applyBorder="1" applyAlignment="1">
      <alignment horizontal="center" vertical="center" wrapText="1"/>
    </xf>
    <xf numFmtId="0" fontId="12" fillId="12" borderId="1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10">
    <dxf>
      <font>
        <b val="0"/>
      </font>
    </dxf>
    <dxf>
      <font>
        <b val="0"/>
        <color rgb="FF0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</font>
    </dxf>
    <dxf>
      <font>
        <b val="0"/>
      </font>
      <numFmt numFmtId="30" formatCode="@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'Q01'!$C$6:$C$13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F5-4074-838D-3823B58938CC}"/>
            </c:ext>
          </c:extLst>
        </c:ser>
        <c:ser>
          <c:idx val="1"/>
          <c:order val="1"/>
          <c:tx>
            <c:strRef>
              <c:f>'Q01'!$D$5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'Q01'!$D$6:$D$13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F5-4074-838D-3823B58938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609152"/>
        <c:axId val="88610688"/>
      </c:barChart>
      <c:catAx>
        <c:axId val="8860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610688"/>
        <c:crosses val="autoZero"/>
        <c:auto val="1"/>
        <c:lblAlgn val="ctr"/>
        <c:lblOffset val="100"/>
        <c:noMultiLvlLbl val="0"/>
      </c:catAx>
      <c:valAx>
        <c:axId val="8861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60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'Q04'!$C$6:$C$13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78-40B6-BC55-AC841DACE14C}"/>
            </c:ext>
          </c:extLst>
        </c:ser>
        <c:ser>
          <c:idx val="1"/>
          <c:order val="1"/>
          <c:tx>
            <c:strRef>
              <c:f>'Q04'!$D$5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'Q04'!$D$6:$D$13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78-40B6-BC55-AC841DACE1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636416"/>
        <c:axId val="106637952"/>
      </c:barChart>
      <c:catAx>
        <c:axId val="10663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637952"/>
        <c:crosses val="autoZero"/>
        <c:auto val="1"/>
        <c:lblAlgn val="ctr"/>
        <c:lblOffset val="100"/>
        <c:noMultiLvlLbl val="0"/>
      </c:catAx>
      <c:valAx>
        <c:axId val="10663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63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D6-4141-8CA6-C72B226E1D0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D6-4141-8CA6-C72B226E1D0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D6-4141-8CA6-C72B226E1D0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D6-4141-8CA6-C72B226E1D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'Q04'!$E$17:$E$20</c:f>
              <c:numCache>
                <c:formatCode>0.00</c:formatCode>
                <c:ptCount val="4"/>
                <c:pt idx="0">
                  <c:v>66.667000000000002</c:v>
                </c:pt>
                <c:pt idx="1">
                  <c:v>16.667000000000002</c:v>
                </c:pt>
                <c:pt idx="2">
                  <c:v>16.667000000000002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4D6-4141-8CA6-C72B226E1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3F-44DB-82B9-BF3CDF7211C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3F-44DB-82B9-BF3CDF7211C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3F-44DB-82B9-BF3CDF7211C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3F-44DB-82B9-BF3CDF7211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3F-44DB-82B9-BF3CDF7211C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93F-44DB-82B9-BF3CDF7211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93F-44DB-82B9-BF3CDF7211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93F-44DB-82B9-BF3CDF7211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93F-44DB-82B9-BF3CDF7211C7}"/>
              </c:ext>
            </c:extLst>
          </c:dPt>
          <c:cat>
            <c:strRef>
              <c:f>'Q04'!$B$23:$B$26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93F-44DB-82B9-BF3CDF721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'Q05'!$C$5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'Q05'!$C$6:$C$13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58-44F6-92B2-3BE7496173D9}"/>
            </c:ext>
          </c:extLst>
        </c:ser>
        <c:ser>
          <c:idx val="1"/>
          <c:order val="1"/>
          <c:tx>
            <c:strRef>
              <c:f>'Q05'!$D$5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'Q05'!$D$6:$D$13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58-44F6-92B2-3BE7496173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888192"/>
        <c:axId val="107033344"/>
      </c:barChart>
      <c:catAx>
        <c:axId val="10688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033344"/>
        <c:crosses val="autoZero"/>
        <c:auto val="1"/>
        <c:lblAlgn val="ctr"/>
        <c:lblOffset val="100"/>
        <c:noMultiLvlLbl val="0"/>
      </c:catAx>
      <c:valAx>
        <c:axId val="10703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88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3C-4FA8-8C43-67EAC9C88D8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3C-4FA8-8C43-67EAC9C88D8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3C-4FA8-8C43-67EAC9C88D8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3C-4FA8-8C43-67EAC9C88D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'Q05'!$B$17:$B$20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'Q05'!$E$17:$E$20</c:f>
              <c:numCache>
                <c:formatCode>0.00</c:formatCode>
                <c:ptCount val="4"/>
                <c:pt idx="0">
                  <c:v>83.332999999999998</c:v>
                </c:pt>
                <c:pt idx="1">
                  <c:v>16.667000000000002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3C-4FA8-8C43-67EAC9C88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A6-4E6C-A98A-25A025F76B5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A6-4E6C-A98A-25A025F76B5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A6-4E6C-A98A-25A025F76B5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AA6-4E6C-A98A-25A025F76B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AA6-4E6C-A98A-25A025F76B5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AA6-4E6C-A98A-25A025F76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AA6-4E6C-A98A-25A025F76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AA6-4E6C-A98A-25A025F76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AA6-4E6C-A98A-25A025F76B50}"/>
              </c:ext>
            </c:extLst>
          </c:dPt>
          <c:cat>
            <c:strRef>
              <c:f>'Q05'!$B$23:$B$26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AA6-4E6C-A98A-25A025F76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'Q06'!$C$6:$C$13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7-4B9D-9E0F-4C70F3AF3E16}"/>
            </c:ext>
          </c:extLst>
        </c:ser>
        <c:ser>
          <c:idx val="1"/>
          <c:order val="1"/>
          <c:tx>
            <c:strRef>
              <c:f>'Q06'!$D$5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7-4B9D-9E0F-4C70F3AF3E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507904"/>
        <c:axId val="108509440"/>
      </c:barChart>
      <c:catAx>
        <c:axId val="10850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509440"/>
        <c:crosses val="autoZero"/>
        <c:auto val="1"/>
        <c:lblAlgn val="ctr"/>
        <c:lblOffset val="100"/>
        <c:noMultiLvlLbl val="0"/>
      </c:catAx>
      <c:valAx>
        <c:axId val="10850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50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CDF-45DA-8069-6269E4886A2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CDF-45DA-8069-6269E4886A2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CDF-45DA-8069-6269E4886A2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CDF-45DA-8069-6269E4886A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'Q06'!$E$17:$E$20</c:f>
              <c:numCache>
                <c:formatCode>0.00</c:formatCode>
                <c:ptCount val="4"/>
                <c:pt idx="0">
                  <c:v>66.667000000000002</c:v>
                </c:pt>
                <c:pt idx="1">
                  <c:v>33.332999999999998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CDF-45DA-8069-6269E4886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E02-47A0-B2F1-E4238B897B1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E02-47A0-B2F1-E4238B897B1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E02-47A0-B2F1-E4238B897B1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E02-47A0-B2F1-E4238B897B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E02-47A0-B2F1-E4238B897B1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AE02-47A0-B2F1-E4238B897B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AE02-47A0-B2F1-E4238B897B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AE02-47A0-B2F1-E4238B897B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AE02-47A0-B2F1-E4238B897B18}"/>
              </c:ext>
            </c:extLst>
          </c:dPt>
          <c:cat>
            <c:strRef>
              <c:f>'Q06'!$B$23:$B$26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AE02-47A0-B2F1-E4238B897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'Q07'!$C$6:$C$13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F7-4896-AC68-39AFC3106D7B}"/>
            </c:ext>
          </c:extLst>
        </c:ser>
        <c:ser>
          <c:idx val="1"/>
          <c:order val="1"/>
          <c:tx>
            <c:strRef>
              <c:f>'Q07'!$D$5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F7-4896-AC68-39AFC3106D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748224"/>
        <c:axId val="113754112"/>
      </c:barChart>
      <c:catAx>
        <c:axId val="1137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754112"/>
        <c:crosses val="autoZero"/>
        <c:auto val="1"/>
        <c:lblAlgn val="ctr"/>
        <c:lblOffset val="100"/>
        <c:noMultiLvlLbl val="0"/>
      </c:catAx>
      <c:valAx>
        <c:axId val="11375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7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C18-4BC0-AA29-0C22FED7E93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C18-4BC0-AA29-0C22FED7E93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C18-4BC0-AA29-0C22FED7E93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C18-4BC0-AA29-0C22FED7E9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C18-4BC0-AA29-0C22FED7E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838-4928-B884-0A9D8A0500F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838-4928-B884-0A9D8A0500F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838-4928-B884-0A9D8A0500F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838-4928-B884-0A9D8A0500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'Q07'!$E$17:$E$20</c:f>
              <c:numCache>
                <c:formatCode>0.00</c:formatCode>
                <c:ptCount val="4"/>
                <c:pt idx="0">
                  <c:v>50</c:v>
                </c:pt>
                <c:pt idx="1">
                  <c:v>33.332999999999998</c:v>
                </c:pt>
                <c:pt idx="2">
                  <c:v>16.667000000000002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838-4928-B884-0A9D8A050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24-430F-8247-65C81F4A2BA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24-430F-8247-65C81F4A2BA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24-430F-8247-65C81F4A2BA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24-430F-8247-65C81F4A2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524-430F-8247-65C81F4A2BA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524-430F-8247-65C81F4A2B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524-430F-8247-65C81F4A2B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524-430F-8247-65C81F4A2B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524-430F-8247-65C81F4A2BA2}"/>
              </c:ext>
            </c:extLst>
          </c:dPt>
          <c:cat>
            <c:strRef>
              <c:f>'Q07'!$B$23:$B$26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524-430F-8247-65C81F4A2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'Q08'!$C$5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'Q08'!$C$6:$C$13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50-45AF-A283-718FDB8527EA}"/>
            </c:ext>
          </c:extLst>
        </c:ser>
        <c:ser>
          <c:idx val="1"/>
          <c:order val="1"/>
          <c:tx>
            <c:strRef>
              <c:f>'Q08'!$D$5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'Q08'!$D$6:$D$13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50-45AF-A283-718FDB8527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282496"/>
        <c:axId val="114284032"/>
      </c:barChart>
      <c:catAx>
        <c:axId val="11428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284032"/>
        <c:crosses val="autoZero"/>
        <c:auto val="1"/>
        <c:lblAlgn val="ctr"/>
        <c:lblOffset val="100"/>
        <c:noMultiLvlLbl val="0"/>
      </c:catAx>
      <c:valAx>
        <c:axId val="11428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28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7B-4D93-90C2-FFF5C3E3E61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57B-4D93-90C2-FFF5C3E3E61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57B-4D93-90C2-FFF5C3E3E61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57B-4D93-90C2-FFF5C3E3E6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'Q08'!$B$17:$B$20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'Q08'!$E$17:$E$20</c:f>
              <c:numCache>
                <c:formatCode>0.00</c:formatCode>
                <c:ptCount val="4"/>
                <c:pt idx="0">
                  <c:v>66.667000000000002</c:v>
                </c:pt>
                <c:pt idx="1">
                  <c:v>16.667000000000002</c:v>
                </c:pt>
                <c:pt idx="2">
                  <c:v>16.667000000000002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57B-4D93-90C2-FFF5C3E3E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4F3-4A64-8321-316BB0DD542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F3-4A64-8321-316BB0DD542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4F3-4A64-8321-316BB0DD542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4F3-4A64-8321-316BB0DD54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4F3-4A64-8321-316BB0DD542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4F3-4A64-8321-316BB0DD54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4F3-4A64-8321-316BB0DD54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4F3-4A64-8321-316BB0DD54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64F3-4A64-8321-316BB0DD5423}"/>
              </c:ext>
            </c:extLst>
          </c:dPt>
          <c:cat>
            <c:strRef>
              <c:f>'Q08'!$B$23:$B$26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4F3-4A64-8321-316BB0DD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'Q09'!$C$6:$C$13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20-4992-8BBB-1D786EF67634}"/>
            </c:ext>
          </c:extLst>
        </c:ser>
        <c:ser>
          <c:idx val="1"/>
          <c:order val="1"/>
          <c:tx>
            <c:strRef>
              <c:f>'Q09'!$D$5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'Q09'!$D$6:$D$13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20-4992-8BBB-1D786EF676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439680"/>
        <c:axId val="114441216"/>
      </c:barChart>
      <c:catAx>
        <c:axId val="11443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441216"/>
        <c:crosses val="autoZero"/>
        <c:auto val="1"/>
        <c:lblAlgn val="ctr"/>
        <c:lblOffset val="100"/>
        <c:noMultiLvlLbl val="0"/>
      </c:catAx>
      <c:valAx>
        <c:axId val="11444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43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C2B-4E85-86D1-D2E7538D421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C2B-4E85-86D1-D2E7538D421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C2B-4E85-86D1-D2E7538D421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C2B-4E85-86D1-D2E7538D42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'Q09'!$E$17:$E$20</c:f>
              <c:numCache>
                <c:formatCode>0.00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C2B-4E85-86D1-D2E7538D4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D4-4B25-B8BF-A4D62BA7839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DD4-4B25-B8BF-A4D62BA7839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DD4-4B25-B8BF-A4D62BA7839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DD4-4B25-B8BF-A4D62BA783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DD4-4B25-B8BF-A4D62BA7839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DD4-4B25-B8BF-A4D62BA783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DDD4-4B25-B8BF-A4D62BA78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DD4-4B25-B8BF-A4D62BA783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DDD4-4B25-B8BF-A4D62BA78393}"/>
              </c:ext>
            </c:extLst>
          </c:dPt>
          <c:cat>
            <c:strRef>
              <c:f>'Q09'!$B$23:$B$26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DDD4-4B25-B8BF-A4D62BA78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'Q10'!$C$6:$C$13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FF-46E1-95E2-978F6E9F7A47}"/>
            </c:ext>
          </c:extLst>
        </c:ser>
        <c:ser>
          <c:idx val="1"/>
          <c:order val="1"/>
          <c:tx>
            <c:strRef>
              <c:f>'Q10'!$D$5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'Q10'!$D$6:$D$13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FF-46E1-95E2-978F6E9F7A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083136"/>
        <c:axId val="117093120"/>
      </c:barChart>
      <c:catAx>
        <c:axId val="11708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093120"/>
        <c:crosses val="autoZero"/>
        <c:auto val="1"/>
        <c:lblAlgn val="ctr"/>
        <c:lblOffset val="100"/>
        <c:noMultiLvlLbl val="0"/>
      </c:catAx>
      <c:valAx>
        <c:axId val="11709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08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72-40DB-BCF9-7E04B9738D6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72-40DB-BCF9-7E04B9738D6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72-40DB-BCF9-7E04B9738D6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E72-40DB-BCF9-7E04B9738D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'Q10'!$E$17:$E$20</c:f>
              <c:numCache>
                <c:formatCode>0.00</c:formatCode>
                <c:ptCount val="4"/>
                <c:pt idx="0">
                  <c:v>66.667000000000002</c:v>
                </c:pt>
                <c:pt idx="1">
                  <c:v>33.332999999999998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E72-40DB-BCF9-7E04B9738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AA-4F8C-BE2E-FFEAC1BB2FD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AA-4F8C-BE2E-FFEAC1BB2FD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9AA-4F8C-BE2E-FFEAC1BB2FD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9AA-4F8C-BE2E-FFEAC1BB2F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'Q01'!$D$23:$D$26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9AA-4F8C-BE2E-FFEAC1BB2FD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9AA-4F8C-BE2E-FFEAC1BB2F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9AA-4F8C-BE2E-FFEAC1BB2F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9AA-4F8C-BE2E-FFEAC1BB2F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9AA-4F8C-BE2E-FFEAC1BB2FDC}"/>
              </c:ext>
            </c:extLst>
          </c:dPt>
          <c:cat>
            <c:strRef>
              <c:f>'Q01'!$B$23:$B$26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'Q01'!$E$23:$E$26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9AA-4F8C-BE2E-FFEAC1BB2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BF-4274-BA8C-120241335D1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BF-4274-BA8C-120241335D1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BF-4274-BA8C-120241335D1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8BF-4274-BA8C-120241335D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8BF-4274-BA8C-120241335D1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88BF-4274-BA8C-120241335D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88BF-4274-BA8C-120241335D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88BF-4274-BA8C-120241335D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88BF-4274-BA8C-120241335D1F}"/>
              </c:ext>
            </c:extLst>
          </c:dPt>
          <c:cat>
            <c:strRef>
              <c:f>'Q10'!$B$23:$B$26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88BF-4274-BA8C-120241335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'Q11'!$C$6:$C$13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9E-4389-A663-30013E9C8C7C}"/>
            </c:ext>
          </c:extLst>
        </c:ser>
        <c:ser>
          <c:idx val="1"/>
          <c:order val="1"/>
          <c:tx>
            <c:strRef>
              <c:f>'Q11'!$D$5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'Q11'!$D$6:$D$13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9E-4389-A663-30013E9C8C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261056"/>
        <c:axId val="117262592"/>
      </c:barChart>
      <c:catAx>
        <c:axId val="11726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262592"/>
        <c:crosses val="autoZero"/>
        <c:auto val="1"/>
        <c:lblAlgn val="ctr"/>
        <c:lblOffset val="100"/>
        <c:noMultiLvlLbl val="0"/>
      </c:catAx>
      <c:valAx>
        <c:axId val="11726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26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90-4B17-87BA-FE852DE2D855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90-4B17-87BA-FE852DE2D855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190-4B17-87BA-FE852DE2D85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190-4B17-87BA-FE852DE2D8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'Q11'!$E$17:$E$20</c:f>
              <c:numCache>
                <c:formatCode>0.00</c:formatCode>
                <c:ptCount val="4"/>
                <c:pt idx="0">
                  <c:v>83.332999999999998</c:v>
                </c:pt>
                <c:pt idx="1">
                  <c:v>16.667000000000002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190-4B17-87BA-FE852DE2D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C1-44D4-A963-4664FD73C5B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C1-44D4-A963-4664FD73C5B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C1-44D4-A963-4664FD73C5B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8C1-44D4-A963-4664FD73C5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8C1-44D4-A963-4664FD73C5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18C1-44D4-A963-4664FD73C5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18C1-44D4-A963-4664FD73C5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18C1-44D4-A963-4664FD73C5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18C1-44D4-A963-4664FD73C5B9}"/>
              </c:ext>
            </c:extLst>
          </c:dPt>
          <c:cat>
            <c:strRef>
              <c:f>'Q11'!$B$23:$B$26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18C1-44D4-A963-4664FD73C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'Q12'!$C$6:$C$13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08-4C02-BBC5-7C67A5A04A79}"/>
            </c:ext>
          </c:extLst>
        </c:ser>
        <c:ser>
          <c:idx val="1"/>
          <c:order val="1"/>
          <c:tx>
            <c:strRef>
              <c:f>'Q12'!$D$5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'Q12'!$D$6:$D$13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08-4C02-BBC5-7C67A5A04A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286016"/>
        <c:axId val="119304192"/>
      </c:barChart>
      <c:catAx>
        <c:axId val="11928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04192"/>
        <c:crosses val="autoZero"/>
        <c:auto val="1"/>
        <c:lblAlgn val="ctr"/>
        <c:lblOffset val="100"/>
        <c:noMultiLvlLbl val="0"/>
      </c:catAx>
      <c:valAx>
        <c:axId val="11930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28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28-47AA-969E-AA9BCFC817F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28-47AA-969E-AA9BCFC817F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B28-47AA-969E-AA9BCFC817F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B28-47AA-969E-AA9BCFC817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'Q12'!$E$17:$E$20</c:f>
              <c:numCache>
                <c:formatCode>0.00</c:formatCode>
                <c:ptCount val="4"/>
                <c:pt idx="0">
                  <c:v>83.332999999999998</c:v>
                </c:pt>
                <c:pt idx="1">
                  <c:v>0</c:v>
                </c:pt>
                <c:pt idx="2">
                  <c:v>0</c:v>
                </c:pt>
                <c:pt idx="3">
                  <c:v>16.667000000000002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B28-47AA-969E-AA9BCFC81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C7-4E51-9C30-FBFB61C08F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C7-4E51-9C30-FBFB61C08F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C7-4E51-9C30-FBFB61C08F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C7-4E51-9C30-FBFB61C08F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EC7-4E51-9C30-FBFB61C08F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EC7-4E51-9C30-FBFB61C08F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EC7-4E51-9C30-FBFB61C08F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EC7-4E51-9C30-FBFB61C08F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EC7-4E51-9C30-FBFB61C08FAC}"/>
              </c:ext>
            </c:extLst>
          </c:dPt>
          <c:cat>
            <c:strRef>
              <c:f>'Q12'!$B$23:$B$26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EC7-4E51-9C30-FBFB61C08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'Q13'!$C$6:$C$13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63-4C58-BC11-029A0A5A1BD8}"/>
            </c:ext>
          </c:extLst>
        </c:ser>
        <c:ser>
          <c:idx val="1"/>
          <c:order val="1"/>
          <c:tx>
            <c:strRef>
              <c:f>'Q13'!$D$5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'Q13'!$D$6:$D$13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B63-4C58-BC11-029A0A5A1B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3851136"/>
        <c:axId val="123852672"/>
      </c:barChart>
      <c:catAx>
        <c:axId val="12385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3852672"/>
        <c:crosses val="autoZero"/>
        <c:auto val="1"/>
        <c:lblAlgn val="ctr"/>
        <c:lblOffset val="100"/>
        <c:noMultiLvlLbl val="0"/>
      </c:catAx>
      <c:valAx>
        <c:axId val="12385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385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66-43B5-98DC-036D87E3C31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66-43B5-98DC-036D87E3C31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66-43B5-98DC-036D87E3C31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966-43B5-98DC-036D87E3C3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66-43B5-98DC-036D87E3C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D9-4901-844A-EA862DD21AF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D9-4901-844A-EA862DD21AF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6D9-4901-844A-EA862DD21AF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6D9-4901-844A-EA862DD21A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6D9-4901-844A-EA862DD21AF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6D9-4901-844A-EA862DD21A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6D9-4901-844A-EA862DD21A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6D9-4901-844A-EA862DD21A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6D9-4901-844A-EA862DD21AF0}"/>
              </c:ext>
            </c:extLst>
          </c:dPt>
          <c:cat>
            <c:strRef>
              <c:f>'Q13'!$B$23:$B$26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6D9-4901-844A-EA862DD21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'Q02'!$C$6:$C$13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A9-4603-A26C-52A7832361F8}"/>
            </c:ext>
          </c:extLst>
        </c:ser>
        <c:ser>
          <c:idx val="1"/>
          <c:order val="1"/>
          <c:tx>
            <c:strRef>
              <c:f>'Q02'!$D$5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'Q02'!$D$6:$D$13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A9-4603-A26C-52A7832361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445824"/>
        <c:axId val="104447360"/>
      </c:barChart>
      <c:catAx>
        <c:axId val="10444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447360"/>
        <c:crosses val="autoZero"/>
        <c:auto val="1"/>
        <c:lblAlgn val="ctr"/>
        <c:lblOffset val="100"/>
        <c:noMultiLvlLbl val="0"/>
      </c:catAx>
      <c:valAx>
        <c:axId val="10444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44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'Q14'!$C$6:$C$13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FE-41C8-95ED-A697C247F6B1}"/>
            </c:ext>
          </c:extLst>
        </c:ser>
        <c:ser>
          <c:idx val="1"/>
          <c:order val="1"/>
          <c:tx>
            <c:strRef>
              <c:f>'Q14'!$D$5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'Q14'!$D$6:$D$13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FE-41C8-95ED-A697C247F6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4905728"/>
        <c:axId val="124989440"/>
      </c:barChart>
      <c:catAx>
        <c:axId val="12490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989440"/>
        <c:crosses val="autoZero"/>
        <c:auto val="1"/>
        <c:lblAlgn val="ctr"/>
        <c:lblOffset val="100"/>
        <c:noMultiLvlLbl val="0"/>
      </c:catAx>
      <c:valAx>
        <c:axId val="12498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90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3DD-4615-BCF3-2BF780B19C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3DD-4615-BCF3-2BF780B19C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3DD-4615-BCF3-2BF780B19C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3DD-4615-BCF3-2BF780B19C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'Q14'!$E$17:$E$20</c:f>
              <c:numCache>
                <c:formatCode>0.00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3DD-4615-BCF3-2BF780B19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B6D-4C56-A98C-967389D6D6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B6D-4C56-A98C-967389D6D6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B6D-4C56-A98C-967389D6D6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B6D-4C56-A98C-967389D6D6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B6D-4C56-A98C-967389D6D63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EB6D-4C56-A98C-967389D6D6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EB6D-4C56-A98C-967389D6D6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EB6D-4C56-A98C-967389D6D6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EB6D-4C56-A98C-967389D6D63F}"/>
              </c:ext>
            </c:extLst>
          </c:dPt>
          <c:cat>
            <c:strRef>
              <c:f>'Q14'!$B$23:$B$26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B6D-4C56-A98C-967389D6D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'Q15'!$C$5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'Q15'!$C$6:$C$13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4A-4BD2-9DB4-94A7DD1D70AC}"/>
            </c:ext>
          </c:extLst>
        </c:ser>
        <c:ser>
          <c:idx val="1"/>
          <c:order val="1"/>
          <c:tx>
            <c:strRef>
              <c:f>'Q15'!$D$5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'Q15'!$D$6:$D$13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4A-4BD2-9DB4-94A7DD1D70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5165568"/>
        <c:axId val="125167104"/>
      </c:barChart>
      <c:catAx>
        <c:axId val="12516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167104"/>
        <c:crosses val="autoZero"/>
        <c:auto val="1"/>
        <c:lblAlgn val="ctr"/>
        <c:lblOffset val="100"/>
        <c:noMultiLvlLbl val="0"/>
      </c:catAx>
      <c:valAx>
        <c:axId val="12516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16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89F-4C5D-94AB-ADB4F78D912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89F-4C5D-94AB-ADB4F78D912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89F-4C5D-94AB-ADB4F78D912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89F-4C5D-94AB-ADB4F78D91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'Q15'!$B$17:$B$20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'Q15'!$E$17:$E$20</c:f>
              <c:numCache>
                <c:formatCode>0.00</c:formatCode>
                <c:ptCount val="4"/>
                <c:pt idx="0">
                  <c:v>66.667000000000002</c:v>
                </c:pt>
                <c:pt idx="1">
                  <c:v>16.667000000000002</c:v>
                </c:pt>
                <c:pt idx="2">
                  <c:v>16.667000000000002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89F-4C5D-94AB-ADB4F78D9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F5-4D70-9653-AF29D89FBEC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F5-4D70-9653-AF29D89FBEC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F5-4D70-9653-AF29D89FBEC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F5-4D70-9653-AF29D89FBE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6F5-4D70-9653-AF29D89FBEC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6F5-4D70-9653-AF29D89FBE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D6F5-4D70-9653-AF29D89FBE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6F5-4D70-9653-AF29D89FBE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D6F5-4D70-9653-AF29D89FBEC1}"/>
              </c:ext>
            </c:extLst>
          </c:dPt>
          <c:cat>
            <c:strRef>
              <c:f>'Q15'!$B$23:$B$26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D6F5-4D70-9653-AF29D89FB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'Q16'!$C$6:$C$13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0D-47B2-B685-9FBFE4660EBD}"/>
            </c:ext>
          </c:extLst>
        </c:ser>
        <c:ser>
          <c:idx val="1"/>
          <c:order val="1"/>
          <c:tx>
            <c:strRef>
              <c:f>'Q16'!$D$5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0D-47B2-B685-9FBFE4660E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678528"/>
        <c:axId val="126680064"/>
      </c:barChart>
      <c:catAx>
        <c:axId val="12667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680064"/>
        <c:crosses val="autoZero"/>
        <c:auto val="1"/>
        <c:lblAlgn val="ctr"/>
        <c:lblOffset val="100"/>
        <c:noMultiLvlLbl val="0"/>
      </c:catAx>
      <c:valAx>
        <c:axId val="12668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67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5E-42FB-82CA-E721B71E89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5E-42FB-82CA-E721B71E89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5E-42FB-82CA-E721B71E89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5E-42FB-82CA-E721B71E89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'Q16'!$E$17:$E$20</c:f>
              <c:numCache>
                <c:formatCode>0.00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55E-42FB-82CA-E721B71E8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A0-4771-A23A-5F88031E7E1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A0-4771-A23A-5F88031E7E1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A0-4771-A23A-5F88031E7E1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A0-4771-A23A-5F88031E7E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'Q16'!$D$23:$D$26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A0-4771-A23A-5F88031E7E1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AA0-4771-A23A-5F88031E7E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3AA0-4771-A23A-5F88031E7E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3AA0-4771-A23A-5F88031E7E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3AA0-4771-A23A-5F88031E7E16}"/>
              </c:ext>
            </c:extLst>
          </c:dPt>
          <c:cat>
            <c:strRef>
              <c:f>'Q16'!$B$23:$B$26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'Q16'!$E$23:$E$26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3AA0-4771-A23A-5F88031E7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'Q17'!$C$6:$C$13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92-4DC4-ABE8-65564DEB7E8F}"/>
            </c:ext>
          </c:extLst>
        </c:ser>
        <c:ser>
          <c:idx val="1"/>
          <c:order val="1"/>
          <c:tx>
            <c:strRef>
              <c:f>'Q17'!$D$5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92-4DC4-ABE8-65564DEB7E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699968"/>
        <c:axId val="127714048"/>
      </c:barChart>
      <c:catAx>
        <c:axId val="12769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714048"/>
        <c:crosses val="autoZero"/>
        <c:auto val="1"/>
        <c:lblAlgn val="ctr"/>
        <c:lblOffset val="100"/>
        <c:noMultiLvlLbl val="0"/>
      </c:catAx>
      <c:valAx>
        <c:axId val="12771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69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6D-4CC9-9289-BA801034EDD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6D-4CC9-9289-BA801034EDD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6D-4CC9-9289-BA801034EDD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26D-4CC9-9289-BA801034ED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26D-4CC9-9289-BA801034E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8F-4C17-AEF5-027E140714A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D8F-4C17-AEF5-027E140714A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D8F-4C17-AEF5-027E140714A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D8F-4C17-AEF5-027E140714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'Q17'!$E$17:$E$20</c:f>
              <c:numCache>
                <c:formatCode>0.00</c:formatCode>
                <c:ptCount val="4"/>
                <c:pt idx="0">
                  <c:v>33.332999999999998</c:v>
                </c:pt>
                <c:pt idx="1">
                  <c:v>33.332999999999998</c:v>
                </c:pt>
                <c:pt idx="2">
                  <c:v>0</c:v>
                </c:pt>
                <c:pt idx="3">
                  <c:v>33.332999999999998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D8F-4C17-AEF5-027E14071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C57-4787-8583-49C8FF9948E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C57-4787-8583-49C8FF9948E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C57-4787-8583-49C8FF9948E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C57-4787-8583-49C8FF9948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'Q17'!$D$23:$D$26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C57-4787-8583-49C8FF9948E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C57-4787-8583-49C8FF9948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3C57-4787-8583-49C8FF9948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3C57-4787-8583-49C8FF9948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3C57-4787-8583-49C8FF9948EE}"/>
              </c:ext>
            </c:extLst>
          </c:dPt>
          <c:cat>
            <c:strRef>
              <c:f>'Q17'!$B$23:$B$26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'Q17'!$E$23:$E$26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3C57-4787-8583-49C8FF994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'Q18'!$C$5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'Q18'!$C$6:$C$13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F9-4BDB-9FD1-97BAF8A00A54}"/>
            </c:ext>
          </c:extLst>
        </c:ser>
        <c:ser>
          <c:idx val="1"/>
          <c:order val="1"/>
          <c:tx>
            <c:strRef>
              <c:f>'Q18'!$D$5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'Q18'!$D$6:$D$13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F9-4BDB-9FD1-97BAF8A00A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2440832"/>
        <c:axId val="132442368"/>
      </c:barChart>
      <c:catAx>
        <c:axId val="13244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2442368"/>
        <c:crosses val="autoZero"/>
        <c:auto val="1"/>
        <c:lblAlgn val="ctr"/>
        <c:lblOffset val="100"/>
        <c:noMultiLvlLbl val="0"/>
      </c:catAx>
      <c:valAx>
        <c:axId val="13244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244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640-48B5-A992-3B187F2EFC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640-48B5-A992-3B187F2EFC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640-48B5-A992-3B187F2EFC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640-48B5-A992-3B187F2EFC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'Q18'!$B$17:$B$20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'Q18'!$E$17:$E$20</c:f>
              <c:numCache>
                <c:formatCode>0.00</c:formatCode>
                <c:ptCount val="4"/>
                <c:pt idx="0">
                  <c:v>66.667000000000002</c:v>
                </c:pt>
                <c:pt idx="1">
                  <c:v>16.667000000000002</c:v>
                </c:pt>
                <c:pt idx="2">
                  <c:v>16.667000000000002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640-48B5-A992-3B187F2EF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DA-421D-908D-C44337D5B2A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DA-421D-908D-C44337D5B2A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DA-421D-908D-C44337D5B2A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DA-421D-908D-C44337D5B2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5DA-421D-908D-C44337D5B2A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5DA-421D-908D-C44337D5B2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5DA-421D-908D-C44337D5B2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5DA-421D-908D-C44337D5B2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5DA-421D-908D-C44337D5B2AE}"/>
              </c:ext>
            </c:extLst>
          </c:dPt>
          <c:cat>
            <c:strRef>
              <c:f>'Q18'!$B$23:$B$26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5DA-421D-908D-C44337D5B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'Q19'!$C$6:$C$13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29-4B9A-9DF4-F6F889DC7A0C}"/>
            </c:ext>
          </c:extLst>
        </c:ser>
        <c:ser>
          <c:idx val="1"/>
          <c:order val="1"/>
          <c:tx>
            <c:strRef>
              <c:f>'Q19'!$D$5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'Q19'!$D$6:$D$13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29-4B9A-9DF4-F6F889DC7A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3429120"/>
        <c:axId val="133430656"/>
      </c:barChart>
      <c:catAx>
        <c:axId val="13342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430656"/>
        <c:crosses val="autoZero"/>
        <c:auto val="1"/>
        <c:lblAlgn val="ctr"/>
        <c:lblOffset val="100"/>
        <c:noMultiLvlLbl val="0"/>
      </c:catAx>
      <c:valAx>
        <c:axId val="13343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42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27-49A8-BEE6-E04E04A2B7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27-49A8-BEE6-E04E04A2B7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27-49A8-BEE6-E04E04A2B7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27-49A8-BEE6-E04E04A2B7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'Q19'!$E$17:$E$20</c:f>
              <c:numCache>
                <c:formatCode>0.00</c:formatCode>
                <c:ptCount val="4"/>
                <c:pt idx="0">
                  <c:v>66.667000000000002</c:v>
                </c:pt>
                <c:pt idx="1">
                  <c:v>0</c:v>
                </c:pt>
                <c:pt idx="2">
                  <c:v>33.332999999999998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927-49A8-BEE6-E04E04A2B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43-48B5-A20D-1D0BBBCFE24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43-48B5-A20D-1D0BBBCFE24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43-48B5-A20D-1D0BBBCFE24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43-48B5-A20D-1D0BBBCFE2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443-48B5-A20D-1D0BBBCFE24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E443-48B5-A20D-1D0BBBCFE2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E443-48B5-A20D-1D0BBBCFE2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E443-48B5-A20D-1D0BBBCFE2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E443-48B5-A20D-1D0BBBCFE247}"/>
              </c:ext>
            </c:extLst>
          </c:dPt>
          <c:cat>
            <c:strRef>
              <c:f>'Q19'!$B$23:$B$26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443-48B5-A20D-1D0BBBCFE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'Q20'!$C$6:$C$13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C0-4BC5-8B79-437391E2C18A}"/>
            </c:ext>
          </c:extLst>
        </c:ser>
        <c:ser>
          <c:idx val="1"/>
          <c:order val="1"/>
          <c:tx>
            <c:strRef>
              <c:f>'Q20'!$D$5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'Q20'!$D$6:$D$13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C0-4BC5-8B79-437391E2C1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737280"/>
        <c:axId val="134747264"/>
      </c:barChart>
      <c:catAx>
        <c:axId val="13473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4747264"/>
        <c:crosses val="autoZero"/>
        <c:auto val="1"/>
        <c:lblAlgn val="ctr"/>
        <c:lblOffset val="100"/>
        <c:noMultiLvlLbl val="0"/>
      </c:catAx>
      <c:valAx>
        <c:axId val="13474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473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D3-46FF-AB57-F4A79EAC6FA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D3-46FF-AB57-F4A79EAC6FA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D3-46FF-AB57-F4A79EAC6FA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D3-46FF-AB57-F4A79EAC6F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'Q20'!$E$17:$E$20</c:f>
              <c:numCache>
                <c:formatCode>0.00</c:formatCode>
                <c:ptCount val="4"/>
                <c:pt idx="0">
                  <c:v>0</c:v>
                </c:pt>
                <c:pt idx="1">
                  <c:v>16.667000000000002</c:v>
                </c:pt>
                <c:pt idx="2">
                  <c:v>83.332999999999998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AD3-46FF-AB57-F4A79EAC6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1E3-442C-8E3C-7EE01B455C9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1E3-442C-8E3C-7EE01B455C9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1E3-442C-8E3C-7EE01B455C9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1E3-442C-8E3C-7EE01B455C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1E3-442C-8E3C-7EE01B455C9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F1E3-442C-8E3C-7EE01B455C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F1E3-442C-8E3C-7EE01B455C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F1E3-442C-8E3C-7EE01B455C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F1E3-442C-8E3C-7EE01B455C9F}"/>
              </c:ext>
            </c:extLst>
          </c:dPt>
          <c:cat>
            <c:strRef>
              <c:f>'Q02'!$B$23:$B$26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1E3-442C-8E3C-7EE01B455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C4-487E-83FB-FC38DC9AC3A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C4-487E-83FB-FC38DC9AC3A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3C4-487E-83FB-FC38DC9AC3A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3C4-487E-83FB-FC38DC9AC3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3C4-487E-83FB-FC38DC9AC3A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3C4-487E-83FB-FC38DC9AC3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3C4-487E-83FB-FC38DC9AC3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3C4-487E-83FB-FC38DC9AC3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3C4-487E-83FB-FC38DC9AC3AF}"/>
              </c:ext>
            </c:extLst>
          </c:dPt>
          <c:cat>
            <c:strRef>
              <c:f>'Q20'!$B$23:$B$26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73C4-487E-83FB-FC38DC9AC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'Q21'!$C$6:$C$13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7E-4760-9F11-F72BC59B67C4}"/>
            </c:ext>
          </c:extLst>
        </c:ser>
        <c:ser>
          <c:idx val="1"/>
          <c:order val="1"/>
          <c:tx>
            <c:strRef>
              <c:f>'Q21'!$D$5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'Q21'!$D$6:$D$13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7E-4760-9F11-F72BC59B67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251072"/>
        <c:axId val="135252608"/>
      </c:barChart>
      <c:catAx>
        <c:axId val="1352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5252608"/>
        <c:crosses val="autoZero"/>
        <c:auto val="1"/>
        <c:lblAlgn val="ctr"/>
        <c:lblOffset val="100"/>
        <c:noMultiLvlLbl val="0"/>
      </c:catAx>
      <c:valAx>
        <c:axId val="13525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525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FB-4DF0-BF93-5B681D99F90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2FB-4DF0-BF93-5B681D99F90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2FB-4DF0-BF93-5B681D99F90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2FB-4DF0-BF93-5B681D99F9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2FB-4DF0-BF93-5B681D99F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E2-41D6-A158-EC49E4D8B5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E2-41D6-A158-EC49E4D8B5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DE2-41D6-A158-EC49E4D8B5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DE2-41D6-A158-EC49E4D8B5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DE2-41D6-A158-EC49E4D8B50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DE2-41D6-A158-EC49E4D8B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DE2-41D6-A158-EC49E4D8B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DE2-41D6-A158-EC49E4D8B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DE2-41D6-A158-EC49E4D8B506}"/>
              </c:ext>
            </c:extLst>
          </c:dPt>
          <c:cat>
            <c:strRef>
              <c:f>'Q21'!$B$23:$B$26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DE2-41D6-A158-EC49E4D8B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'Q22'!$C$6:$C$13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BE-477D-9DD0-C09D150A9B90}"/>
            </c:ext>
          </c:extLst>
        </c:ser>
        <c:ser>
          <c:idx val="1"/>
          <c:order val="1"/>
          <c:tx>
            <c:strRef>
              <c:f>'Q22'!$D$5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'Q22'!$D$6:$D$13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BE-477D-9DD0-C09D150A9B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6850048"/>
        <c:axId val="136872320"/>
      </c:barChart>
      <c:catAx>
        <c:axId val="13685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872320"/>
        <c:crosses val="autoZero"/>
        <c:auto val="1"/>
        <c:lblAlgn val="ctr"/>
        <c:lblOffset val="100"/>
        <c:noMultiLvlLbl val="0"/>
      </c:catAx>
      <c:valAx>
        <c:axId val="13687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85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58-4B39-9BC7-53101374FB3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58-4B39-9BC7-53101374FB3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58-4B39-9BC7-53101374FB3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58-4B39-9BC7-53101374FB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'Q22'!$E$17:$E$20</c:f>
              <c:numCache>
                <c:formatCode>0.00</c:formatCode>
                <c:ptCount val="4"/>
                <c:pt idx="0">
                  <c:v>83.332999999999998</c:v>
                </c:pt>
                <c:pt idx="1">
                  <c:v>16.667000000000002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858-4B39-9BC7-53101374F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5A-414A-81C4-59F75CE90B9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B5A-414A-81C4-59F75CE90B9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B5A-414A-81C4-59F75CE90B9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B5A-414A-81C4-59F75CE90B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B5A-414A-81C4-59F75CE90B9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B5A-414A-81C4-59F75CE90B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B5A-414A-81C4-59F75CE90B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B5A-414A-81C4-59F75CE90B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B5A-414A-81C4-59F75CE90B9F}"/>
              </c:ext>
            </c:extLst>
          </c:dPt>
          <c:cat>
            <c:strRef>
              <c:f>'Q22'!$B$23:$B$26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B5A-414A-81C4-59F75CE90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'Q23'!$C$6:$C$13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57-4813-A634-22BF8F98F3A5}"/>
            </c:ext>
          </c:extLst>
        </c:ser>
        <c:ser>
          <c:idx val="1"/>
          <c:order val="1"/>
          <c:tx>
            <c:strRef>
              <c:f>'Q23'!$D$5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'Q23'!$D$6:$D$13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57-4813-A634-22BF8F98F3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159040"/>
        <c:axId val="137160576"/>
      </c:barChart>
      <c:catAx>
        <c:axId val="13715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160576"/>
        <c:crosses val="autoZero"/>
        <c:auto val="1"/>
        <c:lblAlgn val="ctr"/>
        <c:lblOffset val="100"/>
        <c:noMultiLvlLbl val="0"/>
      </c:catAx>
      <c:valAx>
        <c:axId val="13716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15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CA-43E6-B2F5-EBCCB1CFA2A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CA-43E6-B2F5-EBCCB1CFA2A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8CA-43E6-B2F5-EBCCB1CFA2A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8CA-43E6-B2F5-EBCCB1CFA2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'Q23'!$E$17:$E$20</c:f>
              <c:numCache>
                <c:formatCode>0.00</c:formatCode>
                <c:ptCount val="4"/>
                <c:pt idx="0">
                  <c:v>16.667000000000002</c:v>
                </c:pt>
                <c:pt idx="1">
                  <c:v>16.667000000000002</c:v>
                </c:pt>
                <c:pt idx="2">
                  <c:v>66.667000000000002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8CA-43E6-B2F5-EBCCB1CF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916-40D1-88CA-CBB4A8B17D0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916-40D1-88CA-CBB4A8B17D0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916-40D1-88CA-CBB4A8B17D0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916-40D1-88CA-CBB4A8B17D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916-40D1-88CA-CBB4A8B17D0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916-40D1-88CA-CBB4A8B17D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916-40D1-88CA-CBB4A8B17D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916-40D1-88CA-CBB4A8B17D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916-40D1-88CA-CBB4A8B17D04}"/>
              </c:ext>
            </c:extLst>
          </c:dPt>
          <c:cat>
            <c:strRef>
              <c:f>'Q23'!$B$23:$B$26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916-40D1-88CA-CBB4A8B17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'Q03'!$C$6:$C$13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8F-407D-B75F-C5A9BB81F03A}"/>
            </c:ext>
          </c:extLst>
        </c:ser>
        <c:ser>
          <c:idx val="1"/>
          <c:order val="1"/>
          <c:tx>
            <c:strRef>
              <c:f>'Q03'!$D$5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'Q03'!$D$6:$D$13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8F-407D-B75F-C5A9BB81F0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106240"/>
        <c:axId val="106112128"/>
      </c:barChart>
      <c:catAx>
        <c:axId val="10610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112128"/>
        <c:crosses val="autoZero"/>
        <c:auto val="1"/>
        <c:lblAlgn val="ctr"/>
        <c:lblOffset val="100"/>
        <c:noMultiLvlLbl val="0"/>
      </c:catAx>
      <c:valAx>
        <c:axId val="10611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10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'Q24'!$C$6:$C$13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F3-4369-8645-FE0EF7DA8DF7}"/>
            </c:ext>
          </c:extLst>
        </c:ser>
        <c:ser>
          <c:idx val="1"/>
          <c:order val="1"/>
          <c:tx>
            <c:strRef>
              <c:f>'Q24'!$D$5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'Q24'!$D$6:$D$13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2F3-4369-8645-FE0EF7DA8D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660288"/>
        <c:axId val="137661824"/>
      </c:barChart>
      <c:catAx>
        <c:axId val="1376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661824"/>
        <c:crosses val="autoZero"/>
        <c:auto val="1"/>
        <c:lblAlgn val="ctr"/>
        <c:lblOffset val="100"/>
        <c:noMultiLvlLbl val="0"/>
      </c:catAx>
      <c:valAx>
        <c:axId val="13766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66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B19-4E50-9AF3-9002AE81E2D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B19-4E50-9AF3-9002AE81E2D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B19-4E50-9AF3-9002AE81E2D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B19-4E50-9AF3-9002AE81E2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26-4829-A8BC-EAA70F0CA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C91-45A5-BE7F-713A5DA12E8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91-45A5-BE7F-713A5DA12E8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C91-45A5-BE7F-713A5DA12E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C91-45A5-BE7F-713A5DA12E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50-4DAE-A667-81D17312560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C91-45A5-BE7F-713A5DA12E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C91-45A5-BE7F-713A5DA12E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C91-45A5-BE7F-713A5DA12E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C91-45A5-BE7F-713A5DA12E80}"/>
              </c:ext>
            </c:extLst>
          </c:dPt>
          <c:cat>
            <c:strRef>
              <c:f>'Q24'!$B$23:$B$26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0-4DAE-A667-81D173125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'Q26'!$C$6:$C$13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6-4B27-97E5-E33B988917DD}"/>
            </c:ext>
          </c:extLst>
        </c:ser>
        <c:ser>
          <c:idx val="1"/>
          <c:order val="1"/>
          <c:tx>
            <c:strRef>
              <c:f>'Q26'!$D$5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B6-4B27-97E5-E33B988917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096000"/>
        <c:axId val="138122368"/>
      </c:barChart>
      <c:catAx>
        <c:axId val="13809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122368"/>
        <c:crosses val="autoZero"/>
        <c:auto val="1"/>
        <c:lblAlgn val="ctr"/>
        <c:lblOffset val="100"/>
        <c:noMultiLvlLbl val="0"/>
      </c:catAx>
      <c:valAx>
        <c:axId val="13812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09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D95-4824-B854-E4AB2CCB5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D95-4824-B854-E4AB2CCB5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D95-4824-B854-E4AB2CCB5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D95-4824-B854-E4AB2CCB5F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'Q26'!$E$17:$E$20</c:f>
              <c:numCache>
                <c:formatCode>0.00</c:formatCode>
                <c:ptCount val="4"/>
                <c:pt idx="0">
                  <c:v>50</c:v>
                </c:pt>
                <c:pt idx="1">
                  <c:v>16.667000000000002</c:v>
                </c:pt>
                <c:pt idx="2">
                  <c:v>33.332999999999998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D95-4824-B854-E4AB2CCB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697-401F-BF35-3483727C884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697-401F-BF35-3483727C884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697-401F-BF35-3483727C884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697-401F-BF35-3483727C88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697-401F-BF35-3483727C884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697-401F-BF35-3483727C88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697-401F-BF35-3483727C88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697-401F-BF35-3483727C88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6697-401F-BF35-3483727C884E}"/>
              </c:ext>
            </c:extLst>
          </c:dPt>
          <c:cat>
            <c:strRef>
              <c:f>'Q26'!$B$23:$B$26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697-401F-BF35-3483727C8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'Q27'!$C$6:$C$13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1F-47B1-8F22-0E0774754A99}"/>
            </c:ext>
          </c:extLst>
        </c:ser>
        <c:ser>
          <c:idx val="1"/>
          <c:order val="1"/>
          <c:tx>
            <c:strRef>
              <c:f>'Q27'!$D$5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1F-47B1-8F22-0E0774754A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9564160"/>
        <c:axId val="139565696"/>
      </c:barChart>
      <c:catAx>
        <c:axId val="13956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565696"/>
        <c:crosses val="autoZero"/>
        <c:auto val="1"/>
        <c:lblAlgn val="ctr"/>
        <c:lblOffset val="100"/>
        <c:noMultiLvlLbl val="0"/>
      </c:catAx>
      <c:valAx>
        <c:axId val="13956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56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4C-4330-8DA3-81F082C69FE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4C-4330-8DA3-81F082C69FE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4C-4330-8DA3-81F082C69FE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4C-4330-8DA3-81F082C69F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'Q27'!$E$17:$E$20</c:f>
              <c:numCache>
                <c:formatCode>0.00</c:formatCode>
                <c:ptCount val="4"/>
                <c:pt idx="0">
                  <c:v>66.667000000000002</c:v>
                </c:pt>
                <c:pt idx="1">
                  <c:v>0</c:v>
                </c:pt>
                <c:pt idx="2">
                  <c:v>33.332999999999998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84C-4330-8DA3-81F082C69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8D5-4DC6-8578-0C404A29E9A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8D5-4DC6-8578-0C404A29E9A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8D5-4DC6-8578-0C404A29E9A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8D5-4DC6-8578-0C404A29E9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D5-4DC6-8578-0C404A29E9A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8D5-4DC6-8578-0C404A29E9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8D5-4DC6-8578-0C404A29E9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8D5-4DC6-8578-0C404A29E9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8D5-4DC6-8578-0C404A29E9A4}"/>
              </c:ext>
            </c:extLst>
          </c:dPt>
          <c:cat>
            <c:strRef>
              <c:f>'Q27'!$B$23:$B$26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8D5-4DC6-8578-0C404A29E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'Q29'!$C$6:$C$13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83-418B-A534-4E07FEE6C81D}"/>
            </c:ext>
          </c:extLst>
        </c:ser>
        <c:ser>
          <c:idx val="1"/>
          <c:order val="1"/>
          <c:tx>
            <c:strRef>
              <c:f>'Q29'!$D$5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'Q29'!$D$6:$D$13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83-418B-A534-4E07FEE6C8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196480"/>
        <c:axId val="140206464"/>
      </c:barChart>
      <c:catAx>
        <c:axId val="14019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0206464"/>
        <c:crosses val="autoZero"/>
        <c:auto val="1"/>
        <c:lblAlgn val="ctr"/>
        <c:lblOffset val="100"/>
        <c:noMultiLvlLbl val="0"/>
      </c:catAx>
      <c:valAx>
        <c:axId val="1402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019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FC-416E-86AE-14A1CDDAFA9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FC-416E-86AE-14A1CDDAFA9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6FC-416E-86AE-14A1CDDAFA9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6FC-416E-86AE-14A1CDDAFA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6FC-416E-86AE-14A1CDDAF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ABC-4092-B1DA-EA0CA9F0998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ABC-4092-B1DA-EA0CA9F0998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ABC-4092-B1DA-EA0CA9F0998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ABC-4092-B1DA-EA0CA9F099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'Q29'!$E$17:$E$20</c:f>
              <c:numCache>
                <c:formatCode>0.00</c:formatCode>
                <c:ptCount val="4"/>
                <c:pt idx="0">
                  <c:v>83.332999999999998</c:v>
                </c:pt>
                <c:pt idx="1">
                  <c:v>16.667000000000002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ABC-4092-B1DA-EA0CA9F0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A39-4FC1-9646-76BD1868E3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A39-4FC1-9646-76BD1868E3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A39-4FC1-9646-76BD1868E3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A39-4FC1-9646-76BD1868E3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A39-4FC1-9646-76BD1868E36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A39-4FC1-9646-76BD1868E3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A39-4FC1-9646-76BD1868E3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A39-4FC1-9646-76BD1868E3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A39-4FC1-9646-76BD1868E36B}"/>
              </c:ext>
            </c:extLst>
          </c:dPt>
          <c:cat>
            <c:strRef>
              <c:f>'Q29'!$B$23:$B$26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A39-4FC1-9646-76BD1868E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'Q30'!$C$6:$C$13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38-4BD0-85AD-CB2D4656855F}"/>
            </c:ext>
          </c:extLst>
        </c:ser>
        <c:ser>
          <c:idx val="1"/>
          <c:order val="1"/>
          <c:tx>
            <c:strRef>
              <c:f>'Q30'!$D$5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'Q30'!$D$6:$D$13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38-4BD0-85AD-CB2D465685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2401920"/>
        <c:axId val="142403456"/>
      </c:barChart>
      <c:catAx>
        <c:axId val="14240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2403456"/>
        <c:crosses val="autoZero"/>
        <c:auto val="1"/>
        <c:lblAlgn val="ctr"/>
        <c:lblOffset val="100"/>
        <c:noMultiLvlLbl val="0"/>
      </c:catAx>
      <c:valAx>
        <c:axId val="14240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240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A1-4DF0-BA8E-582DD776518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A1-4DF0-BA8E-582DD776518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A1-4DF0-BA8E-582DD77651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A1-4DF0-BA8E-582DD77651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'Q30'!$B$17:$B$20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'Q30'!$E$17:$E$20</c:f>
              <c:numCache>
                <c:formatCode>0.00</c:formatCode>
                <c:ptCount val="4"/>
                <c:pt idx="0">
                  <c:v>83.332999999999998</c:v>
                </c:pt>
                <c:pt idx="1">
                  <c:v>16.667000000000002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5A1-4DF0-BA8E-582DD7765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72-44B5-8C80-0C99CF39ABB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72-44B5-8C80-0C99CF39ABB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72-44B5-8C80-0C99CF39ABB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C72-44B5-8C80-0C99CF39AB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'Q30'!$B$23:$B$26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C72-44B5-8C80-0C99CF39ABB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C72-44B5-8C80-0C99CF39AB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C72-44B5-8C80-0C99CF39AB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C72-44B5-8C80-0C99CF39AB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C72-44B5-8C80-0C99CF39ABB4}"/>
              </c:ext>
            </c:extLst>
          </c:dPt>
          <c:cat>
            <c:strRef>
              <c:f>'Q30'!$B$23:$B$26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C72-44B5-8C80-0C99CF39A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9C-4D93-AC45-A6D56E41BB7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09C-4D93-AC45-A6D56E41BB7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09C-4D93-AC45-A6D56E41BB7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09C-4D93-AC45-A6D56E41BB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09C-4D93-AC45-A6D56E41BB7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09C-4D93-AC45-A6D56E41BB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09C-4D93-AC45-A6D56E41BB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09C-4D93-AC45-A6D56E41BB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09C-4D93-AC45-A6D56E41BB74}"/>
              </c:ext>
            </c:extLst>
          </c:dPt>
          <c:cat>
            <c:strRef>
              <c:f>'Q03'!$B$23:$B$26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09C-4D93-AC45-A6D56E41B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2.xml"/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8.xml"/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4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0E2F0B6E-EB06-4BCD-A369-12685A4D4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FA54CBB4-8E88-4EAE-9FD0-D06E44341B58}"/>
            </a:ext>
            <a:ext uri="{147F2762-F138-4A5C-976F-8EAC2B608ADB}">
              <a16:predDERef xmlns="" xmlns:a16="http://schemas.microsoft.com/office/drawing/2014/main" pred="{0E2F0B6E-EB06-4BCD-A369-12685A4D4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F4F22AC0-7470-4F6A-A31B-BB10E6A65B5C}"/>
            </a:ext>
            <a:ext uri="{147F2762-F138-4A5C-976F-8EAC2B608ADB}">
              <a16:predDERef xmlns="" xmlns:a16="http://schemas.microsoft.com/office/drawing/2014/main" pred="{FA54CBB4-8E88-4EAE-9FD0-D06E44341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D661575A-F607-4745-90FA-D404B2A31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CEF5B1A9-7856-4CDE-B832-EC9012F45ED9}"/>
            </a:ext>
            <a:ext uri="{147F2762-F138-4A5C-976F-8EAC2B608ADB}">
              <a16:predDERef xmlns="" xmlns:a16="http://schemas.microsoft.com/office/drawing/2014/main" pred="{D661575A-F607-4745-90FA-D404B2A31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380EA70D-649B-462A-86C8-CD8CAF9B58C6}"/>
            </a:ext>
            <a:ext uri="{147F2762-F138-4A5C-976F-8EAC2B608ADB}">
              <a16:predDERef xmlns="" xmlns:a16="http://schemas.microsoft.com/office/drawing/2014/main" pred="{CEF5B1A9-7856-4CDE-B832-EC9012F45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46441AA4-E4DA-43DC-9219-79A884995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8BD74AF3-B299-471A-BBC9-EAD902D7CA8A}"/>
            </a:ext>
            <a:ext uri="{147F2762-F138-4A5C-976F-8EAC2B608ADB}">
              <a16:predDERef xmlns="" xmlns:a16="http://schemas.microsoft.com/office/drawing/2014/main" pred="{46441AA4-E4DA-43DC-9219-79A884995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70C8AB6F-A3E7-4CCC-8EA1-626CCE6492CE}"/>
            </a:ext>
            <a:ext uri="{147F2762-F138-4A5C-976F-8EAC2B608ADB}">
              <a16:predDERef xmlns="" xmlns:a16="http://schemas.microsoft.com/office/drawing/2014/main" pred="{8BD74AF3-B299-471A-BBC9-EAD902D7C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218051B8-CA26-473B-AF0E-3557B4971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35BB588D-BF1C-4FE5-B912-71ADCA656F28}"/>
            </a:ext>
            <a:ext uri="{147F2762-F138-4A5C-976F-8EAC2B608ADB}">
              <a16:predDERef xmlns="" xmlns:a16="http://schemas.microsoft.com/office/drawing/2014/main" pred="{218051B8-CA26-473B-AF0E-3557B4971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34B3CD67-6475-45C5-BDE5-D182BF4F1A24}"/>
            </a:ext>
            <a:ext uri="{147F2762-F138-4A5C-976F-8EAC2B608ADB}">
              <a16:predDERef xmlns="" xmlns:a16="http://schemas.microsoft.com/office/drawing/2014/main" pred="{35BB588D-BF1C-4FE5-B912-71ADCA656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F07E934C-D664-435F-A109-2CA2FBA3C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36EC31E0-763C-4B45-9488-FEF425800EC5}"/>
            </a:ext>
            <a:ext uri="{147F2762-F138-4A5C-976F-8EAC2B608ADB}">
              <a16:predDERef xmlns="" xmlns:a16="http://schemas.microsoft.com/office/drawing/2014/main" pred="{F07E934C-D664-435F-A109-2CA2FBA3C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9B3F9DA8-667E-4EBC-B497-0DB6C92B8E85}"/>
            </a:ext>
            <a:ext uri="{147F2762-F138-4A5C-976F-8EAC2B608ADB}">
              <a16:predDERef xmlns="" xmlns:a16="http://schemas.microsoft.com/office/drawing/2014/main" pred="{36EC31E0-763C-4B45-9488-FEF425800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20033198-FB20-43D9-8B78-22858A4C1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E7C17B60-0EB0-4620-AB7B-72E89F41535D}"/>
            </a:ext>
            <a:ext uri="{147F2762-F138-4A5C-976F-8EAC2B608ADB}">
              <a16:predDERef xmlns="" xmlns:a16="http://schemas.microsoft.com/office/drawing/2014/main" pred="{20033198-FB20-43D9-8B78-22858A4C1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A7C92406-9564-43ED-AFE1-BAEE5001C437}"/>
            </a:ext>
            <a:ext uri="{147F2762-F138-4A5C-976F-8EAC2B608ADB}">
              <a16:predDERef xmlns="" xmlns:a16="http://schemas.microsoft.com/office/drawing/2014/main" pred="{E7C17B60-0EB0-4620-AB7B-72E89F415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51744522-4B5C-4F5C-A5ED-2CE858481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07CE039E-214A-436B-B1E8-4FEDF7B87791}"/>
            </a:ext>
            <a:ext uri="{147F2762-F138-4A5C-976F-8EAC2B608ADB}">
              <a16:predDERef xmlns="" xmlns:a16="http://schemas.microsoft.com/office/drawing/2014/main" pred="{51744522-4B5C-4F5C-A5ED-2CE858481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1438C0A7-6AE5-4B1E-A57B-4BF5C8FFBBF6}"/>
            </a:ext>
            <a:ext uri="{147F2762-F138-4A5C-976F-8EAC2B608ADB}">
              <a16:predDERef xmlns="" xmlns:a16="http://schemas.microsoft.com/office/drawing/2014/main" pred="{07CE039E-214A-436B-B1E8-4FEDF7B87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26A0D829-0F72-4747-B345-1BC701624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AFDBBE8A-4D91-4EAF-B5CB-ECA4A6A7ABBE}"/>
            </a:ext>
            <a:ext uri="{147F2762-F138-4A5C-976F-8EAC2B608ADB}">
              <a16:predDERef xmlns="" xmlns:a16="http://schemas.microsoft.com/office/drawing/2014/main" pred="{26A0D829-0F72-4747-B345-1BC701624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8E018896-1288-4BA5-88B2-8F38876DF3F9}"/>
            </a:ext>
            <a:ext uri="{147F2762-F138-4A5C-976F-8EAC2B608ADB}">
              <a16:predDERef xmlns="" xmlns:a16="http://schemas.microsoft.com/office/drawing/2014/main" pred="{AFDBBE8A-4D91-4EAF-B5CB-ECA4A6A7A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4665B0E2-9F20-440D-A5F6-E57BF5BA7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588C1CB8-F355-471D-B98E-3F2352B65F24}"/>
            </a:ext>
            <a:ext uri="{147F2762-F138-4A5C-976F-8EAC2B608ADB}">
              <a16:predDERef xmlns="" xmlns:a16="http://schemas.microsoft.com/office/drawing/2014/main" pred="{4665B0E2-9F20-440D-A5F6-E57BF5BA7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8F996635-5D23-4D06-B56D-2D228BDB735A}"/>
            </a:ext>
            <a:ext uri="{147F2762-F138-4A5C-976F-8EAC2B608ADB}">
              <a16:predDERef xmlns="" xmlns:a16="http://schemas.microsoft.com/office/drawing/2014/main" pred="{588C1CB8-F355-471D-B98E-3F2352B65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4B8DA50F-D797-49E8-A1F6-BD1762D6D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2918B38F-7529-4E16-9BBE-0DB9F2C03C0F}"/>
            </a:ext>
            <a:ext uri="{147F2762-F138-4A5C-976F-8EAC2B608ADB}">
              <a16:predDERef xmlns="" xmlns:a16="http://schemas.microsoft.com/office/drawing/2014/main" pred="{4B8DA50F-D797-49E8-A1F6-BD1762D6D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30F977B4-CCFA-4E46-8324-B2552F957C81}"/>
            </a:ext>
            <a:ext uri="{147F2762-F138-4A5C-976F-8EAC2B608ADB}">
              <a16:predDERef xmlns="" xmlns:a16="http://schemas.microsoft.com/office/drawing/2014/main" pred="{2918B38F-7529-4E16-9BBE-0DB9F2C03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B8253977-9620-4066-A62F-28C31CEFB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EA9BC8A7-C77D-4A07-AF46-63EB2FE4DB80}"/>
            </a:ext>
            <a:ext uri="{147F2762-F138-4A5C-976F-8EAC2B608ADB}">
              <a16:predDERef xmlns="" xmlns:a16="http://schemas.microsoft.com/office/drawing/2014/main" pred="{B8253977-9620-4066-A62F-28C31CEFB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AB695FEF-2A11-4028-80B3-E408FF23FFFB}"/>
            </a:ext>
            <a:ext uri="{147F2762-F138-4A5C-976F-8EAC2B608ADB}">
              <a16:predDERef xmlns="" xmlns:a16="http://schemas.microsoft.com/office/drawing/2014/main" pred="{EA9BC8A7-C77D-4A07-AF46-63EB2FE4D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3CE13B44-7AC6-4D89-95DC-E2DBC7AAD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9D757A3F-CEA8-469E-A0A0-3FD4E8BBA158}"/>
            </a:ext>
            <a:ext uri="{147F2762-F138-4A5C-976F-8EAC2B608ADB}">
              <a16:predDERef xmlns="" xmlns:a16="http://schemas.microsoft.com/office/drawing/2014/main" pred="{3CE13B44-7AC6-4D89-95DC-E2DBC7AAD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D796E377-56A9-4460-B9BE-DFF984A11744}"/>
            </a:ext>
            <a:ext uri="{147F2762-F138-4A5C-976F-8EAC2B608ADB}">
              <a16:predDERef xmlns="" xmlns:a16="http://schemas.microsoft.com/office/drawing/2014/main" pred="{9D757A3F-CEA8-469E-A0A0-3FD4E8BBA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EE9A5A82-DECF-4A4C-B0E0-0863CF16E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9E9F84F6-4C56-498A-83FB-36B9AF4E3933}"/>
            </a:ext>
            <a:ext uri="{147F2762-F138-4A5C-976F-8EAC2B608ADB}">
              <a16:predDERef xmlns="" xmlns:a16="http://schemas.microsoft.com/office/drawing/2014/main" pred="{EE9A5A82-DECF-4A4C-B0E0-0863CF16E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50868F7C-885C-4369-BCB7-AF3AEEA5C425}"/>
            </a:ext>
            <a:ext uri="{147F2762-F138-4A5C-976F-8EAC2B608ADB}">
              <a16:predDERef xmlns="" xmlns:a16="http://schemas.microsoft.com/office/drawing/2014/main" pred="{9E9F84F6-4C56-498A-83FB-36B9AF4E39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3114377F-6DB0-47C0-9EBF-BA8DF4AF1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B8F1B95C-9A98-45B0-ABF8-6F38D6B4815E}"/>
            </a:ext>
            <a:ext uri="{147F2762-F138-4A5C-976F-8EAC2B608ADB}">
              <a16:predDERef xmlns="" xmlns:a16="http://schemas.microsoft.com/office/drawing/2014/main" pred="{3114377F-6DB0-47C0-9EBF-BA8DF4AF1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E7EE121C-3720-425D-BCC0-FB8F850C5B53}"/>
            </a:ext>
            <a:ext uri="{147F2762-F138-4A5C-976F-8EAC2B608ADB}">
              <a16:predDERef xmlns="" xmlns:a16="http://schemas.microsoft.com/office/drawing/2014/main" pred="{B8F1B95C-9A98-45B0-ABF8-6F38D6B48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F9303816-B506-4E6C-AB44-30BAF4E73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50F8782D-EAA6-46A7-B514-5BB4F25EF314}"/>
            </a:ext>
            <a:ext uri="{147F2762-F138-4A5C-976F-8EAC2B608ADB}">
              <a16:predDERef xmlns="" xmlns:a16="http://schemas.microsoft.com/office/drawing/2014/main" pred="{F9303816-B506-4E6C-AB44-30BAF4E73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C6FDC060-A65E-4BA1-8714-C034AB40DF64}"/>
            </a:ext>
            <a:ext uri="{147F2762-F138-4A5C-976F-8EAC2B608ADB}">
              <a16:predDERef xmlns="" xmlns:a16="http://schemas.microsoft.com/office/drawing/2014/main" pred="{50F8782D-EAA6-46A7-B514-5BB4F25EF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AF03B20A-CB84-42AB-81B3-9D56799BE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B0001622-377A-494E-9F79-92B9F2B2AC73}"/>
            </a:ext>
            <a:ext uri="{147F2762-F138-4A5C-976F-8EAC2B608ADB}">
              <a16:predDERef xmlns="" xmlns:a16="http://schemas.microsoft.com/office/drawing/2014/main" pred="{AF03B20A-CB84-42AB-81B3-9D56799BE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0190E7DF-3785-4C05-B687-3075D9457ECC}"/>
            </a:ext>
            <a:ext uri="{147F2762-F138-4A5C-976F-8EAC2B608ADB}">
              <a16:predDERef xmlns="" xmlns:a16="http://schemas.microsoft.com/office/drawing/2014/main" pred="{B0001622-377A-494E-9F79-92B9F2B2A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CF7DF25F-5C2F-433A-8698-72A36C85D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FA88CB2E-D45E-490E-B971-9B4D5721BD68}"/>
            </a:ext>
            <a:ext uri="{147F2762-F138-4A5C-976F-8EAC2B608ADB}">
              <a16:predDERef xmlns="" xmlns:a16="http://schemas.microsoft.com/office/drawing/2014/main" pred="{CF7DF25F-5C2F-433A-8698-72A36C85D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D930F379-2693-400B-A760-7D4F26DEB84F}"/>
            </a:ext>
            <a:ext uri="{147F2762-F138-4A5C-976F-8EAC2B608ADB}">
              <a16:predDERef xmlns="" xmlns:a16="http://schemas.microsoft.com/office/drawing/2014/main" pred="{FA88CB2E-D45E-490E-B971-9B4D5721BD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D753646B-70D8-4C01-B7DF-C32219A36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D76424CA-AE61-406D-B6F3-6A0E4F44C261}"/>
            </a:ext>
            <a:ext uri="{147F2762-F138-4A5C-976F-8EAC2B608ADB}">
              <a16:predDERef xmlns="" xmlns:a16="http://schemas.microsoft.com/office/drawing/2014/main" pred="{D753646B-70D8-4C01-B7DF-C32219A36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51ACD764-73B3-435F-9C97-A751974795C2}"/>
            </a:ext>
            <a:ext uri="{147F2762-F138-4A5C-976F-8EAC2B608ADB}">
              <a16:predDERef xmlns="" xmlns:a16="http://schemas.microsoft.com/office/drawing/2014/main" pred="{D76424CA-AE61-406D-B6F3-6A0E4F44C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AA37BB0C-0339-44FD-8410-5F13A7B25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8E329344-DBED-4C09-BFA8-D52313B3B833}"/>
            </a:ext>
            <a:ext uri="{147F2762-F138-4A5C-976F-8EAC2B608ADB}">
              <a16:predDERef xmlns="" xmlns:a16="http://schemas.microsoft.com/office/drawing/2014/main" pred="{AA37BB0C-0339-44FD-8410-5F13A7B25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DFEC658B-FDDA-4106-AF50-CBEEA8670CF3}"/>
            </a:ext>
            <a:ext uri="{147F2762-F138-4A5C-976F-8EAC2B608ADB}">
              <a16:predDERef xmlns="" xmlns:a16="http://schemas.microsoft.com/office/drawing/2014/main" pred="{8E329344-DBED-4C09-BFA8-D52313B3B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0CB546A6-1D5A-4F98-BCF1-530A9272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666833D2-8DEC-40B4-9AE0-4972A91FEFE7}"/>
            </a:ext>
            <a:ext uri="{147F2762-F138-4A5C-976F-8EAC2B608ADB}">
              <a16:predDERef xmlns="" xmlns:a16="http://schemas.microsoft.com/office/drawing/2014/main" pred="{0CB546A6-1D5A-4F98-BCF1-530A9272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425E28C6-0AF9-4DF1-9FCD-07AEB83689BF}"/>
            </a:ext>
            <a:ext uri="{147F2762-F138-4A5C-976F-8EAC2B608ADB}">
              <a16:predDERef xmlns="" xmlns:a16="http://schemas.microsoft.com/office/drawing/2014/main" pred="{666833D2-8DEC-40B4-9AE0-4972A91FE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CC091CE3-9EA3-46B2-AF65-110F0EBC6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1C28D2EF-B63B-4F9C-AA1B-497E3DC3A5BB}"/>
            </a:ext>
            <a:ext uri="{147F2762-F138-4A5C-976F-8EAC2B608ADB}">
              <a16:predDERef xmlns="" xmlns:a16="http://schemas.microsoft.com/office/drawing/2014/main" pred="{CC091CE3-9EA3-46B2-AF65-110F0EBC6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BCA12313-B1F1-410C-B6A8-3E532E05B780}"/>
            </a:ext>
            <a:ext uri="{147F2762-F138-4A5C-976F-8EAC2B608ADB}">
              <a16:predDERef xmlns="" xmlns:a16="http://schemas.microsoft.com/office/drawing/2014/main" pred="{1C28D2EF-B63B-4F9C-AA1B-497E3DC3A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66355C1A-9DCC-4DEE-99AA-5A9289CD1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9B619326-3FF8-4697-BF1B-D24E14F6BB72}"/>
            </a:ext>
            <a:ext uri="{147F2762-F138-4A5C-976F-8EAC2B608ADB}">
              <a16:predDERef xmlns="" xmlns:a16="http://schemas.microsoft.com/office/drawing/2014/main" pred="{66355C1A-9DCC-4DEE-99AA-5A9289CD1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5B283E34-8847-4DB5-A25C-D4038A6D6D2D}"/>
            </a:ext>
            <a:ext uri="{147F2762-F138-4A5C-976F-8EAC2B608ADB}">
              <a16:predDERef xmlns="" xmlns:a16="http://schemas.microsoft.com/office/drawing/2014/main" pred="{9B619326-3FF8-4697-BF1B-D24E14F6B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9EF6A51B-358C-4858-8443-EDF2FD520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DE4A1BED-9C31-462C-A42F-CC63CEB584B6}"/>
            </a:ext>
            <a:ext uri="{147F2762-F138-4A5C-976F-8EAC2B608ADB}">
              <a16:predDERef xmlns="" xmlns:a16="http://schemas.microsoft.com/office/drawing/2014/main" pred="{9EF6A51B-358C-4858-8443-EDF2FD520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0176440B-DFAD-43C5-A3F7-2F32FBA0FDC3}"/>
            </a:ext>
            <a:ext uri="{147F2762-F138-4A5C-976F-8EAC2B608ADB}">
              <a16:predDERef xmlns="" xmlns:a16="http://schemas.microsoft.com/office/drawing/2014/main" pred="{DE4A1BED-9C31-462C-A42F-CC63CEB58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94D741F1-3021-4931-AB83-435940D86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585EC4F8-F3C8-4403-80A8-8DDB8FAAD04E}"/>
            </a:ext>
            <a:ext uri="{147F2762-F138-4A5C-976F-8EAC2B608ADB}">
              <a16:predDERef xmlns="" xmlns:a16="http://schemas.microsoft.com/office/drawing/2014/main" pred="{94D741F1-3021-4931-AB83-435940D86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DD26BFD0-6DDB-4EF6-88C4-E8CE2E63D2CC}"/>
            </a:ext>
            <a:ext uri="{147F2762-F138-4A5C-976F-8EAC2B608ADB}">
              <a16:predDERef xmlns="" xmlns:a16="http://schemas.microsoft.com/office/drawing/2014/main" pred="{585EC4F8-F3C8-4403-80A8-8DDB8FAAD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27B4C06B-9DA1-426B-8881-E1961C5D0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D1F0904E-6B5A-4659-B9E5-1C73C51E4BC1}"/>
            </a:ext>
            <a:ext uri="{147F2762-F138-4A5C-976F-8EAC2B608ADB}">
              <a16:predDERef xmlns="" xmlns:a16="http://schemas.microsoft.com/office/drawing/2014/main" pred="{27B4C06B-9DA1-426B-8881-E1961C5D0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719572DF-6967-4AAF-96EC-F8B0F847892E}"/>
            </a:ext>
            <a:ext uri="{147F2762-F138-4A5C-976F-8EAC2B608ADB}">
              <a16:predDERef xmlns="" xmlns:a16="http://schemas.microsoft.com/office/drawing/2014/main" pred="{D1F0904E-6B5A-4659-B9E5-1C73C51E4B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6658CE29-58A8-43CD-90AF-1C31BDD63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E386C2F1-FE58-4C38-96AB-700BFA112B7A}"/>
            </a:ext>
            <a:ext uri="{147F2762-F138-4A5C-976F-8EAC2B608ADB}">
              <a16:predDERef xmlns="" xmlns:a16="http://schemas.microsoft.com/office/drawing/2014/main" pred="{6658CE29-58A8-43CD-90AF-1C31BDD63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4FA759CF-19FB-4F95-A731-8D62E2224B87}"/>
            </a:ext>
            <a:ext uri="{147F2762-F138-4A5C-976F-8EAC2B608ADB}">
              <a16:predDERef xmlns="" xmlns:a16="http://schemas.microsoft.com/office/drawing/2014/main" pred="{E386C2F1-FE58-4C38-96AB-700BFA112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963296D2-B1E4-46C2-94D3-AD6BE341F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A36996F0-FC88-463C-B222-15A9D6BAD287}"/>
            </a:ext>
            <a:ext uri="{147F2762-F138-4A5C-976F-8EAC2B608ADB}">
              <a16:predDERef xmlns="" xmlns:a16="http://schemas.microsoft.com/office/drawing/2014/main" pred="{963296D2-B1E4-46C2-94D3-AD6BE341F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49A82CA6-A9A1-459D-BEED-8E441D446748}"/>
            </a:ext>
            <a:ext uri="{147F2762-F138-4A5C-976F-8EAC2B608ADB}">
              <a16:predDERef xmlns="" xmlns:a16="http://schemas.microsoft.com/office/drawing/2014/main" pred="{A36996F0-FC88-463C-B222-15A9D6BAD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DAB3BAEE-EA87-4305-8AE4-61ACA02B7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A45C772B-6CA0-4FAA-9BE1-B47A1A915F2C}"/>
            </a:ext>
            <a:ext uri="{147F2762-F138-4A5C-976F-8EAC2B608ADB}">
              <a16:predDERef xmlns="" xmlns:a16="http://schemas.microsoft.com/office/drawing/2014/main" pred="{DAB3BAEE-EA87-4305-8AE4-61ACA02B7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E86C25DC-EDEB-4E72-AC0B-2383BC781D2A}"/>
            </a:ext>
            <a:ext uri="{147F2762-F138-4A5C-976F-8EAC2B608ADB}">
              <a16:predDERef xmlns="" xmlns:a16="http://schemas.microsoft.com/office/drawing/2014/main" pred="{A45C772B-6CA0-4FAA-9BE1-B47A1A915F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Resp" displayName="Resp" ref="A1:AF8" totalsRowShown="0" headerRowDxfId="9">
  <autoFilter ref="A1:AF8"/>
  <sortState ref="A2:AH315">
    <sortCondition ref="A1:A315"/>
  </sortState>
  <tableColumns count="32">
    <tableColumn id="2" name="Curso"/>
    <tableColumn id="3" name="Código Curso" dataDxfId="8"/>
    <tableColumn id="4" name="Programa" dataDxfId="7"/>
    <tableColumn id="5" name="Setor"/>
    <tableColumn id="6" name="01"/>
    <tableColumn id="7" name="02"/>
    <tableColumn id="8" name="03"/>
    <tableColumn id="9" name="04"/>
    <tableColumn id="10" name="05"/>
    <tableColumn id="11" name="06"/>
    <tableColumn id="12" name="07"/>
    <tableColumn id="13" name="08"/>
    <tableColumn id="14" name="09"/>
    <tableColumn id="15" name="10"/>
    <tableColumn id="16" name="11"/>
    <tableColumn id="17" name="12"/>
    <tableColumn id="18" name="13"/>
    <tableColumn id="19" name="14"/>
    <tableColumn id="20" name="15"/>
    <tableColumn id="21" name="16"/>
    <tableColumn id="22" name="17"/>
    <tableColumn id="23" name="18"/>
    <tableColumn id="24" name="19"/>
    <tableColumn id="25" name="20"/>
    <tableColumn id="26" name="21"/>
    <tableColumn id="27" name="22"/>
    <tableColumn id="28" name="23"/>
    <tableColumn id="29" name="24"/>
    <tableColumn id="31" name="26"/>
    <tableColumn id="32" name="27"/>
    <tableColumn id="34" name="29"/>
    <tableColumn id="35" name="3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IC" displayName="IC" ref="A1:E32" totalsRowShown="0" headerRowDxfId="6" dataDxfId="5">
  <autoFilter ref="A1:E32"/>
  <tableColumns count="5">
    <tableColumn id="1" name="Número_Questão" dataDxfId="4"/>
    <tableColumn id="2" name="Tipo_Questão" dataDxfId="3"/>
    <tableColumn id="3" name="Título_Questão" dataDxfId="2"/>
    <tableColumn id="4" name="Título Gráfico" dataDxfId="1"/>
    <tableColumn id="5" name="Observaçõ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0"/>
  <sheetViews>
    <sheetView showGridLines="0" tabSelected="1" workbookViewId="0">
      <selection activeCell="H19" sqref="H19"/>
    </sheetView>
  </sheetViews>
  <sheetFormatPr defaultRowHeight="14.25" x14ac:dyDescent="0.2"/>
  <cols>
    <col min="1" max="1" width="2.5703125" style="29" customWidth="1"/>
    <col min="2" max="2" width="19.42578125" style="29" customWidth="1"/>
    <col min="3" max="3" width="12.5703125" style="29" customWidth="1"/>
    <col min="4" max="4" width="20.5703125" style="29" customWidth="1"/>
    <col min="5" max="5" width="15.5703125" style="29" customWidth="1"/>
    <col min="6" max="6" width="9.140625" style="29"/>
    <col min="7" max="7" width="15.85546875" style="29" customWidth="1"/>
    <col min="8" max="8" width="31.85546875" style="29" customWidth="1"/>
    <col min="9" max="16384" width="9.140625" style="29"/>
  </cols>
  <sheetData>
    <row r="1" spans="2:34" ht="15" x14ac:dyDescent="0.25"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2:34" ht="15" x14ac:dyDescent="0.25">
      <c r="B2" s="39"/>
      <c r="C2" s="39"/>
      <c r="D2" s="39"/>
      <c r="E2" s="39"/>
      <c r="F2" s="39"/>
      <c r="G2" s="39"/>
      <c r="H2" s="40"/>
      <c r="I2" s="40"/>
      <c r="J2" s="40"/>
      <c r="K2" s="40"/>
      <c r="L2" s="41"/>
      <c r="M2" s="41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</row>
    <row r="3" spans="2:34" x14ac:dyDescent="0.2"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2:34" x14ac:dyDescent="0.2">
      <c r="B4" s="39" t="s">
        <v>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</row>
    <row r="5" spans="2:34" x14ac:dyDescent="0.2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</row>
    <row r="6" spans="2:34" x14ac:dyDescent="0.2">
      <c r="B6" s="39" t="s">
        <v>3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</row>
    <row r="7" spans="2:34" x14ac:dyDescent="0.2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</row>
    <row r="8" spans="2:34" ht="15" x14ac:dyDescent="0.2">
      <c r="B8" s="30" t="s">
        <v>4</v>
      </c>
      <c r="C8" s="30"/>
      <c r="D8" s="30"/>
      <c r="E8" s="30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</row>
    <row r="9" spans="2:34" ht="15" x14ac:dyDescent="0.2">
      <c r="B9" s="31" t="s">
        <v>5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spans="2:34" x14ac:dyDescent="0.2">
      <c r="B10" s="32" t="s">
        <v>6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1" spans="2:34" x14ac:dyDescent="0.2">
      <c r="B11" s="32" t="s">
        <v>7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</row>
    <row r="12" spans="2:34" x14ac:dyDescent="0.2">
      <c r="B12" s="32" t="s">
        <v>8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</row>
    <row r="13" spans="2:34" x14ac:dyDescent="0.2">
      <c r="B13" s="32" t="s">
        <v>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</row>
    <row r="14" spans="2:34" x14ac:dyDescent="0.2">
      <c r="B14" s="32" t="s">
        <v>10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</row>
    <row r="15" spans="2:34" x14ac:dyDescent="0.2">
      <c r="B15" s="32" t="s">
        <v>11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</row>
    <row r="16" spans="2:34" x14ac:dyDescent="0.2">
      <c r="B16" s="32" t="s">
        <v>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</row>
    <row r="17" spans="2:34" x14ac:dyDescent="0.2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</row>
    <row r="18" spans="2:34" ht="15" x14ac:dyDescent="0.2">
      <c r="B18" s="30" t="s">
        <v>13</v>
      </c>
      <c r="C18" s="30"/>
      <c r="D18" s="30"/>
      <c r="E18" s="30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</row>
    <row r="19" spans="2:34" x14ac:dyDescent="0.2">
      <c r="B19" s="33" t="s">
        <v>14</v>
      </c>
      <c r="C19" s="47" t="s">
        <v>15</v>
      </c>
      <c r="D19" s="47"/>
      <c r="E19" s="34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</row>
    <row r="20" spans="2:34" x14ac:dyDescent="0.2">
      <c r="B20" s="35" t="s">
        <v>16</v>
      </c>
      <c r="C20" s="47" t="s">
        <v>17</v>
      </c>
      <c r="D20" s="47"/>
      <c r="E20" s="34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</row>
    <row r="21" spans="2:34" x14ac:dyDescent="0.2">
      <c r="B21" s="36" t="s">
        <v>18</v>
      </c>
      <c r="C21" s="47" t="s">
        <v>8</v>
      </c>
      <c r="D21" s="47"/>
      <c r="E21" s="34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</row>
    <row r="22" spans="2:34" x14ac:dyDescent="0.2">
      <c r="B22" s="37" t="s">
        <v>19</v>
      </c>
      <c r="C22" s="47" t="s">
        <v>20</v>
      </c>
      <c r="D22" s="47"/>
      <c r="E22" s="34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</row>
    <row r="23" spans="2:34" x14ac:dyDescent="0.2">
      <c r="B23" s="39"/>
      <c r="C23" s="39"/>
      <c r="D23" s="39"/>
      <c r="E23" s="39"/>
      <c r="F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</row>
    <row r="24" spans="2:34" ht="15.75" thickBot="1" x14ac:dyDescent="0.25">
      <c r="B24" s="30" t="s">
        <v>145</v>
      </c>
      <c r="C24" s="39"/>
      <c r="D24" s="39"/>
      <c r="E24" s="39"/>
      <c r="F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</row>
    <row r="25" spans="2:34" ht="15.75" thickBot="1" x14ac:dyDescent="0.3">
      <c r="B25" s="48" t="s">
        <v>25</v>
      </c>
      <c r="C25" s="49"/>
      <c r="D25" s="49"/>
      <c r="E25" s="50"/>
      <c r="F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</row>
    <row r="26" spans="2:34" ht="15" x14ac:dyDescent="0.2">
      <c r="B26" s="51" t="s">
        <v>21</v>
      </c>
      <c r="C26" s="52" t="s">
        <v>22</v>
      </c>
      <c r="D26" s="52" t="s">
        <v>23</v>
      </c>
      <c r="E26" s="53" t="s">
        <v>24</v>
      </c>
      <c r="F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</row>
    <row r="27" spans="2:34" ht="30.75" thickBot="1" x14ac:dyDescent="0.25">
      <c r="B27" s="54" t="s">
        <v>26</v>
      </c>
      <c r="C27" s="55">
        <v>6</v>
      </c>
      <c r="D27" s="55">
        <v>1</v>
      </c>
      <c r="E27" s="56">
        <f t="shared" ref="E27" si="0">SUM(C27:D27)</f>
        <v>7</v>
      </c>
      <c r="F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</row>
    <row r="28" spans="2:34" x14ac:dyDescent="0.2">
      <c r="B28" s="39"/>
      <c r="C28" s="39"/>
      <c r="F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</row>
    <row r="29" spans="2:34" x14ac:dyDescent="0.2">
      <c r="B29" s="39"/>
      <c r="C29" s="39"/>
      <c r="F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</row>
    <row r="30" spans="2:34" x14ac:dyDescent="0.2">
      <c r="B30" s="39"/>
      <c r="C30" s="39"/>
      <c r="F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</row>
  </sheetData>
  <mergeCells count="5">
    <mergeCell ref="C19:D19"/>
    <mergeCell ref="C20:D20"/>
    <mergeCell ref="C21:D21"/>
    <mergeCell ref="C22:D22"/>
    <mergeCell ref="B25:E25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H29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7</v>
      </c>
    </row>
    <row r="2" spans="1:7" x14ac:dyDescent="0.25">
      <c r="A2" s="10" t="str">
        <f>TEXT(A1,"00")</f>
        <v>07</v>
      </c>
      <c r="B2" s="10" t="str">
        <f>VLOOKUP(A$2, IC[], 3, FALSE)</f>
        <v>Com relação ao Programa de Iniciação Científica, de Iniciação Tecnológica ou similar, opine sobre: [O Sistema de Iniciação Científica e Tecnológica - SICT]</v>
      </c>
    </row>
    <row r="3" spans="1:7" x14ac:dyDescent="0.25">
      <c r="A3" s="7" t="s">
        <v>131</v>
      </c>
      <c r="B3" s="10" t="str">
        <f>VLOOKUP(A$2, IC[], 4, FALSE)</f>
        <v>Alunos IC/IT: Questão 7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COUNTIFS(Resp[Programa],"IC",Resp[07],B7)</f>
        <v>1</v>
      </c>
      <c r="D7" s="10">
        <f>COUNTIFS(Resp[Programa],"IT",Resp[07],B7)</f>
        <v>0</v>
      </c>
      <c r="E7" s="10">
        <f>COUNTIF(Resp[07],B7)</f>
        <v>1</v>
      </c>
      <c r="F7" s="10">
        <f t="shared" ref="F7:F13" si="0">ROUND($E7/E$14*100,2)</f>
        <v>14.29</v>
      </c>
      <c r="G7" s="23">
        <f>ROUND($E7/SUM($E$7:$E$13)*100,3)</f>
        <v>14.286</v>
      </c>
    </row>
    <row r="8" spans="1:7" x14ac:dyDescent="0.25">
      <c r="B8" s="7" t="s">
        <v>7</v>
      </c>
      <c r="C8" s="10">
        <f>COUNTIFS(Resp[Programa],"IC",Resp[07],B8)</f>
        <v>2</v>
      </c>
      <c r="D8" s="10">
        <f>COUNTIFS(Resp[Programa],"IT",Resp[07],B8)</f>
        <v>1</v>
      </c>
      <c r="E8" s="10">
        <f>COUNTIF(Resp[07],B8)</f>
        <v>3</v>
      </c>
      <c r="F8" s="10">
        <f t="shared" si="0"/>
        <v>42.86</v>
      </c>
      <c r="G8" s="23">
        <f t="shared" ref="G8:G13" si="1">ROUND($E8/SUM($E$7:$E$13)*100,3)</f>
        <v>42.856999999999999</v>
      </c>
    </row>
    <row r="9" spans="1:7" x14ac:dyDescent="0.25">
      <c r="B9" s="7" t="s">
        <v>8</v>
      </c>
      <c r="C9" s="10">
        <f>COUNTIFS(Resp[Programa],"IC",Resp[07],B9)</f>
        <v>2</v>
      </c>
      <c r="D9" s="10">
        <f>COUNTIFS(Resp[Programa],"IT",Resp[07],B9)</f>
        <v>0</v>
      </c>
      <c r="E9" s="10">
        <f>COUNTIF(Resp[07],B9)</f>
        <v>2</v>
      </c>
      <c r="F9" s="10">
        <f t="shared" si="0"/>
        <v>28.57</v>
      </c>
      <c r="G9" s="23">
        <f t="shared" si="1"/>
        <v>28.571000000000002</v>
      </c>
    </row>
    <row r="10" spans="1:7" x14ac:dyDescent="0.25">
      <c r="B10" s="7" t="s">
        <v>9</v>
      </c>
      <c r="C10" s="10">
        <f>COUNTIFS(Resp[Programa],"IC",Resp[07],B10)</f>
        <v>0</v>
      </c>
      <c r="D10" s="10">
        <f>COUNTIFS(Resp[Programa],"IT",Resp[07],B10)</f>
        <v>0</v>
      </c>
      <c r="E10" s="10">
        <f>COUNTIF(Resp[07],B10)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COUNTIFS(Resp[Programa],"IC",Resp[07],B11)</f>
        <v>0</v>
      </c>
      <c r="D11" s="10">
        <f>COUNTIFS(Resp[Programa],"IT",Resp[07],B11)</f>
        <v>0</v>
      </c>
      <c r="E11" s="10">
        <f>COUNTIF(Resp[07],B11)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COUNTIFS(Resp[Programa],"IC",Resp[07],B12)</f>
        <v>1</v>
      </c>
      <c r="D12" s="10">
        <f>COUNTIFS(Resp[Programa],"IT",Resp[07],B12)</f>
        <v>0</v>
      </c>
      <c r="E12" s="10">
        <f>COUNTIF(Resp[07],B12)</f>
        <v>1</v>
      </c>
      <c r="F12" s="10">
        <f t="shared" si="0"/>
        <v>14.29</v>
      </c>
      <c r="G12" s="23">
        <f t="shared" si="1"/>
        <v>14.286</v>
      </c>
    </row>
    <row r="13" spans="1:7" x14ac:dyDescent="0.25">
      <c r="B13" s="11" t="s">
        <v>12</v>
      </c>
      <c r="C13" s="15">
        <f>COUNTIFS(Resp[Programa],"IC",Resp[07],B13)</f>
        <v>0</v>
      </c>
      <c r="D13" s="15">
        <f>COUNTIFS(Resp[Programa],"IT",Resp[07],B13)</f>
        <v>0</v>
      </c>
      <c r="E13" s="15">
        <f>COUNTIF(Resp[07],B13)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100.00999999999999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3</v>
      </c>
      <c r="E17" s="23">
        <f>ROUND(D17/SUM(D$17:D$20)*100,3)</f>
        <v>50</v>
      </c>
    </row>
    <row r="18" spans="2:5" x14ac:dyDescent="0.25">
      <c r="B18" s="19" t="s">
        <v>18</v>
      </c>
      <c r="C18" s="7" t="s">
        <v>8</v>
      </c>
      <c r="D18" s="7">
        <f>C9</f>
        <v>2</v>
      </c>
      <c r="E18" s="23">
        <f>ROUND(D18/SUM(D$17:D$20)*100,3)</f>
        <v>33.332999999999998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16.667000000000002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8</v>
      </c>
    </row>
    <row r="2" spans="1:7" x14ac:dyDescent="0.25">
      <c r="A2" s="10" t="str">
        <f>TEXT(A1,"00")</f>
        <v>08</v>
      </c>
      <c r="B2" s="10" t="str">
        <f>VLOOKUP(A$2, IC[], 3, FALSE)</f>
        <v>Com relação ao Programa de Iniciação Científica, de Iniciação Tecnológica ou similar, opine sobre: [O processo de inscrição, seleção, etc.]</v>
      </c>
    </row>
    <row r="3" spans="1:7" x14ac:dyDescent="0.25">
      <c r="A3" s="7" t="s">
        <v>131</v>
      </c>
      <c r="B3" s="10" t="str">
        <f>VLOOKUP(A$2, IC[], 4, FALSE)</f>
        <v>Alunos IC/IT: Questão 8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COUNTIFS(Resp[Programa],"IC",Resp[08],B7)</f>
        <v>2</v>
      </c>
      <c r="D7" s="10">
        <f>COUNTIFS(Resp[Programa],"IT",Resp[08],B7)</f>
        <v>1</v>
      </c>
      <c r="E7" s="10">
        <f>COUNTIF(Resp[08],B7)</f>
        <v>3</v>
      </c>
      <c r="F7" s="10">
        <f t="shared" ref="F7:F13" si="0">ROUND($E7/E$14*100,2)</f>
        <v>42.86</v>
      </c>
      <c r="G7" s="23">
        <f>ROUND($E7/SUM($E$7:$E$13)*100,3)</f>
        <v>42.856999999999999</v>
      </c>
    </row>
    <row r="8" spans="1:7" x14ac:dyDescent="0.25">
      <c r="B8" s="7" t="s">
        <v>7</v>
      </c>
      <c r="C8" s="10">
        <f>COUNTIFS(Resp[Programa],"IC",Resp[08],B8)</f>
        <v>2</v>
      </c>
      <c r="D8" s="10">
        <f>COUNTIFS(Resp[Programa],"IT",Resp[08],B8)</f>
        <v>0</v>
      </c>
      <c r="E8" s="10">
        <f>COUNTIF(Resp[08],B8)</f>
        <v>2</v>
      </c>
      <c r="F8" s="10">
        <f t="shared" si="0"/>
        <v>28.57</v>
      </c>
      <c r="G8" s="23">
        <f t="shared" ref="G8:G13" si="1">ROUND($E8/SUM($E$7:$E$13)*100,3)</f>
        <v>28.571000000000002</v>
      </c>
    </row>
    <row r="9" spans="1:7" x14ac:dyDescent="0.25">
      <c r="B9" s="7" t="s">
        <v>8</v>
      </c>
      <c r="C9" s="10">
        <f>COUNTIFS(Resp[Programa],"IC",Resp[08],B9)</f>
        <v>1</v>
      </c>
      <c r="D9" s="10">
        <f>COUNTIFS(Resp[Programa],"IT",Resp[08],B9)</f>
        <v>0</v>
      </c>
      <c r="E9" s="10">
        <f>COUNTIF(Resp[08],B9)</f>
        <v>1</v>
      </c>
      <c r="F9" s="10">
        <f t="shared" si="0"/>
        <v>14.29</v>
      </c>
      <c r="G9" s="23">
        <f t="shared" si="1"/>
        <v>14.286</v>
      </c>
    </row>
    <row r="10" spans="1:7" x14ac:dyDescent="0.25">
      <c r="B10" s="7" t="s">
        <v>9</v>
      </c>
      <c r="C10" s="10">
        <f>COUNTIFS(Resp[Programa],"IC",Resp[08],B10)</f>
        <v>0</v>
      </c>
      <c r="D10" s="10">
        <f>COUNTIFS(Resp[Programa],"IT",Resp[08],B10)</f>
        <v>0</v>
      </c>
      <c r="E10" s="10">
        <f>COUNTIF(Resp[08],B10)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COUNTIFS(Resp[Programa],"IC",Resp[08],B11)</f>
        <v>0</v>
      </c>
      <c r="D11" s="10">
        <f>COUNTIFS(Resp[Programa],"IT",Resp[08],B11)</f>
        <v>0</v>
      </c>
      <c r="E11" s="10">
        <f>COUNTIF(Resp[08],B11)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COUNTIFS(Resp[Programa],"IC",Resp[08],B12)</f>
        <v>1</v>
      </c>
      <c r="D12" s="10">
        <f>COUNTIFS(Resp[Programa],"IT",Resp[08],B12)</f>
        <v>0</v>
      </c>
      <c r="E12" s="10">
        <f>COUNTIF(Resp[08],B12)</f>
        <v>1</v>
      </c>
      <c r="F12" s="10">
        <f t="shared" si="0"/>
        <v>14.29</v>
      </c>
      <c r="G12" s="23">
        <f t="shared" si="1"/>
        <v>14.286</v>
      </c>
    </row>
    <row r="13" spans="1:7" x14ac:dyDescent="0.25">
      <c r="B13" s="11" t="s">
        <v>12</v>
      </c>
      <c r="C13" s="15">
        <f>COUNTIFS(Resp[Programa],"IC",Resp[08],B13)</f>
        <v>0</v>
      </c>
      <c r="D13" s="15">
        <f>COUNTIFS(Resp[Programa],"IT",Resp[08],B13)</f>
        <v>0</v>
      </c>
      <c r="E13" s="15">
        <f>COUNTIF(Resp[08],B13)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100.00999999999999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4</v>
      </c>
      <c r="E17" s="23">
        <f>ROUND(D17/SUM(D$17:D$20)*100,3)</f>
        <v>66.667000000000002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16.667000000000002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16.667000000000002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E28"/>
    </sheetView>
  </sheetViews>
  <sheetFormatPr defaultRowHeight="15" x14ac:dyDescent="0.25"/>
  <cols>
    <col min="1" max="1" width="9.140625" style="7"/>
    <col min="2" max="2" width="22.7109375" style="7" customWidth="1"/>
    <col min="3" max="3" width="31.42578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9</v>
      </c>
    </row>
    <row r="2" spans="1:7" x14ac:dyDescent="0.25">
      <c r="A2" s="10" t="str">
        <f>TEXT(A1,"00")</f>
        <v>09</v>
      </c>
      <c r="B2" s="10" t="str">
        <f>VLOOKUP(A$2, IC[], 3, FALSE)</f>
        <v>Com relação ao Programa de Iniciação Científica, de Iniciação Tecnológica ou similar, opine sobre: [O acesso à informação]</v>
      </c>
    </row>
    <row r="3" spans="1:7" x14ac:dyDescent="0.25">
      <c r="A3" s="7" t="s">
        <v>131</v>
      </c>
      <c r="B3" s="10" t="str">
        <f>VLOOKUP(A$2, IC[], 4, FALSE)</f>
        <v>Alunos IC/IT: Questão 9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COUNTIFS(Resp[Programa],"IC",Resp[09],B7)</f>
        <v>0</v>
      </c>
      <c r="D7" s="10">
        <f>COUNTIFS(Resp[Programa],"IT",Resp[09],B7)</f>
        <v>1</v>
      </c>
      <c r="E7" s="10">
        <f>COUNTIF(Resp[09],B7)</f>
        <v>1</v>
      </c>
      <c r="F7" s="10">
        <f t="shared" ref="F7:F13" si="0">ROUND($E7/E$14*100,2)</f>
        <v>14.29</v>
      </c>
      <c r="G7" s="23">
        <f>ROUND($E7/SUM($E$7:$E$13)*100,3)</f>
        <v>14.286</v>
      </c>
    </row>
    <row r="8" spans="1:7" x14ac:dyDescent="0.25">
      <c r="B8" s="7" t="s">
        <v>7</v>
      </c>
      <c r="C8" s="10">
        <f>COUNTIFS(Resp[Programa],"IC",Resp[09],B8)</f>
        <v>3</v>
      </c>
      <c r="D8" s="10">
        <f>COUNTIFS(Resp[Programa],"IT",Resp[09],B8)</f>
        <v>0</v>
      </c>
      <c r="E8" s="10">
        <f>COUNTIF(Resp[09],B8)</f>
        <v>3</v>
      </c>
      <c r="F8" s="10">
        <f t="shared" si="0"/>
        <v>42.86</v>
      </c>
      <c r="G8" s="23">
        <f t="shared" ref="G8:G13" si="1">ROUND($E8/SUM($E$7:$E$13)*100,3)</f>
        <v>42.856999999999999</v>
      </c>
    </row>
    <row r="9" spans="1:7" x14ac:dyDescent="0.25">
      <c r="B9" s="7" t="s">
        <v>8</v>
      </c>
      <c r="C9" s="10">
        <f>COUNTIFS(Resp[Programa],"IC",Resp[09],B9)</f>
        <v>3</v>
      </c>
      <c r="D9" s="10">
        <f>COUNTIFS(Resp[Programa],"IT",Resp[09],B9)</f>
        <v>0</v>
      </c>
      <c r="E9" s="10">
        <f>COUNTIF(Resp[09],B9)</f>
        <v>3</v>
      </c>
      <c r="F9" s="10">
        <f t="shared" si="0"/>
        <v>42.86</v>
      </c>
      <c r="G9" s="23">
        <f t="shared" si="1"/>
        <v>42.856999999999999</v>
      </c>
    </row>
    <row r="10" spans="1:7" x14ac:dyDescent="0.25">
      <c r="B10" s="7" t="s">
        <v>9</v>
      </c>
      <c r="C10" s="10">
        <f>COUNTIFS(Resp[Programa],"IC",Resp[09],B10)</f>
        <v>0</v>
      </c>
      <c r="D10" s="10">
        <f>COUNTIFS(Resp[Programa],"IT",Resp[09],B10)</f>
        <v>0</v>
      </c>
      <c r="E10" s="10">
        <f>COUNTIF(Resp[09],B10)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COUNTIFS(Resp[Programa],"IC",Resp[09],B11)</f>
        <v>0</v>
      </c>
      <c r="D11" s="10">
        <f>COUNTIFS(Resp[Programa],"IT",Resp[09],B11)</f>
        <v>0</v>
      </c>
      <c r="E11" s="10">
        <f>COUNTIF(Resp[09],B11)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COUNTIFS(Resp[Programa],"IC",Resp[09],B12)</f>
        <v>0</v>
      </c>
      <c r="D12" s="10">
        <f>COUNTIFS(Resp[Programa],"IT",Resp[09],B12)</f>
        <v>0</v>
      </c>
      <c r="E12" s="10">
        <f>COUNTIF(Resp[09],B12)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COUNTIFS(Resp[Programa],"IC",Resp[09],B13)</f>
        <v>0</v>
      </c>
      <c r="D13" s="15">
        <f>COUNTIFS(Resp[Programa],"IT",Resp[09],B13)</f>
        <v>0</v>
      </c>
      <c r="E13" s="15">
        <f>COUNTIF(Resp[09],B13)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100.00999999999999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3</v>
      </c>
      <c r="E17" s="23">
        <f>ROUND(D17/SUM(D$17:D$20)*100,3)</f>
        <v>50</v>
      </c>
    </row>
    <row r="18" spans="2:5" x14ac:dyDescent="0.25">
      <c r="B18" s="19" t="s">
        <v>18</v>
      </c>
      <c r="C18" s="7" t="s">
        <v>8</v>
      </c>
      <c r="D18" s="7">
        <f>C9</f>
        <v>3</v>
      </c>
      <c r="E18" s="23">
        <f>ROUND(D18/SUM(D$17:D$20)*100,3)</f>
        <v>50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8:G29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10</v>
      </c>
    </row>
    <row r="2" spans="1:7" x14ac:dyDescent="0.25">
      <c r="A2" s="10" t="str">
        <f>TEXT(A1,"00")</f>
        <v>10</v>
      </c>
      <c r="B2" s="10" t="str">
        <f>VLOOKUP(A$2, IC[], 3, FALSE)</f>
        <v>Quanto ao quadro de docentes disponíveis para orientação e à qualidade da orientação, avalie: [O número de orientadores disponíveis]</v>
      </c>
    </row>
    <row r="3" spans="1:7" x14ac:dyDescent="0.25">
      <c r="A3" s="7" t="s">
        <v>131</v>
      </c>
      <c r="B3" s="10" t="str">
        <f>VLOOKUP(A$2, IC[], 4, FALSE)</f>
        <v>Alunos IC/IT: Questão 10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COUNTIFS(Resp[Programa],"IC",Resp[10],B7)</f>
        <v>3</v>
      </c>
      <c r="D7" s="10">
        <f>COUNTIFS(Resp[Programa],"IT",Resp[10],B7)</f>
        <v>1</v>
      </c>
      <c r="E7" s="10">
        <f>COUNTIF(Resp[10],B7)</f>
        <v>4</v>
      </c>
      <c r="F7" s="10">
        <f t="shared" ref="F7:F13" si="0">ROUND($E7/E$14*100,2)</f>
        <v>57.14</v>
      </c>
      <c r="G7" s="23">
        <f>ROUND($E7/SUM($E$7:$E$13)*100,3)</f>
        <v>57.143000000000001</v>
      </c>
    </row>
    <row r="8" spans="1:7" x14ac:dyDescent="0.25">
      <c r="B8" s="7" t="s">
        <v>7</v>
      </c>
      <c r="C8" s="10">
        <f>COUNTIFS(Resp[Programa],"IC",Resp[10],B8)</f>
        <v>1</v>
      </c>
      <c r="D8" s="10">
        <f>COUNTIFS(Resp[Programa],"IT",Resp[10],B8)</f>
        <v>0</v>
      </c>
      <c r="E8" s="10">
        <f>COUNTIF(Resp[10],B8)</f>
        <v>1</v>
      </c>
      <c r="F8" s="10">
        <f t="shared" si="0"/>
        <v>14.29</v>
      </c>
      <c r="G8" s="23">
        <f t="shared" ref="G8:G13" si="1">ROUND($E8/SUM($E$7:$E$13)*100,3)</f>
        <v>14.286</v>
      </c>
    </row>
    <row r="9" spans="1:7" x14ac:dyDescent="0.25">
      <c r="B9" s="7" t="s">
        <v>8</v>
      </c>
      <c r="C9" s="10">
        <f>COUNTIFS(Resp[Programa],"IC",Resp[10],B9)</f>
        <v>2</v>
      </c>
      <c r="D9" s="10">
        <f>COUNTIFS(Resp[Programa],"IT",Resp[10],B9)</f>
        <v>0</v>
      </c>
      <c r="E9" s="10">
        <f>COUNTIF(Resp[10],B9)</f>
        <v>2</v>
      </c>
      <c r="F9" s="10">
        <f t="shared" si="0"/>
        <v>28.57</v>
      </c>
      <c r="G9" s="23">
        <f t="shared" si="1"/>
        <v>28.571000000000002</v>
      </c>
    </row>
    <row r="10" spans="1:7" x14ac:dyDescent="0.25">
      <c r="B10" s="7" t="s">
        <v>9</v>
      </c>
      <c r="C10" s="10">
        <f>COUNTIFS(Resp[Programa],"IC",Resp[10],B10)</f>
        <v>0</v>
      </c>
      <c r="D10" s="10">
        <f>COUNTIFS(Resp[Programa],"IT",Resp[10],B10)</f>
        <v>0</v>
      </c>
      <c r="E10" s="10">
        <f>COUNTIF(Resp[10],B10)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COUNTIFS(Resp[Programa],"IC",Resp[10],B11)</f>
        <v>0</v>
      </c>
      <c r="D11" s="10">
        <f>COUNTIFS(Resp[Programa],"IT",Resp[10],B11)</f>
        <v>0</v>
      </c>
      <c r="E11" s="10">
        <f>COUNTIF(Resp[10],B11)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COUNTIFS(Resp[Programa],"IC",Resp[10],B12)</f>
        <v>0</v>
      </c>
      <c r="D12" s="10">
        <f>COUNTIFS(Resp[Programa],"IT",Resp[10],B12)</f>
        <v>0</v>
      </c>
      <c r="E12" s="10">
        <f>COUNTIF(Resp[10],B12)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COUNTIFS(Resp[Programa],"IC",Resp[10],B13)</f>
        <v>0</v>
      </c>
      <c r="D13" s="15">
        <f>COUNTIFS(Resp[Programa],"IT",Resp[10],B13)</f>
        <v>0</v>
      </c>
      <c r="E13" s="15">
        <f>COUNTIF(Resp[10],B13)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4</v>
      </c>
      <c r="E17" s="23">
        <f>ROUND(D17/SUM(D$17:D$20)*100,3)</f>
        <v>66.667000000000002</v>
      </c>
    </row>
    <row r="18" spans="2:5" x14ac:dyDescent="0.25">
      <c r="B18" s="19" t="s">
        <v>18</v>
      </c>
      <c r="C18" s="7" t="s">
        <v>8</v>
      </c>
      <c r="D18" s="7">
        <f>C9</f>
        <v>2</v>
      </c>
      <c r="E18" s="23">
        <f>ROUND(D18/SUM(D$17:D$20)*100,3)</f>
        <v>33.332999999999998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G28"/>
    </sheetView>
  </sheetViews>
  <sheetFormatPr defaultRowHeight="15" x14ac:dyDescent="0.25"/>
  <cols>
    <col min="1" max="1" width="9.140625" style="7"/>
    <col min="2" max="2" width="22.7109375" style="7" customWidth="1"/>
    <col min="3" max="3" width="32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11</v>
      </c>
    </row>
    <row r="2" spans="1:7" x14ac:dyDescent="0.25">
      <c r="A2" s="10" t="str">
        <f>TEXT(A1,"00")</f>
        <v>11</v>
      </c>
      <c r="B2" s="10" t="str">
        <f>VLOOKUP(A$2, IC[], 3, FALSE)</f>
        <v>Quanto ao quadro de docentes disponíveis para orientação e à qualidade da orientação, avalie: [O conhecimento e a atualização do orientador]</v>
      </c>
    </row>
    <row r="3" spans="1:7" x14ac:dyDescent="0.25">
      <c r="A3" s="7" t="s">
        <v>131</v>
      </c>
      <c r="B3" s="10" t="str">
        <f>VLOOKUP(A$2, IC[], 4, FALSE)</f>
        <v>Alunos IC/IT: Questão 11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COUNTIFS(Resp[Programa],"IC",Resp[11],B7)</f>
        <v>5</v>
      </c>
      <c r="D7" s="10">
        <f>COUNTIFS(Resp[Programa],"IT",Resp[11],B7)</f>
        <v>1</v>
      </c>
      <c r="E7" s="10">
        <f>COUNTIF(Resp[11],B7)</f>
        <v>6</v>
      </c>
      <c r="F7" s="10">
        <f t="shared" ref="F7:F13" si="0">ROUND($E7/E$14*100,2)</f>
        <v>85.71</v>
      </c>
      <c r="G7" s="23">
        <f>ROUND($E7/SUM($E$7:$E$13)*100,3)</f>
        <v>85.713999999999999</v>
      </c>
    </row>
    <row r="8" spans="1:7" x14ac:dyDescent="0.25">
      <c r="B8" s="7" t="s">
        <v>7</v>
      </c>
      <c r="C8" s="10">
        <f>COUNTIFS(Resp[Programa],"IC",Resp[11],B8)</f>
        <v>0</v>
      </c>
      <c r="D8" s="10">
        <f>COUNTIFS(Resp[Programa],"IT",Resp[11],B8)</f>
        <v>0</v>
      </c>
      <c r="E8" s="10">
        <f>COUNTIF(Resp[11],B8)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COUNTIFS(Resp[Programa],"IC",Resp[11],B9)</f>
        <v>1</v>
      </c>
      <c r="D9" s="10">
        <f>COUNTIFS(Resp[Programa],"IT",Resp[11],B9)</f>
        <v>0</v>
      </c>
      <c r="E9" s="10">
        <f>COUNTIF(Resp[11],B9)</f>
        <v>1</v>
      </c>
      <c r="F9" s="10">
        <f t="shared" si="0"/>
        <v>14.29</v>
      </c>
      <c r="G9" s="23">
        <f t="shared" si="1"/>
        <v>14.286</v>
      </c>
    </row>
    <row r="10" spans="1:7" x14ac:dyDescent="0.25">
      <c r="B10" s="7" t="s">
        <v>9</v>
      </c>
      <c r="C10" s="10">
        <f>COUNTIFS(Resp[Programa],"IC",Resp[11],B10)</f>
        <v>0</v>
      </c>
      <c r="D10" s="10">
        <f>COUNTIFS(Resp[Programa],"IT",Resp[11],B10)</f>
        <v>0</v>
      </c>
      <c r="E10" s="10">
        <f>COUNTIF(Resp[11],B10)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COUNTIFS(Resp[Programa],"IC",Resp[11],B11)</f>
        <v>0</v>
      </c>
      <c r="D11" s="10">
        <f>COUNTIFS(Resp[Programa],"IT",Resp[11],B11)</f>
        <v>0</v>
      </c>
      <c r="E11" s="10">
        <f>COUNTIF(Resp[11],B11)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COUNTIFS(Resp[Programa],"IC",Resp[11],B12)</f>
        <v>0</v>
      </c>
      <c r="D12" s="10">
        <f>COUNTIFS(Resp[Programa],"IT",Resp[11],B12)</f>
        <v>0</v>
      </c>
      <c r="E12" s="10">
        <f>COUNTIF(Resp[11],B12)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COUNTIFS(Resp[Programa],"IC",Resp[11],B13)</f>
        <v>0</v>
      </c>
      <c r="D13" s="15">
        <f>COUNTIFS(Resp[Programa],"IT",Resp[11],B13)</f>
        <v>0</v>
      </c>
      <c r="E13" s="15">
        <f>COUNTIF(Resp[11],B13)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5</v>
      </c>
      <c r="E17" s="23">
        <f>ROUND(D17/SUM(D$17:D$20)*100,3)</f>
        <v>83.332999999999998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16.667000000000002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1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12</v>
      </c>
    </row>
    <row r="2" spans="1:7" x14ac:dyDescent="0.25">
      <c r="A2" s="10" t="str">
        <f>TEXT(A1,"00")</f>
        <v>12</v>
      </c>
      <c r="B2" s="10" t="str">
        <f>VLOOKUP(A$2, IC[], 3, FALSE)</f>
        <v>Quanto ao quadro de docentes disponíveis para orientação e à qualidade da orientação, avalie: [A disponibilidade do docente para atividades de orientação]</v>
      </c>
    </row>
    <row r="3" spans="1:7" x14ac:dyDescent="0.25">
      <c r="A3" s="7" t="s">
        <v>131</v>
      </c>
      <c r="B3" s="10" t="str">
        <f>VLOOKUP(A$2, IC[], 4, FALSE)</f>
        <v>Alunos IC/IT: Questão 12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COUNTIFS(Resp[Programa],"IC",Resp[12],B7)</f>
        <v>5</v>
      </c>
      <c r="D7" s="10">
        <f>COUNTIFS(Resp[Programa],"IT",Resp[12],B7)</f>
        <v>0</v>
      </c>
      <c r="E7" s="10">
        <f>COUNTIF(Resp[12],B7)</f>
        <v>5</v>
      </c>
      <c r="F7" s="10">
        <f t="shared" ref="F7:F13" si="0">ROUND($E7/E$14*100,2)</f>
        <v>71.430000000000007</v>
      </c>
      <c r="G7" s="23">
        <f>ROUND($E7/SUM($E$7:$E$13)*100,3)</f>
        <v>71.429000000000002</v>
      </c>
    </row>
    <row r="8" spans="1:7" x14ac:dyDescent="0.25">
      <c r="B8" s="7" t="s">
        <v>7</v>
      </c>
      <c r="C8" s="10">
        <f>COUNTIFS(Resp[Programa],"IC",Resp[12],B8)</f>
        <v>0</v>
      </c>
      <c r="D8" s="10">
        <f>COUNTIFS(Resp[Programa],"IT",Resp[12],B8)</f>
        <v>1</v>
      </c>
      <c r="E8" s="10">
        <f>COUNTIF(Resp[12],B8)</f>
        <v>1</v>
      </c>
      <c r="F8" s="10">
        <f t="shared" si="0"/>
        <v>14.29</v>
      </c>
      <c r="G8" s="23">
        <f t="shared" ref="G8:G13" si="1">ROUND($E8/SUM($E$7:$E$13)*100,3)</f>
        <v>14.286</v>
      </c>
    </row>
    <row r="9" spans="1:7" x14ac:dyDescent="0.25">
      <c r="B9" s="7" t="s">
        <v>8</v>
      </c>
      <c r="C9" s="10">
        <f>COUNTIFS(Resp[Programa],"IC",Resp[12],B9)</f>
        <v>0</v>
      </c>
      <c r="D9" s="10">
        <f>COUNTIFS(Resp[Programa],"IT",Resp[12],B9)</f>
        <v>0</v>
      </c>
      <c r="E9" s="10">
        <f>COUNTIF(Resp[12],B9)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COUNTIFS(Resp[Programa],"IC",Resp[12],B10)</f>
        <v>1</v>
      </c>
      <c r="D10" s="10">
        <f>COUNTIFS(Resp[Programa],"IT",Resp[12],B10)</f>
        <v>0</v>
      </c>
      <c r="E10" s="10">
        <f>COUNTIF(Resp[12],B10)</f>
        <v>1</v>
      </c>
      <c r="F10" s="10">
        <f t="shared" si="0"/>
        <v>14.29</v>
      </c>
      <c r="G10" s="23">
        <f t="shared" si="1"/>
        <v>14.286</v>
      </c>
    </row>
    <row r="11" spans="1:7" x14ac:dyDescent="0.25">
      <c r="B11" s="7" t="s">
        <v>10</v>
      </c>
      <c r="C11" s="10">
        <f>COUNTIFS(Resp[Programa],"IC",Resp[12],B11)</f>
        <v>0</v>
      </c>
      <c r="D11" s="10">
        <f>COUNTIFS(Resp[Programa],"IT",Resp[12],B11)</f>
        <v>0</v>
      </c>
      <c r="E11" s="10">
        <f>COUNTIF(Resp[12],B11)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COUNTIFS(Resp[Programa],"IC",Resp[12],B12)</f>
        <v>0</v>
      </c>
      <c r="D12" s="10">
        <f>COUNTIFS(Resp[Programa],"IT",Resp[12],B12)</f>
        <v>0</v>
      </c>
      <c r="E12" s="10">
        <f>COUNTIF(Resp[12],B12)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COUNTIFS(Resp[Programa],"IC",Resp[12],B13)</f>
        <v>0</v>
      </c>
      <c r="D13" s="15">
        <f>COUNTIFS(Resp[Programa],"IT",Resp[12],B13)</f>
        <v>0</v>
      </c>
      <c r="E13" s="15">
        <f>COUNTIF(Resp[12],B13)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100.00999999999999</v>
      </c>
      <c r="G14" s="14">
        <f>SUM(G7:G13)</f>
        <v>100.001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5</v>
      </c>
      <c r="E17" s="23">
        <f>ROUND(D17/SUM(D$17:D$20)*100,3)</f>
        <v>83.332999999999998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1</v>
      </c>
      <c r="E20" s="28">
        <f>ROUND(D20/SUM(D$17:D$20)*100,3)</f>
        <v>16.667000000000002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G28"/>
    </sheetView>
  </sheetViews>
  <sheetFormatPr defaultRowHeight="15" x14ac:dyDescent="0.25"/>
  <cols>
    <col min="1" max="1" width="9.140625" style="7"/>
    <col min="2" max="2" width="22.7109375" style="7" customWidth="1"/>
    <col min="3" max="3" width="34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13</v>
      </c>
    </row>
    <row r="2" spans="1:7" x14ac:dyDescent="0.25">
      <c r="A2" s="10" t="str">
        <f>TEXT(A1,"00")</f>
        <v>13</v>
      </c>
      <c r="B2" s="10" t="str">
        <f>VLOOKUP(A$2, IC[], 3, FALSE)</f>
        <v>Quanto ao quadro de docentes disponíveis para orientação e à qualidade da orientação, avalie: [O número de atividades solicitadas pelos docentes no período de orientação]</v>
      </c>
    </row>
    <row r="3" spans="1:7" x14ac:dyDescent="0.25">
      <c r="A3" s="7" t="s">
        <v>131</v>
      </c>
      <c r="B3" s="10" t="str">
        <f>VLOOKUP(A$2, IC[], 4, FALSE)</f>
        <v>Alunos IC/IT: Questão 13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COUNTIFS(Resp[Programa],"IC",Resp[13],B7)</f>
        <v>5</v>
      </c>
      <c r="D7" s="10">
        <f>COUNTIFS(Resp[Programa],"IT",Resp[13],B7)</f>
        <v>0</v>
      </c>
      <c r="E7" s="10">
        <f>COUNTIF(Resp[13],B7)</f>
        <v>5</v>
      </c>
      <c r="F7" s="10">
        <f t="shared" ref="F7:F13" si="0">ROUND($E7/E$14*100,2)</f>
        <v>71.430000000000007</v>
      </c>
      <c r="G7" s="23">
        <f>ROUND($E7/SUM($E$7:$E$13)*100,3)</f>
        <v>71.429000000000002</v>
      </c>
    </row>
    <row r="8" spans="1:7" x14ac:dyDescent="0.25">
      <c r="B8" s="7" t="s">
        <v>7</v>
      </c>
      <c r="C8" s="10">
        <f>COUNTIFS(Resp[Programa],"IC",Resp[13],B8)</f>
        <v>1</v>
      </c>
      <c r="D8" s="10">
        <f>COUNTIFS(Resp[Programa],"IT",Resp[13],B8)</f>
        <v>1</v>
      </c>
      <c r="E8" s="10">
        <f>COUNTIF(Resp[13],B8)</f>
        <v>2</v>
      </c>
      <c r="F8" s="10">
        <f t="shared" si="0"/>
        <v>28.57</v>
      </c>
      <c r="G8" s="23">
        <f t="shared" ref="G8:G13" si="1">ROUND($E8/SUM($E$7:$E$13)*100,3)</f>
        <v>28.571000000000002</v>
      </c>
    </row>
    <row r="9" spans="1:7" x14ac:dyDescent="0.25">
      <c r="B9" s="7" t="s">
        <v>8</v>
      </c>
      <c r="C9" s="10">
        <f>COUNTIFS(Resp[Programa],"IC",Resp[13],B9)</f>
        <v>0</v>
      </c>
      <c r="D9" s="10">
        <f>COUNTIFS(Resp[Programa],"IT",Resp[13],B9)</f>
        <v>0</v>
      </c>
      <c r="E9" s="10">
        <f>COUNTIF(Resp[13],B9)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COUNTIFS(Resp[Programa],"IC",Resp[13],B10)</f>
        <v>0</v>
      </c>
      <c r="D10" s="10">
        <f>COUNTIFS(Resp[Programa],"IT",Resp[13],B10)</f>
        <v>0</v>
      </c>
      <c r="E10" s="10">
        <f>COUNTIF(Resp[13],B10)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COUNTIFS(Resp[Programa],"IC",Resp[13],B11)</f>
        <v>0</v>
      </c>
      <c r="D11" s="10">
        <f>COUNTIFS(Resp[Programa],"IT",Resp[13],B11)</f>
        <v>0</v>
      </c>
      <c r="E11" s="10">
        <f>COUNTIF(Resp[13],B11)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COUNTIFS(Resp[Programa],"IC",Resp[13],B12)</f>
        <v>0</v>
      </c>
      <c r="D12" s="10">
        <f>COUNTIFS(Resp[Programa],"IT",Resp[13],B12)</f>
        <v>0</v>
      </c>
      <c r="E12" s="10">
        <f>COUNTIF(Resp[13],B12)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COUNTIFS(Resp[Programa],"IC",Resp[13],B13)</f>
        <v>0</v>
      </c>
      <c r="D13" s="15">
        <f>COUNTIFS(Resp[Programa],"IT",Resp[13],B13)</f>
        <v>0</v>
      </c>
      <c r="E13" s="15">
        <f>COUNTIF(Resp[13],B13)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6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E29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14</v>
      </c>
    </row>
    <row r="2" spans="1:7" x14ac:dyDescent="0.25">
      <c r="A2" s="10" t="str">
        <f>TEXT(A1,"00")</f>
        <v>14</v>
      </c>
      <c r="B2" s="10" t="str">
        <f>VLOOKUP(A$2, IC[], 3, FALSE)</f>
        <v>Com relação à oferta de bolsas para os programas de ICT, como você avalia: [A divulgação]</v>
      </c>
    </row>
    <row r="3" spans="1:7" x14ac:dyDescent="0.25">
      <c r="A3" s="7" t="s">
        <v>131</v>
      </c>
      <c r="B3" s="10" t="str">
        <f>VLOOKUP(A$2, IC[], 4, FALSE)</f>
        <v>Alunos IC/IT: Questão 14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COUNTIFS(Resp[Programa],"IC",Resp[14],B7)</f>
        <v>2</v>
      </c>
      <c r="D7" s="10">
        <f>COUNTIFS(Resp[Programa],"IT",Resp[14],B7)</f>
        <v>0</v>
      </c>
      <c r="E7" s="10">
        <f>COUNTIF(Resp[14],B7)</f>
        <v>2</v>
      </c>
      <c r="F7" s="10">
        <f t="shared" ref="F7:F13" si="0">ROUND($E7/E$14*100,2)</f>
        <v>28.57</v>
      </c>
      <c r="G7" s="23">
        <f>ROUND($E7/SUM($E$7:$E$13)*100,3)</f>
        <v>28.571000000000002</v>
      </c>
    </row>
    <row r="8" spans="1:7" x14ac:dyDescent="0.25">
      <c r="B8" s="7" t="s">
        <v>7</v>
      </c>
      <c r="C8" s="10">
        <f>COUNTIFS(Resp[Programa],"IC",Resp[14],B8)</f>
        <v>1</v>
      </c>
      <c r="D8" s="10">
        <f>COUNTIFS(Resp[Programa],"IT",Resp[14],B8)</f>
        <v>0</v>
      </c>
      <c r="E8" s="10">
        <f>COUNTIF(Resp[14],B8)</f>
        <v>1</v>
      </c>
      <c r="F8" s="10">
        <f t="shared" si="0"/>
        <v>14.29</v>
      </c>
      <c r="G8" s="23">
        <f t="shared" ref="G8:G13" si="1">ROUND($E8/SUM($E$7:$E$13)*100,3)</f>
        <v>14.286</v>
      </c>
    </row>
    <row r="9" spans="1:7" x14ac:dyDescent="0.25">
      <c r="B9" s="7" t="s">
        <v>8</v>
      </c>
      <c r="C9" s="10">
        <f>COUNTIFS(Resp[Programa],"IC",Resp[14],B9)</f>
        <v>3</v>
      </c>
      <c r="D9" s="10">
        <f>COUNTIFS(Resp[Programa],"IT",Resp[14],B9)</f>
        <v>0</v>
      </c>
      <c r="E9" s="10">
        <f>COUNTIF(Resp[14],B9)</f>
        <v>3</v>
      </c>
      <c r="F9" s="10">
        <f t="shared" si="0"/>
        <v>42.86</v>
      </c>
      <c r="G9" s="23">
        <f t="shared" si="1"/>
        <v>42.856999999999999</v>
      </c>
    </row>
    <row r="10" spans="1:7" x14ac:dyDescent="0.25">
      <c r="B10" s="7" t="s">
        <v>9</v>
      </c>
      <c r="C10" s="10">
        <f>COUNTIFS(Resp[Programa],"IC",Resp[14],B10)</f>
        <v>0</v>
      </c>
      <c r="D10" s="10">
        <f>COUNTIFS(Resp[Programa],"IT",Resp[14],B10)</f>
        <v>1</v>
      </c>
      <c r="E10" s="10">
        <f>COUNTIF(Resp[14],B10)</f>
        <v>1</v>
      </c>
      <c r="F10" s="10">
        <f t="shared" si="0"/>
        <v>14.29</v>
      </c>
      <c r="G10" s="23">
        <f t="shared" si="1"/>
        <v>14.286</v>
      </c>
    </row>
    <row r="11" spans="1:7" x14ac:dyDescent="0.25">
      <c r="B11" s="7" t="s">
        <v>10</v>
      </c>
      <c r="C11" s="10">
        <f>COUNTIFS(Resp[Programa],"IC",Resp[14],B11)</f>
        <v>0</v>
      </c>
      <c r="D11" s="10">
        <f>COUNTIFS(Resp[Programa],"IT",Resp[14],B11)</f>
        <v>0</v>
      </c>
      <c r="E11" s="10">
        <f>COUNTIF(Resp[14],B11)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COUNTIFS(Resp[Programa],"IC",Resp[14],B12)</f>
        <v>0</v>
      </c>
      <c r="D12" s="10">
        <f>COUNTIFS(Resp[Programa],"IT",Resp[14],B12)</f>
        <v>0</v>
      </c>
      <c r="E12" s="10">
        <f>COUNTIF(Resp[14],B12)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COUNTIFS(Resp[Programa],"IC",Resp[14],B13)</f>
        <v>0</v>
      </c>
      <c r="D13" s="15">
        <f>COUNTIFS(Resp[Programa],"IT",Resp[14],B13)</f>
        <v>0</v>
      </c>
      <c r="E13" s="15">
        <f>COUNTIF(Resp[14],B13)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100.00999999999999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3</v>
      </c>
      <c r="E17" s="23">
        <f>ROUND(D17/SUM(D$17:D$20)*100,3)</f>
        <v>50</v>
      </c>
    </row>
    <row r="18" spans="2:5" x14ac:dyDescent="0.25">
      <c r="B18" s="19" t="s">
        <v>18</v>
      </c>
      <c r="C18" s="7" t="s">
        <v>8</v>
      </c>
      <c r="D18" s="7">
        <f>C9</f>
        <v>3</v>
      </c>
      <c r="E18" s="23">
        <f>ROUND(D18/SUM(D$17:D$20)*100,3)</f>
        <v>50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1</v>
      </c>
      <c r="E26" s="28">
        <f>ROUND(D26/SUM(D$23:D$26)*100,3)</f>
        <v>100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5" sqref="G15"/>
    </sheetView>
  </sheetViews>
  <sheetFormatPr defaultRowHeight="15" x14ac:dyDescent="0.25"/>
  <cols>
    <col min="1" max="1" width="9.140625" style="7"/>
    <col min="2" max="2" width="22.7109375" style="7" customWidth="1"/>
    <col min="3" max="3" width="34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15</v>
      </c>
    </row>
    <row r="2" spans="1:7" x14ac:dyDescent="0.25">
      <c r="A2" s="10" t="str">
        <f>TEXT(A1,"00")</f>
        <v>15</v>
      </c>
      <c r="B2" s="10" t="str">
        <f>VLOOKUP(A$2, IC[], 3, FALSE)</f>
        <v>Com relação à oferta de bolsas para os programas de ICT, como você avalia: [Os critérios de seleção]</v>
      </c>
    </row>
    <row r="3" spans="1:7" x14ac:dyDescent="0.25">
      <c r="A3" s="7" t="s">
        <v>131</v>
      </c>
      <c r="B3" s="10" t="str">
        <f>VLOOKUP(A$2, IC[], 4, FALSE)</f>
        <v>Alunos IC/IT: Questão 15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COUNTIFS(Resp[Programa],"IC",Resp[15],B7)</f>
        <v>2</v>
      </c>
      <c r="D7" s="10">
        <f>COUNTIFS(Resp[Programa],"IT",Resp[15],B7)</f>
        <v>0</v>
      </c>
      <c r="E7" s="10">
        <f>COUNTIF(Resp[15],B7)</f>
        <v>2</v>
      </c>
      <c r="F7" s="10">
        <f t="shared" ref="F7:F13" si="0">ROUND($E7/E$14*100,2)</f>
        <v>28.57</v>
      </c>
      <c r="G7" s="23">
        <f>ROUND($E7/SUM($E$7:$E$13)*100,3)</f>
        <v>28.571000000000002</v>
      </c>
    </row>
    <row r="8" spans="1:7" x14ac:dyDescent="0.25">
      <c r="B8" s="7" t="s">
        <v>7</v>
      </c>
      <c r="C8" s="10">
        <f>COUNTIFS(Resp[Programa],"IC",Resp[15],B8)</f>
        <v>2</v>
      </c>
      <c r="D8" s="10">
        <f>COUNTIFS(Resp[Programa],"IT",Resp[15],B8)</f>
        <v>1</v>
      </c>
      <c r="E8" s="10">
        <f>COUNTIF(Resp[15],B8)</f>
        <v>3</v>
      </c>
      <c r="F8" s="10">
        <f t="shared" si="0"/>
        <v>42.86</v>
      </c>
      <c r="G8" s="23">
        <f t="shared" ref="G8:G13" si="1">ROUND($E8/SUM($E$7:$E$13)*100,3)</f>
        <v>42.856999999999999</v>
      </c>
    </row>
    <row r="9" spans="1:7" x14ac:dyDescent="0.25">
      <c r="B9" s="7" t="s">
        <v>8</v>
      </c>
      <c r="C9" s="10">
        <f>COUNTIFS(Resp[Programa],"IC",Resp[15],B9)</f>
        <v>1</v>
      </c>
      <c r="D9" s="10">
        <f>COUNTIFS(Resp[Programa],"IT",Resp[15],B9)</f>
        <v>0</v>
      </c>
      <c r="E9" s="10">
        <f>COUNTIF(Resp[15],B9)</f>
        <v>1</v>
      </c>
      <c r="F9" s="10">
        <f t="shared" si="0"/>
        <v>14.29</v>
      </c>
      <c r="G9" s="23">
        <f t="shared" si="1"/>
        <v>14.286</v>
      </c>
    </row>
    <row r="10" spans="1:7" x14ac:dyDescent="0.25">
      <c r="B10" s="7" t="s">
        <v>9</v>
      </c>
      <c r="C10" s="10">
        <f>COUNTIFS(Resp[Programa],"IC",Resp[15],B10)</f>
        <v>0</v>
      </c>
      <c r="D10" s="10">
        <f>COUNTIFS(Resp[Programa],"IT",Resp[15],B10)</f>
        <v>0</v>
      </c>
      <c r="E10" s="10">
        <f>COUNTIF(Resp[15],B10)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COUNTIFS(Resp[Programa],"IC",Resp[15],B11)</f>
        <v>0</v>
      </c>
      <c r="D11" s="10">
        <f>COUNTIFS(Resp[Programa],"IT",Resp[15],B11)</f>
        <v>0</v>
      </c>
      <c r="E11" s="10">
        <f>COUNTIF(Resp[15],B11)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COUNTIFS(Resp[Programa],"IC",Resp[15],B12)</f>
        <v>1</v>
      </c>
      <c r="D12" s="10">
        <f>COUNTIFS(Resp[Programa],"IT",Resp[15],B12)</f>
        <v>0</v>
      </c>
      <c r="E12" s="10">
        <f>COUNTIF(Resp[15],B12)</f>
        <v>1</v>
      </c>
      <c r="F12" s="10">
        <f t="shared" si="0"/>
        <v>14.29</v>
      </c>
      <c r="G12" s="23">
        <f t="shared" si="1"/>
        <v>14.286</v>
      </c>
    </row>
    <row r="13" spans="1:7" x14ac:dyDescent="0.25">
      <c r="B13" s="11" t="s">
        <v>12</v>
      </c>
      <c r="C13" s="15">
        <f>COUNTIFS(Resp[Programa],"IC",Resp[15],B13)</f>
        <v>0</v>
      </c>
      <c r="D13" s="15">
        <f>COUNTIFS(Resp[Programa],"IT",Resp[15],B13)</f>
        <v>0</v>
      </c>
      <c r="E13" s="15">
        <f>COUNTIF(Resp[15],B13)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100.00999999999999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4</v>
      </c>
      <c r="E17" s="23">
        <f>ROUND(D17/SUM(D$17:D$20)*100,3)</f>
        <v>66.667000000000002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16.667000000000002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16.667000000000002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5" sqref="G15"/>
    </sheetView>
  </sheetViews>
  <sheetFormatPr defaultRowHeight="15" x14ac:dyDescent="0.25"/>
  <cols>
    <col min="1" max="1" width="9.140625" style="7"/>
    <col min="2" max="2" width="22.7109375" style="7" customWidth="1"/>
    <col min="3" max="3" width="30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16</v>
      </c>
    </row>
    <row r="2" spans="1:7" x14ac:dyDescent="0.25">
      <c r="A2" s="10" t="str">
        <f>TEXT(A1,"00")</f>
        <v>16</v>
      </c>
      <c r="B2" s="10" t="str">
        <f>VLOOKUP(A$2, IC[], 3, FALSE)</f>
        <v>Com relação à oferta de bolsas para os programas de ICT, como você avalia: [A disponibilidade]</v>
      </c>
    </row>
    <row r="3" spans="1:7" x14ac:dyDescent="0.25">
      <c r="A3" s="7" t="s">
        <v>131</v>
      </c>
      <c r="B3" s="10" t="str">
        <f>VLOOKUP(A$2, IC[], 4, FALSE)</f>
        <v>Alunos IC/IT: Questão 16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COUNTIFS(Resp[Programa],"IC",Resp[16],B7)</f>
        <v>2</v>
      </c>
      <c r="D7" s="10">
        <f>COUNTIFS(Resp[Programa],"IT",Resp[16],B7)</f>
        <v>0</v>
      </c>
      <c r="E7" s="10">
        <f>COUNTIF(Resp[16],B7)</f>
        <v>2</v>
      </c>
      <c r="F7" s="10">
        <f t="shared" ref="F7:F13" si="0">ROUND($E7/E$14*100,2)</f>
        <v>28.57</v>
      </c>
      <c r="G7" s="23">
        <f>ROUND($E7/SUM($E$7:$E$13)*100,3)</f>
        <v>28.571000000000002</v>
      </c>
    </row>
    <row r="8" spans="1:7" x14ac:dyDescent="0.25">
      <c r="B8" s="7" t="s">
        <v>7</v>
      </c>
      <c r="C8" s="10">
        <f>COUNTIFS(Resp[Programa],"IC",Resp[16],B8)</f>
        <v>1</v>
      </c>
      <c r="D8" s="10">
        <f>COUNTIFS(Resp[Programa],"IT",Resp[16],B8)</f>
        <v>0</v>
      </c>
      <c r="E8" s="10">
        <f>COUNTIF(Resp[16],B8)</f>
        <v>1</v>
      </c>
      <c r="F8" s="10">
        <f t="shared" si="0"/>
        <v>14.29</v>
      </c>
      <c r="G8" s="23">
        <f t="shared" ref="G8:G13" si="1">ROUND($E8/SUM($E$7:$E$13)*100,3)</f>
        <v>14.286</v>
      </c>
    </row>
    <row r="9" spans="1:7" x14ac:dyDescent="0.25">
      <c r="B9" s="7" t="s">
        <v>8</v>
      </c>
      <c r="C9" s="10">
        <f>COUNTIFS(Resp[Programa],"IC",Resp[16],B9)</f>
        <v>3</v>
      </c>
      <c r="D9" s="10">
        <f>COUNTIFS(Resp[Programa],"IT",Resp[16],B9)</f>
        <v>1</v>
      </c>
      <c r="E9" s="10">
        <f>COUNTIF(Resp[16],B9)</f>
        <v>4</v>
      </c>
      <c r="F9" s="10">
        <f t="shared" si="0"/>
        <v>57.14</v>
      </c>
      <c r="G9" s="23">
        <f t="shared" si="1"/>
        <v>57.143000000000001</v>
      </c>
    </row>
    <row r="10" spans="1:7" x14ac:dyDescent="0.25">
      <c r="B10" s="7" t="s">
        <v>9</v>
      </c>
      <c r="C10" s="10">
        <f>COUNTIFS(Resp[Programa],"IC",Resp[16],B10)</f>
        <v>0</v>
      </c>
      <c r="D10" s="10">
        <f>COUNTIFS(Resp[Programa],"IT",Resp[16],B10)</f>
        <v>0</v>
      </c>
      <c r="E10" s="10">
        <f>COUNTIF(Resp[16],B10)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COUNTIFS(Resp[Programa],"IC",Resp[16],B11)</f>
        <v>0</v>
      </c>
      <c r="D11" s="10">
        <f>COUNTIFS(Resp[Programa],"IT",Resp[16],B11)</f>
        <v>0</v>
      </c>
      <c r="E11" s="10">
        <f>COUNTIF(Resp[16],B11)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COUNTIFS(Resp[Programa],"IC",Resp[16],B12)</f>
        <v>0</v>
      </c>
      <c r="D12" s="10">
        <f>COUNTIFS(Resp[Programa],"IT",Resp[16],B12)</f>
        <v>0</v>
      </c>
      <c r="E12" s="10">
        <f>COUNTIF(Resp[16],B12)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COUNTIFS(Resp[Programa],"IC",Resp[16],B13)</f>
        <v>0</v>
      </c>
      <c r="D13" s="15">
        <f>COUNTIFS(Resp[Programa],"IT",Resp[16],B13)</f>
        <v>0</v>
      </c>
      <c r="E13" s="15">
        <f>COUNTIF(Resp[16],B13)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3</v>
      </c>
      <c r="E17" s="23">
        <f>ROUND(D17/SUM(D$17:D$20)*100,3)</f>
        <v>50</v>
      </c>
    </row>
    <row r="18" spans="2:5" x14ac:dyDescent="0.25">
      <c r="B18" s="19" t="s">
        <v>18</v>
      </c>
      <c r="C18" s="7" t="s">
        <v>8</v>
      </c>
      <c r="D18" s="7">
        <f>C9</f>
        <v>3</v>
      </c>
      <c r="E18" s="23">
        <f>ROUND(D18/SUM(D$17:D$20)*100,3)</f>
        <v>50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1</v>
      </c>
      <c r="E24" s="23">
        <f>ROUND(D24/SUM(D$23:D$26)*100,3)</f>
        <v>100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zoomScale="80" zoomScaleNormal="80" workbookViewId="0">
      <selection activeCell="A23" sqref="A23"/>
    </sheetView>
  </sheetViews>
  <sheetFormatPr defaultColWidth="32.85546875" defaultRowHeight="15" x14ac:dyDescent="0.25"/>
  <cols>
    <col min="1" max="1" width="73" customWidth="1"/>
    <col min="4" max="4" width="53.5703125" customWidth="1"/>
  </cols>
  <sheetData>
    <row r="1" spans="1:39" x14ac:dyDescent="0.25">
      <c r="A1" s="2" t="s">
        <v>27</v>
      </c>
      <c r="B1" s="1" t="s">
        <v>28</v>
      </c>
      <c r="C1" s="1" t="s">
        <v>29</v>
      </c>
      <c r="D1" s="2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3" t="s">
        <v>36</v>
      </c>
      <c r="K1" s="3" t="s">
        <v>37</v>
      </c>
      <c r="L1" s="3" t="s">
        <v>38</v>
      </c>
      <c r="M1" s="3" t="s">
        <v>39</v>
      </c>
      <c r="N1" s="3" t="s">
        <v>40</v>
      </c>
      <c r="O1" s="3" t="s">
        <v>41</v>
      </c>
      <c r="P1" s="3" t="s">
        <v>42</v>
      </c>
      <c r="Q1" s="3" t="s">
        <v>43</v>
      </c>
      <c r="R1" s="3" t="s">
        <v>44</v>
      </c>
      <c r="S1" s="3" t="s">
        <v>45</v>
      </c>
      <c r="T1" s="3" t="s">
        <v>46</v>
      </c>
      <c r="U1" s="3" t="s">
        <v>47</v>
      </c>
      <c r="V1" s="3" t="s">
        <v>48</v>
      </c>
      <c r="W1" s="3" t="s">
        <v>49</v>
      </c>
      <c r="X1" s="3" t="s">
        <v>50</v>
      </c>
      <c r="Y1" s="3" t="s">
        <v>51</v>
      </c>
      <c r="Z1" s="3" t="s">
        <v>52</v>
      </c>
      <c r="AA1" s="3" t="s">
        <v>53</v>
      </c>
      <c r="AB1" s="3" t="s">
        <v>54</v>
      </c>
      <c r="AC1" s="3" t="s">
        <v>55</v>
      </c>
      <c r="AD1" s="3" t="s">
        <v>56</v>
      </c>
      <c r="AE1" s="3" t="s">
        <v>57</v>
      </c>
      <c r="AF1" s="3" t="s">
        <v>58</v>
      </c>
      <c r="AG1" s="3"/>
      <c r="AH1" s="3"/>
      <c r="AI1" s="3"/>
      <c r="AJ1" s="3"/>
      <c r="AK1" s="3"/>
      <c r="AL1" s="3"/>
      <c r="AM1" s="3"/>
    </row>
    <row r="2" spans="1:39" x14ac:dyDescent="0.25">
      <c r="A2" t="s">
        <v>26</v>
      </c>
      <c r="B2" s="4" t="s">
        <v>60</v>
      </c>
      <c r="C2" s="4" t="s">
        <v>22</v>
      </c>
      <c r="D2" t="s">
        <v>59</v>
      </c>
      <c r="E2" t="s">
        <v>6</v>
      </c>
      <c r="F2" t="s">
        <v>6</v>
      </c>
      <c r="G2" t="s">
        <v>6</v>
      </c>
      <c r="H2" t="s">
        <v>12</v>
      </c>
      <c r="I2" t="s">
        <v>7</v>
      </c>
      <c r="J2" t="s">
        <v>6</v>
      </c>
      <c r="K2" t="s">
        <v>7</v>
      </c>
      <c r="L2" t="s">
        <v>7</v>
      </c>
      <c r="M2" t="s">
        <v>7</v>
      </c>
      <c r="N2" t="s">
        <v>8</v>
      </c>
      <c r="O2" t="s">
        <v>6</v>
      </c>
      <c r="P2" t="s">
        <v>6</v>
      </c>
      <c r="Q2" t="s">
        <v>6</v>
      </c>
      <c r="R2" t="s">
        <v>7</v>
      </c>
      <c r="S2" t="s">
        <v>7</v>
      </c>
      <c r="T2" t="s">
        <v>7</v>
      </c>
      <c r="U2" t="s">
        <v>8</v>
      </c>
      <c r="V2" t="s">
        <v>7</v>
      </c>
      <c r="W2" t="s">
        <v>7</v>
      </c>
      <c r="X2" t="s">
        <v>11</v>
      </c>
      <c r="Y2" t="s">
        <v>11</v>
      </c>
      <c r="Z2" t="s">
        <v>6</v>
      </c>
      <c r="AA2" t="s">
        <v>12</v>
      </c>
      <c r="AB2" t="s">
        <v>12</v>
      </c>
      <c r="AC2" t="s">
        <v>7</v>
      </c>
      <c r="AD2" t="s">
        <v>7</v>
      </c>
      <c r="AE2" t="s">
        <v>7</v>
      </c>
      <c r="AF2" t="s">
        <v>7</v>
      </c>
    </row>
    <row r="3" spans="1:39" x14ac:dyDescent="0.25">
      <c r="A3" t="s">
        <v>26</v>
      </c>
      <c r="B3" s="4" t="s">
        <v>60</v>
      </c>
      <c r="C3" s="4" t="s">
        <v>22</v>
      </c>
      <c r="D3" t="s">
        <v>59</v>
      </c>
      <c r="E3" t="s">
        <v>7</v>
      </c>
      <c r="F3" t="s">
        <v>6</v>
      </c>
      <c r="G3" t="s">
        <v>6</v>
      </c>
      <c r="H3" t="s">
        <v>8</v>
      </c>
      <c r="I3" t="s">
        <v>6</v>
      </c>
      <c r="J3" t="s">
        <v>8</v>
      </c>
      <c r="K3" t="s">
        <v>8</v>
      </c>
      <c r="L3" t="s">
        <v>11</v>
      </c>
      <c r="M3" t="s">
        <v>8</v>
      </c>
      <c r="N3" t="s">
        <v>6</v>
      </c>
      <c r="O3" t="s">
        <v>6</v>
      </c>
      <c r="P3" t="s">
        <v>6</v>
      </c>
      <c r="Q3" t="s">
        <v>6</v>
      </c>
      <c r="R3" t="s">
        <v>8</v>
      </c>
      <c r="S3" t="s">
        <v>11</v>
      </c>
      <c r="T3" t="s">
        <v>8</v>
      </c>
      <c r="U3" t="s">
        <v>9</v>
      </c>
      <c r="V3" t="s">
        <v>11</v>
      </c>
      <c r="W3" t="s">
        <v>7</v>
      </c>
      <c r="X3" t="s">
        <v>12</v>
      </c>
      <c r="Y3" t="s">
        <v>12</v>
      </c>
      <c r="Z3" t="s">
        <v>6</v>
      </c>
      <c r="AA3" t="s">
        <v>12</v>
      </c>
      <c r="AB3" t="s">
        <v>12</v>
      </c>
      <c r="AC3" t="s">
        <v>11</v>
      </c>
      <c r="AD3" t="s">
        <v>12</v>
      </c>
      <c r="AE3" t="s">
        <v>7</v>
      </c>
      <c r="AF3" t="s">
        <v>7</v>
      </c>
    </row>
    <row r="4" spans="1:39" x14ac:dyDescent="0.25">
      <c r="A4" t="s">
        <v>26</v>
      </c>
      <c r="B4" s="4" t="s">
        <v>60</v>
      </c>
      <c r="C4" s="4" t="s">
        <v>22</v>
      </c>
      <c r="D4" t="s">
        <v>59</v>
      </c>
      <c r="E4" t="s">
        <v>7</v>
      </c>
      <c r="F4" t="s">
        <v>7</v>
      </c>
      <c r="G4" t="s">
        <v>6</v>
      </c>
      <c r="H4" t="s">
        <v>7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8</v>
      </c>
      <c r="O4" t="s">
        <v>8</v>
      </c>
      <c r="P4" t="s">
        <v>9</v>
      </c>
      <c r="Q4" t="s">
        <v>7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12</v>
      </c>
      <c r="X4" t="s">
        <v>12</v>
      </c>
      <c r="Y4" t="s">
        <v>12</v>
      </c>
      <c r="Z4" t="s">
        <v>8</v>
      </c>
      <c r="AA4" t="s">
        <v>12</v>
      </c>
      <c r="AB4" t="s">
        <v>12</v>
      </c>
      <c r="AC4" t="s">
        <v>8</v>
      </c>
      <c r="AD4" t="s">
        <v>11</v>
      </c>
      <c r="AE4" t="s">
        <v>8</v>
      </c>
      <c r="AF4" t="s">
        <v>8</v>
      </c>
    </row>
    <row r="5" spans="1:39" x14ac:dyDescent="0.25">
      <c r="A5" t="s">
        <v>26</v>
      </c>
      <c r="B5" s="4" t="s">
        <v>60</v>
      </c>
      <c r="C5" s="4" t="s">
        <v>22</v>
      </c>
      <c r="D5" t="s">
        <v>59</v>
      </c>
      <c r="E5" t="s">
        <v>7</v>
      </c>
      <c r="F5" t="s">
        <v>6</v>
      </c>
      <c r="G5" t="s">
        <v>6</v>
      </c>
      <c r="H5" t="s">
        <v>6</v>
      </c>
      <c r="I5" t="s">
        <v>6</v>
      </c>
      <c r="J5" t="s">
        <v>7</v>
      </c>
      <c r="K5" t="s">
        <v>7</v>
      </c>
      <c r="L5" t="s">
        <v>7</v>
      </c>
      <c r="M5" t="s">
        <v>8</v>
      </c>
      <c r="N5" t="s">
        <v>7</v>
      </c>
      <c r="O5" t="s">
        <v>6</v>
      </c>
      <c r="P5" t="s">
        <v>6</v>
      </c>
      <c r="Q5" t="s">
        <v>6</v>
      </c>
      <c r="R5" t="s">
        <v>8</v>
      </c>
      <c r="S5" t="s">
        <v>7</v>
      </c>
      <c r="T5" t="s">
        <v>8</v>
      </c>
      <c r="U5" t="s">
        <v>9</v>
      </c>
      <c r="V5" t="s">
        <v>7</v>
      </c>
      <c r="W5" t="s">
        <v>7</v>
      </c>
      <c r="X5" t="s">
        <v>12</v>
      </c>
      <c r="Y5" t="s">
        <v>12</v>
      </c>
      <c r="Z5" t="s">
        <v>7</v>
      </c>
      <c r="AA5" t="s">
        <v>8</v>
      </c>
      <c r="AB5" t="s">
        <v>12</v>
      </c>
      <c r="AC5" t="s">
        <v>7</v>
      </c>
      <c r="AD5" t="s">
        <v>7</v>
      </c>
      <c r="AE5" t="s">
        <v>6</v>
      </c>
      <c r="AF5" t="s">
        <v>6</v>
      </c>
    </row>
    <row r="6" spans="1:39" x14ac:dyDescent="0.25">
      <c r="A6" t="s">
        <v>26</v>
      </c>
      <c r="B6" s="4" t="s">
        <v>60</v>
      </c>
      <c r="C6" s="4" t="s">
        <v>22</v>
      </c>
      <c r="D6" t="s">
        <v>59</v>
      </c>
      <c r="E6" t="s">
        <v>6</v>
      </c>
      <c r="F6" t="s">
        <v>6</v>
      </c>
      <c r="G6" t="s">
        <v>6</v>
      </c>
      <c r="H6" t="s">
        <v>7</v>
      </c>
      <c r="I6" t="s">
        <v>6</v>
      </c>
      <c r="J6" t="s">
        <v>7</v>
      </c>
      <c r="K6" t="s">
        <v>6</v>
      </c>
      <c r="L6" t="s">
        <v>6</v>
      </c>
      <c r="M6" t="s">
        <v>8</v>
      </c>
      <c r="N6" t="s">
        <v>6</v>
      </c>
      <c r="O6" t="s">
        <v>6</v>
      </c>
      <c r="P6" t="s">
        <v>6</v>
      </c>
      <c r="Q6" t="s">
        <v>6</v>
      </c>
      <c r="R6" t="s">
        <v>6</v>
      </c>
      <c r="S6" t="s">
        <v>6</v>
      </c>
      <c r="T6" t="s">
        <v>6</v>
      </c>
      <c r="U6" t="s">
        <v>7</v>
      </c>
      <c r="V6" t="s">
        <v>6</v>
      </c>
      <c r="W6" t="s">
        <v>7</v>
      </c>
      <c r="X6" t="s">
        <v>8</v>
      </c>
      <c r="Y6" t="s">
        <v>11</v>
      </c>
      <c r="Z6" t="s">
        <v>6</v>
      </c>
      <c r="AA6" t="s">
        <v>7</v>
      </c>
      <c r="AB6" t="s">
        <v>11</v>
      </c>
      <c r="AC6" t="s">
        <v>7</v>
      </c>
      <c r="AD6" t="s">
        <v>7</v>
      </c>
      <c r="AE6" t="s">
        <v>6</v>
      </c>
      <c r="AF6" t="s">
        <v>6</v>
      </c>
    </row>
    <row r="7" spans="1:39" x14ac:dyDescent="0.25">
      <c r="A7" t="s">
        <v>26</v>
      </c>
      <c r="B7" s="4" t="s">
        <v>60</v>
      </c>
      <c r="C7" s="4" t="s">
        <v>23</v>
      </c>
      <c r="D7" t="s">
        <v>59</v>
      </c>
      <c r="E7" t="s">
        <v>8</v>
      </c>
      <c r="F7" t="s">
        <v>7</v>
      </c>
      <c r="G7" t="s">
        <v>6</v>
      </c>
      <c r="H7" t="s">
        <v>6</v>
      </c>
      <c r="I7" t="s">
        <v>6</v>
      </c>
      <c r="J7" t="s">
        <v>7</v>
      </c>
      <c r="K7" t="s">
        <v>7</v>
      </c>
      <c r="L7" t="s">
        <v>6</v>
      </c>
      <c r="M7" t="s">
        <v>6</v>
      </c>
      <c r="N7" t="s">
        <v>6</v>
      </c>
      <c r="O7" t="s">
        <v>6</v>
      </c>
      <c r="P7" t="s">
        <v>7</v>
      </c>
      <c r="Q7" t="s">
        <v>7</v>
      </c>
      <c r="R7" t="s">
        <v>9</v>
      </c>
      <c r="S7" t="s">
        <v>7</v>
      </c>
      <c r="T7" t="s">
        <v>8</v>
      </c>
      <c r="U7" t="s">
        <v>8</v>
      </c>
      <c r="V7" t="s">
        <v>7</v>
      </c>
      <c r="W7" t="s">
        <v>7</v>
      </c>
      <c r="X7" t="s">
        <v>7</v>
      </c>
      <c r="Y7" t="s">
        <v>7</v>
      </c>
      <c r="Z7" t="s">
        <v>6</v>
      </c>
      <c r="AA7" t="s">
        <v>7</v>
      </c>
      <c r="AB7" t="s">
        <v>7</v>
      </c>
      <c r="AC7" t="s">
        <v>7</v>
      </c>
      <c r="AD7" t="s">
        <v>7</v>
      </c>
      <c r="AE7" t="s">
        <v>7</v>
      </c>
      <c r="AF7" t="s">
        <v>7</v>
      </c>
    </row>
    <row r="8" spans="1:39" x14ac:dyDescent="0.25">
      <c r="A8" t="s">
        <v>26</v>
      </c>
      <c r="B8" s="4" t="s">
        <v>60</v>
      </c>
      <c r="C8" s="4" t="s">
        <v>22</v>
      </c>
      <c r="D8" t="s">
        <v>59</v>
      </c>
      <c r="E8" t="s">
        <v>6</v>
      </c>
      <c r="F8" t="s">
        <v>7</v>
      </c>
      <c r="G8" t="s">
        <v>7</v>
      </c>
      <c r="H8" t="s">
        <v>6</v>
      </c>
      <c r="I8" t="s">
        <v>7</v>
      </c>
      <c r="J8" t="s">
        <v>6</v>
      </c>
      <c r="K8" t="s">
        <v>11</v>
      </c>
      <c r="L8" t="s">
        <v>6</v>
      </c>
      <c r="M8" t="s">
        <v>7</v>
      </c>
      <c r="N8" t="s">
        <v>6</v>
      </c>
      <c r="O8" t="s">
        <v>6</v>
      </c>
      <c r="P8" t="s">
        <v>6</v>
      </c>
      <c r="Q8" t="s">
        <v>6</v>
      </c>
      <c r="R8" t="s">
        <v>6</v>
      </c>
      <c r="S8" t="s">
        <v>6</v>
      </c>
      <c r="T8" t="s">
        <v>6</v>
      </c>
      <c r="U8" t="s">
        <v>7</v>
      </c>
      <c r="V8" t="s">
        <v>6</v>
      </c>
      <c r="W8" t="s">
        <v>11</v>
      </c>
      <c r="X8" t="s">
        <v>11</v>
      </c>
      <c r="Y8" t="s">
        <v>11</v>
      </c>
      <c r="Z8" t="s">
        <v>6</v>
      </c>
      <c r="AA8" t="s">
        <v>11</v>
      </c>
      <c r="AB8" t="s">
        <v>11</v>
      </c>
      <c r="AC8" t="s">
        <v>11</v>
      </c>
      <c r="AD8" t="s">
        <v>6</v>
      </c>
      <c r="AE8" t="s">
        <v>6</v>
      </c>
      <c r="AF8" t="s">
        <v>6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17</v>
      </c>
    </row>
    <row r="2" spans="1:7" x14ac:dyDescent="0.25">
      <c r="A2" s="10" t="str">
        <f>TEXT(A1,"00")</f>
        <v>17</v>
      </c>
      <c r="B2" s="10" t="str">
        <f>VLOOKUP(A$2, IC[], 3, FALSE)</f>
        <v>Com relação à oferta de bolsas para os programas de ICT, como você avalia: [O valor]</v>
      </c>
    </row>
    <row r="3" spans="1:7" x14ac:dyDescent="0.25">
      <c r="A3" s="7" t="s">
        <v>131</v>
      </c>
      <c r="B3" s="10" t="str">
        <f>VLOOKUP(A$2, IC[], 4, FALSE)</f>
        <v>Alunos IC/IT: Questão 17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COUNTIFS(Resp[Programa],"IC",Resp[17],B7)</f>
        <v>0</v>
      </c>
      <c r="D7" s="10">
        <f>COUNTIFS(Resp[Programa],"IT",Resp[17],B7)</f>
        <v>0</v>
      </c>
      <c r="E7" s="10">
        <f>COUNTIF(Resp[17],B7)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COUNTIFS(Resp[Programa],"IC",Resp[17],B8)</f>
        <v>2</v>
      </c>
      <c r="D8" s="10">
        <f>COUNTIFS(Resp[Programa],"IT",Resp[17],B8)</f>
        <v>0</v>
      </c>
      <c r="E8" s="10">
        <f>COUNTIF(Resp[17],B8)</f>
        <v>2</v>
      </c>
      <c r="F8" s="10">
        <f t="shared" si="0"/>
        <v>28.57</v>
      </c>
      <c r="G8" s="23">
        <f t="shared" ref="G8:G13" si="1">ROUND($E8/SUM($E$7:$E$13)*100,3)</f>
        <v>28.571000000000002</v>
      </c>
    </row>
    <row r="9" spans="1:7" x14ac:dyDescent="0.25">
      <c r="B9" s="7" t="s">
        <v>8</v>
      </c>
      <c r="C9" s="10">
        <f>COUNTIFS(Resp[Programa],"IC",Resp[17],B9)</f>
        <v>2</v>
      </c>
      <c r="D9" s="10">
        <f>COUNTIFS(Resp[Programa],"IT",Resp[17],B9)</f>
        <v>1</v>
      </c>
      <c r="E9" s="10">
        <f>COUNTIF(Resp[17],B9)</f>
        <v>3</v>
      </c>
      <c r="F9" s="10">
        <f t="shared" si="0"/>
        <v>42.86</v>
      </c>
      <c r="G9" s="23">
        <f t="shared" si="1"/>
        <v>42.856999999999999</v>
      </c>
    </row>
    <row r="10" spans="1:7" x14ac:dyDescent="0.25">
      <c r="B10" s="7" t="s">
        <v>9</v>
      </c>
      <c r="C10" s="10">
        <f>COUNTIFS(Resp[Programa],"IC",Resp[17],B10)</f>
        <v>2</v>
      </c>
      <c r="D10" s="10">
        <f>COUNTIFS(Resp[Programa],"IT",Resp[17],B10)</f>
        <v>0</v>
      </c>
      <c r="E10" s="10">
        <f>COUNTIF(Resp[17],B10)</f>
        <v>2</v>
      </c>
      <c r="F10" s="10">
        <f t="shared" si="0"/>
        <v>28.57</v>
      </c>
      <c r="G10" s="23">
        <f t="shared" si="1"/>
        <v>28.571000000000002</v>
      </c>
    </row>
    <row r="11" spans="1:7" x14ac:dyDescent="0.25">
      <c r="B11" s="7" t="s">
        <v>10</v>
      </c>
      <c r="C11" s="10">
        <f>COUNTIFS(Resp[Programa],"IC",Resp[17],B11)</f>
        <v>0</v>
      </c>
      <c r="D11" s="10">
        <f>COUNTIFS(Resp[Programa],"IT",Resp[17],B11)</f>
        <v>0</v>
      </c>
      <c r="E11" s="10">
        <f>COUNTIF(Resp[17],B11)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COUNTIFS(Resp[Programa],"IC",Resp[17],B12)</f>
        <v>0</v>
      </c>
      <c r="D12" s="10">
        <f>COUNTIFS(Resp[Programa],"IT",Resp[17],B12)</f>
        <v>0</v>
      </c>
      <c r="E12" s="10">
        <f>COUNTIF(Resp[17],B12)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COUNTIFS(Resp[Programa],"IC",Resp[17],B13)</f>
        <v>0</v>
      </c>
      <c r="D13" s="15">
        <f>COUNTIFS(Resp[Programa],"IT",Resp[17],B13)</f>
        <v>0</v>
      </c>
      <c r="E13" s="15">
        <f>COUNTIF(Resp[17],B13)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</v>
      </c>
      <c r="G14" s="14">
        <f>SUM(G7:G13)</f>
        <v>99.998999999999995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2</v>
      </c>
      <c r="E17" s="23">
        <f>ROUND(D17/SUM(D$17:D$20)*100,3)</f>
        <v>33.332999999999998</v>
      </c>
    </row>
    <row r="18" spans="2:5" x14ac:dyDescent="0.25">
      <c r="B18" s="19" t="s">
        <v>18</v>
      </c>
      <c r="C18" s="7" t="s">
        <v>8</v>
      </c>
      <c r="D18" s="7">
        <f>C9</f>
        <v>2</v>
      </c>
      <c r="E18" s="23">
        <f>ROUND(D18/SUM(D$17:D$20)*100,3)</f>
        <v>33.332999999999998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2</v>
      </c>
      <c r="E20" s="28">
        <f>ROUND(D20/SUM(D$17:D$20)*100,3)</f>
        <v>33.332999999999998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1</v>
      </c>
      <c r="E24" s="23">
        <f>ROUND(D24/SUM(D$23:D$26)*100,3)</f>
        <v>100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8:E29"/>
    </sheetView>
  </sheetViews>
  <sheetFormatPr defaultRowHeight="15" x14ac:dyDescent="0.25"/>
  <cols>
    <col min="1" max="1" width="9.140625" style="7"/>
    <col min="2" max="2" width="22.7109375" style="7" customWidth="1"/>
    <col min="3" max="3" width="32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18</v>
      </c>
    </row>
    <row r="2" spans="1:7" x14ac:dyDescent="0.25">
      <c r="A2" s="10" t="str">
        <f>TEXT(A1,"00")</f>
        <v>18</v>
      </c>
      <c r="B2" s="10" t="str">
        <f>VLOOKUP(A$2, IC[], 3, FALSE)</f>
        <v>Com relação à oferta de bolsas para os programas de ICT, como você avalia: [A aplicação dos critérios de seleção para a distribuição de bolsas]</v>
      </c>
    </row>
    <row r="3" spans="1:7" x14ac:dyDescent="0.25">
      <c r="A3" s="7" t="s">
        <v>131</v>
      </c>
      <c r="B3" s="10" t="str">
        <f>VLOOKUP(A$2, IC[], 4, FALSE)</f>
        <v>Alunos IC/IT: Questão 18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COUNTIFS(Resp[Programa],"IC",Resp[18],B7)</f>
        <v>2</v>
      </c>
      <c r="D7" s="10">
        <f>COUNTIFS(Resp[Programa],"IT",Resp[18],B7)</f>
        <v>0</v>
      </c>
      <c r="E7" s="10">
        <f>COUNTIF(Resp[18],B7)</f>
        <v>2</v>
      </c>
      <c r="F7" s="10">
        <f t="shared" ref="F7:F13" si="0">ROUND($E7/E$14*100,2)</f>
        <v>28.57</v>
      </c>
      <c r="G7" s="23">
        <f>ROUND($E7/SUM($E$7:$E$13)*100,3)</f>
        <v>28.571000000000002</v>
      </c>
    </row>
    <row r="8" spans="1:7" x14ac:dyDescent="0.25">
      <c r="B8" s="7" t="s">
        <v>7</v>
      </c>
      <c r="C8" s="10">
        <f>COUNTIFS(Resp[Programa],"IC",Resp[18],B8)</f>
        <v>2</v>
      </c>
      <c r="D8" s="10">
        <f>COUNTIFS(Resp[Programa],"IT",Resp[18],B8)</f>
        <v>1</v>
      </c>
      <c r="E8" s="10">
        <f>COUNTIF(Resp[18],B8)</f>
        <v>3</v>
      </c>
      <c r="F8" s="10">
        <f t="shared" si="0"/>
        <v>42.86</v>
      </c>
      <c r="G8" s="23">
        <f t="shared" ref="G8:G13" si="1">ROUND($E8/SUM($E$7:$E$13)*100,3)</f>
        <v>42.856999999999999</v>
      </c>
    </row>
    <row r="9" spans="1:7" x14ac:dyDescent="0.25">
      <c r="B9" s="7" t="s">
        <v>8</v>
      </c>
      <c r="C9" s="10">
        <f>COUNTIFS(Resp[Programa],"IC",Resp[18],B9)</f>
        <v>1</v>
      </c>
      <c r="D9" s="10">
        <f>COUNTIFS(Resp[Programa],"IT",Resp[18],B9)</f>
        <v>0</v>
      </c>
      <c r="E9" s="10">
        <f>COUNTIF(Resp[18],B9)</f>
        <v>1</v>
      </c>
      <c r="F9" s="10">
        <f t="shared" si="0"/>
        <v>14.29</v>
      </c>
      <c r="G9" s="23">
        <f t="shared" si="1"/>
        <v>14.286</v>
      </c>
    </row>
    <row r="10" spans="1:7" x14ac:dyDescent="0.25">
      <c r="B10" s="7" t="s">
        <v>9</v>
      </c>
      <c r="C10" s="10">
        <f>COUNTIFS(Resp[Programa],"IC",Resp[18],B10)</f>
        <v>0</v>
      </c>
      <c r="D10" s="10">
        <f>COUNTIFS(Resp[Programa],"IT",Resp[18],B10)</f>
        <v>0</v>
      </c>
      <c r="E10" s="10">
        <f>COUNTIF(Resp[18],B10)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COUNTIFS(Resp[Programa],"IC",Resp[18],B11)</f>
        <v>0</v>
      </c>
      <c r="D11" s="10">
        <f>COUNTIFS(Resp[Programa],"IT",Resp[18],B11)</f>
        <v>0</v>
      </c>
      <c r="E11" s="10">
        <f>COUNTIF(Resp[18],B11)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COUNTIFS(Resp[Programa],"IC",Resp[18],B12)</f>
        <v>1</v>
      </c>
      <c r="D12" s="10">
        <f>COUNTIFS(Resp[Programa],"IT",Resp[18],B12)</f>
        <v>0</v>
      </c>
      <c r="E12" s="10">
        <f>COUNTIF(Resp[18],B12)</f>
        <v>1</v>
      </c>
      <c r="F12" s="10">
        <f t="shared" si="0"/>
        <v>14.29</v>
      </c>
      <c r="G12" s="23">
        <f t="shared" si="1"/>
        <v>14.286</v>
      </c>
    </row>
    <row r="13" spans="1:7" x14ac:dyDescent="0.25">
      <c r="B13" s="11" t="s">
        <v>12</v>
      </c>
      <c r="C13" s="15">
        <f>COUNTIFS(Resp[Programa],"IC",Resp[18],B13)</f>
        <v>0</v>
      </c>
      <c r="D13" s="15">
        <f>COUNTIFS(Resp[Programa],"IT",Resp[18],B13)</f>
        <v>0</v>
      </c>
      <c r="E13" s="15">
        <f>COUNTIF(Resp[18],B13)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100.00999999999999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4</v>
      </c>
      <c r="E17" s="23">
        <f>ROUND(D17/SUM(D$17:D$20)*100,3)</f>
        <v>66.667000000000002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16.667000000000002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16.667000000000002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H31"/>
    </sheetView>
  </sheetViews>
  <sheetFormatPr defaultRowHeight="15" x14ac:dyDescent="0.25"/>
  <cols>
    <col min="1" max="1" width="9.140625" style="7"/>
    <col min="2" max="2" width="22.7109375" style="7" customWidth="1"/>
    <col min="3" max="3" width="36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19</v>
      </c>
    </row>
    <row r="2" spans="1:7" x14ac:dyDescent="0.25">
      <c r="A2" s="10" t="str">
        <f>TEXT(A1,"00")</f>
        <v>19</v>
      </c>
      <c r="B2" s="10" t="str">
        <f>VLOOKUP(A$2, IC[], 3, FALSE)</f>
        <v>Avalie a sua interação com outros docentes, além do seu orientador (apoio a atividades práticas, discussão dos resultados, etc.): [Na UFPR]</v>
      </c>
    </row>
    <row r="3" spans="1:7" x14ac:dyDescent="0.25">
      <c r="A3" s="7" t="s">
        <v>131</v>
      </c>
      <c r="B3" s="10" t="str">
        <f>VLOOKUP(A$2, IC[], 4, FALSE)</f>
        <v>Alunos IC/IT: Questão 19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COUNTIFS(Resp[Programa],"IC",Resp[19],B7)</f>
        <v>0</v>
      </c>
      <c r="D7" s="10">
        <f>COUNTIFS(Resp[Programa],"IT",Resp[19],B7)</f>
        <v>0</v>
      </c>
      <c r="E7" s="10">
        <f>COUNTIF(Resp[19],B7)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COUNTIFS(Resp[Programa],"IC",Resp[19],B8)</f>
        <v>4</v>
      </c>
      <c r="D8" s="10">
        <f>COUNTIFS(Resp[Programa],"IT",Resp[19],B8)</f>
        <v>1</v>
      </c>
      <c r="E8" s="10">
        <f>COUNTIF(Resp[19],B8)</f>
        <v>5</v>
      </c>
      <c r="F8" s="10">
        <f t="shared" si="0"/>
        <v>71.430000000000007</v>
      </c>
      <c r="G8" s="23">
        <f t="shared" ref="G8:G13" si="1">ROUND($E8/SUM($E$7:$E$13)*100,3)</f>
        <v>71.429000000000002</v>
      </c>
    </row>
    <row r="9" spans="1:7" x14ac:dyDescent="0.25">
      <c r="B9" s="7" t="s">
        <v>8</v>
      </c>
      <c r="C9" s="10">
        <f>COUNTIFS(Resp[Programa],"IC",Resp[19],B9)</f>
        <v>0</v>
      </c>
      <c r="D9" s="10">
        <f>COUNTIFS(Resp[Programa],"IT",Resp[19],B9)</f>
        <v>0</v>
      </c>
      <c r="E9" s="10">
        <f>COUNTIF(Resp[19],B9)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COUNTIFS(Resp[Programa],"IC",Resp[19],B10)</f>
        <v>0</v>
      </c>
      <c r="D10" s="10">
        <f>COUNTIFS(Resp[Programa],"IT",Resp[19],B10)</f>
        <v>0</v>
      </c>
      <c r="E10" s="10">
        <f>COUNTIF(Resp[19],B10)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COUNTIFS(Resp[Programa],"IC",Resp[19],B11)</f>
        <v>0</v>
      </c>
      <c r="D11" s="10">
        <f>COUNTIFS(Resp[Programa],"IT",Resp[19],B11)</f>
        <v>0</v>
      </c>
      <c r="E11" s="10">
        <f>COUNTIF(Resp[19],B11)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COUNTIFS(Resp[Programa],"IC",Resp[19],B12)</f>
        <v>1</v>
      </c>
      <c r="D12" s="10">
        <f>COUNTIFS(Resp[Programa],"IT",Resp[19],B12)</f>
        <v>0</v>
      </c>
      <c r="E12" s="10">
        <f>COUNTIF(Resp[19],B12)</f>
        <v>1</v>
      </c>
      <c r="F12" s="10">
        <f t="shared" si="0"/>
        <v>14.29</v>
      </c>
      <c r="G12" s="23">
        <f t="shared" si="1"/>
        <v>14.286</v>
      </c>
    </row>
    <row r="13" spans="1:7" x14ac:dyDescent="0.25">
      <c r="B13" s="11" t="s">
        <v>12</v>
      </c>
      <c r="C13" s="15">
        <f>COUNTIFS(Resp[Programa],"IC",Resp[19],B13)</f>
        <v>1</v>
      </c>
      <c r="D13" s="15">
        <f>COUNTIFS(Resp[Programa],"IT",Resp[19],B13)</f>
        <v>0</v>
      </c>
      <c r="E13" s="15">
        <f>COUNTIF(Resp[19],B13)</f>
        <v>1</v>
      </c>
      <c r="F13" s="15">
        <f t="shared" si="0"/>
        <v>14.29</v>
      </c>
      <c r="G13" s="23">
        <f t="shared" si="1"/>
        <v>14.286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100.00999999999999</v>
      </c>
      <c r="G14" s="14">
        <f>SUM(G7:G13)</f>
        <v>100.001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4</v>
      </c>
      <c r="E17" s="23">
        <f>ROUND(D17/SUM(D$17:D$20)*100,3)</f>
        <v>66.667000000000002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2</v>
      </c>
      <c r="E19" s="23">
        <f>ROUND(D19/SUM(D$17:D$20)*100,3)</f>
        <v>33.332999999999998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N32" sqref="N32"/>
    </sheetView>
  </sheetViews>
  <sheetFormatPr defaultRowHeight="15" x14ac:dyDescent="0.25"/>
  <cols>
    <col min="1" max="1" width="9.140625" style="7"/>
    <col min="2" max="2" width="22.7109375" style="7" customWidth="1"/>
    <col min="3" max="3" width="30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20</v>
      </c>
    </row>
    <row r="2" spans="1:7" x14ac:dyDescent="0.25">
      <c r="A2" s="10" t="str">
        <f>TEXT(A1,"00")</f>
        <v>20</v>
      </c>
      <c r="B2" s="10" t="str">
        <f>VLOOKUP(A$2, IC[], 3, FALSE)</f>
        <v>Avalie a sua interação com outros docentes, além do seu orientador (apoio a atividades práticas, discussão dos resultados, etc.): [No país]</v>
      </c>
    </row>
    <row r="3" spans="1:7" x14ac:dyDescent="0.25">
      <c r="A3" s="7" t="s">
        <v>131</v>
      </c>
      <c r="B3" s="10" t="str">
        <f>VLOOKUP(A$2, IC[], 4, FALSE)</f>
        <v>Alunos IC/IT: Questão 20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COUNTIFS(Resp[Programa],"IC",Resp[20],B7)</f>
        <v>0</v>
      </c>
      <c r="D7" s="10">
        <f>COUNTIFS(Resp[Programa],"IT",Resp[20],B7)</f>
        <v>0</v>
      </c>
      <c r="E7" s="10">
        <f>COUNTIF(Resp[20],B7)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COUNTIFS(Resp[Programa],"IC",Resp[20],B8)</f>
        <v>0</v>
      </c>
      <c r="D8" s="10">
        <f>COUNTIFS(Resp[Programa],"IT",Resp[20],B8)</f>
        <v>1</v>
      </c>
      <c r="E8" s="10">
        <f>COUNTIF(Resp[20],B8)</f>
        <v>1</v>
      </c>
      <c r="F8" s="10">
        <f t="shared" si="0"/>
        <v>14.29</v>
      </c>
      <c r="G8" s="23">
        <f t="shared" ref="G8:G13" si="1">ROUND($E8/SUM($E$7:$E$13)*100,3)</f>
        <v>14.286</v>
      </c>
    </row>
    <row r="9" spans="1:7" x14ac:dyDescent="0.25">
      <c r="B9" s="7" t="s">
        <v>8</v>
      </c>
      <c r="C9" s="10">
        <f>COUNTIFS(Resp[Programa],"IC",Resp[20],B9)</f>
        <v>1</v>
      </c>
      <c r="D9" s="10">
        <f>COUNTIFS(Resp[Programa],"IT",Resp[20],B9)</f>
        <v>0</v>
      </c>
      <c r="E9" s="10">
        <f>COUNTIF(Resp[20],B9)</f>
        <v>1</v>
      </c>
      <c r="F9" s="10">
        <f t="shared" si="0"/>
        <v>14.29</v>
      </c>
      <c r="G9" s="23">
        <f t="shared" si="1"/>
        <v>14.286</v>
      </c>
    </row>
    <row r="10" spans="1:7" x14ac:dyDescent="0.25">
      <c r="B10" s="7" t="s">
        <v>9</v>
      </c>
      <c r="C10" s="10">
        <f>COUNTIFS(Resp[Programa],"IC",Resp[20],B10)</f>
        <v>0</v>
      </c>
      <c r="D10" s="10">
        <f>COUNTIFS(Resp[Programa],"IT",Resp[20],B10)</f>
        <v>0</v>
      </c>
      <c r="E10" s="10">
        <f>COUNTIF(Resp[20],B10)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COUNTIFS(Resp[Programa],"IC",Resp[20],B11)</f>
        <v>0</v>
      </c>
      <c r="D11" s="10">
        <f>COUNTIFS(Resp[Programa],"IT",Resp[20],B11)</f>
        <v>0</v>
      </c>
      <c r="E11" s="10">
        <f>COUNTIF(Resp[20],B11)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COUNTIFS(Resp[Programa],"IC",Resp[20],B12)</f>
        <v>2</v>
      </c>
      <c r="D12" s="10">
        <f>COUNTIFS(Resp[Programa],"IT",Resp[20],B12)</f>
        <v>0</v>
      </c>
      <c r="E12" s="10">
        <f>COUNTIF(Resp[20],B12)</f>
        <v>2</v>
      </c>
      <c r="F12" s="10">
        <f t="shared" si="0"/>
        <v>28.57</v>
      </c>
      <c r="G12" s="23">
        <f t="shared" si="1"/>
        <v>28.571000000000002</v>
      </c>
    </row>
    <row r="13" spans="1:7" x14ac:dyDescent="0.25">
      <c r="B13" s="11" t="s">
        <v>12</v>
      </c>
      <c r="C13" s="10">
        <f>COUNTIFS(Resp[Programa],"IC",Resp[20],B13)</f>
        <v>3</v>
      </c>
      <c r="D13" s="10">
        <f>COUNTIFS(Resp[Programa],"IT",Resp[20],B13)</f>
        <v>0</v>
      </c>
      <c r="E13" s="10">
        <f>COUNTIF(Resp[20],B13)</f>
        <v>3</v>
      </c>
      <c r="F13" s="15">
        <f t="shared" si="0"/>
        <v>42.86</v>
      </c>
      <c r="G13" s="23">
        <f t="shared" si="1"/>
        <v>42.856999999999999</v>
      </c>
    </row>
    <row r="14" spans="1:7" x14ac:dyDescent="0.25">
      <c r="B14" s="7" t="s">
        <v>137</v>
      </c>
      <c r="C14" s="12">
        <f>SUM(C6:C13)</f>
        <v>6</v>
      </c>
      <c r="D14" s="12">
        <f>SUM(D6:D13)</f>
        <v>1</v>
      </c>
      <c r="E14" s="12">
        <f>SUM(C14:D14)</f>
        <v>7</v>
      </c>
      <c r="F14" s="13">
        <f>SUM(F6:F13)</f>
        <v>100.00999999999999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16.667000000000002</v>
      </c>
    </row>
    <row r="19" spans="2:5" x14ac:dyDescent="0.25">
      <c r="B19" s="20" t="s">
        <v>142</v>
      </c>
      <c r="C19" s="7" t="s">
        <v>143</v>
      </c>
      <c r="D19" s="7">
        <f>SUM(C12,C13)</f>
        <v>5</v>
      </c>
      <c r="E19" s="23">
        <f>ROUND(D19/SUM(D$17:D$20)*100,3)</f>
        <v>83.332999999999998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I29" sqref="I29"/>
    </sheetView>
  </sheetViews>
  <sheetFormatPr defaultRowHeight="15" x14ac:dyDescent="0.25"/>
  <cols>
    <col min="1" max="1" width="9.140625" style="7"/>
    <col min="2" max="2" width="22.7109375" style="7" customWidth="1"/>
    <col min="3" max="3" width="30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21</v>
      </c>
    </row>
    <row r="2" spans="1:7" x14ac:dyDescent="0.25">
      <c r="A2" s="10" t="str">
        <f>TEXT(A1,"00")</f>
        <v>21</v>
      </c>
      <c r="B2" s="10" t="str">
        <f>VLOOKUP(A$2, IC[], 3, FALSE)</f>
        <v>Avalie a sua interação com outros docentes, além do seu orientador (apoio a atividades práticas, discussão dos resultados, etc.): [No exterior]</v>
      </c>
    </row>
    <row r="3" spans="1:7" x14ac:dyDescent="0.25">
      <c r="A3" s="7" t="s">
        <v>131</v>
      </c>
      <c r="B3" s="10" t="str">
        <f>VLOOKUP(A$2, IC[], 4, FALSE)</f>
        <v>Alunos IC/IT: Questão 21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COUNTIFS(Resp[Programa],"IC",Resp[21],B7)</f>
        <v>0</v>
      </c>
      <c r="D7" s="10">
        <f>COUNTIFS(Resp[Programa],"IT",Resp[21],B7)</f>
        <v>0</v>
      </c>
      <c r="E7" s="10">
        <f>COUNTIF(Resp[21],B7)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COUNTIFS(Resp[Programa],"IC",Resp[21],B8)</f>
        <v>0</v>
      </c>
      <c r="D8" s="10">
        <f>COUNTIFS(Resp[Programa],"IT",Resp[21],B8)</f>
        <v>1</v>
      </c>
      <c r="E8" s="10">
        <f>COUNTIF(Resp[21],B8)</f>
        <v>1</v>
      </c>
      <c r="F8" s="10">
        <f t="shared" si="0"/>
        <v>14.29</v>
      </c>
      <c r="G8" s="23">
        <f t="shared" ref="G8:G13" si="1">ROUND($E8/SUM($E$7:$E$13)*100,3)</f>
        <v>14.286</v>
      </c>
    </row>
    <row r="9" spans="1:7" x14ac:dyDescent="0.25">
      <c r="B9" s="7" t="s">
        <v>8</v>
      </c>
      <c r="C9" s="10">
        <f>COUNTIFS(Resp[Programa],"IC",Resp[21],B9)</f>
        <v>0</v>
      </c>
      <c r="D9" s="10">
        <f>COUNTIFS(Resp[Programa],"IT",Resp[21],B9)</f>
        <v>0</v>
      </c>
      <c r="E9" s="10">
        <f>COUNTIF(Resp[21],B9)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COUNTIFS(Resp[Programa],"IC",Resp[21],B10)</f>
        <v>0</v>
      </c>
      <c r="D10" s="10">
        <f>COUNTIFS(Resp[Programa],"IT",Resp[21],B10)</f>
        <v>0</v>
      </c>
      <c r="E10" s="10">
        <f>COUNTIF(Resp[21],B10)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COUNTIFS(Resp[Programa],"IC",Resp[21],B11)</f>
        <v>0</v>
      </c>
      <c r="D11" s="10">
        <f>COUNTIFS(Resp[Programa],"IT",Resp[21],B11)</f>
        <v>0</v>
      </c>
      <c r="E11" s="10">
        <f>COUNTIF(Resp[21],B11)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COUNTIFS(Resp[Programa],"IC",Resp[21],B12)</f>
        <v>3</v>
      </c>
      <c r="D12" s="10">
        <f>COUNTIFS(Resp[Programa],"IT",Resp[21],B12)</f>
        <v>0</v>
      </c>
      <c r="E12" s="10">
        <f>COUNTIF(Resp[21],B12)</f>
        <v>3</v>
      </c>
      <c r="F12" s="10">
        <f t="shared" si="0"/>
        <v>42.86</v>
      </c>
      <c r="G12" s="23">
        <f t="shared" si="1"/>
        <v>42.856999999999999</v>
      </c>
    </row>
    <row r="13" spans="1:7" x14ac:dyDescent="0.25">
      <c r="B13" s="11" t="s">
        <v>12</v>
      </c>
      <c r="C13" s="15">
        <f>COUNTIFS(Resp[Programa],"IC",Resp[21],B13)</f>
        <v>3</v>
      </c>
      <c r="D13" s="15">
        <f>COUNTIFS(Resp[Programa],"IT",Resp[21],B13)</f>
        <v>0</v>
      </c>
      <c r="E13" s="15">
        <f>COUNTIF(Resp[21],B13)</f>
        <v>3</v>
      </c>
      <c r="F13" s="15">
        <f t="shared" si="0"/>
        <v>42.86</v>
      </c>
      <c r="G13" s="23">
        <f t="shared" si="1"/>
        <v>42.856999999999999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100.00999999999999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6</v>
      </c>
      <c r="E19" s="23">
        <f>ROUND(D19/SUM(D$17:D$20)*100,3)</f>
        <v>100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L32" sqref="L32:L33"/>
    </sheetView>
  </sheetViews>
  <sheetFormatPr defaultRowHeight="15" x14ac:dyDescent="0.25"/>
  <cols>
    <col min="1" max="1" width="9.140625" style="7"/>
    <col min="2" max="2" width="22.7109375" style="7" customWidth="1"/>
    <col min="3" max="3" width="32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22</v>
      </c>
    </row>
    <row r="2" spans="1:7" x14ac:dyDescent="0.25">
      <c r="A2" s="10" t="str">
        <f>TEXT(A1,"00")</f>
        <v>22</v>
      </c>
      <c r="B2" s="10" t="str">
        <f>VLOOKUP(A$2, IC[], 3, FALSE)</f>
        <v>Avalie a sua interação com outros discentes que desenvolvem pesquisa (apoio a atividades práticas, discussão dos resultados, etc.): [Na UFPR]</v>
      </c>
    </row>
    <row r="3" spans="1:7" x14ac:dyDescent="0.25">
      <c r="A3" s="7" t="s">
        <v>131</v>
      </c>
      <c r="B3" s="10" t="str">
        <f>VLOOKUP(A$2, IC[], 4, FALSE)</f>
        <v>Alunos IC/IT: Questão 22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COUNTIFS(Resp[Programa],"IC",Resp[22],B7)</f>
        <v>4</v>
      </c>
      <c r="D7" s="10">
        <f>COUNTIFS(Resp[Programa],"IT",Resp[22],B7)</f>
        <v>1</v>
      </c>
      <c r="E7" s="10">
        <f>COUNTIF(Resp[22],B7)</f>
        <v>5</v>
      </c>
      <c r="F7" s="10">
        <f t="shared" ref="F7:F13" si="0">ROUND($E7/E$14*100,2)</f>
        <v>71.430000000000007</v>
      </c>
      <c r="G7" s="23">
        <f>ROUND($E7/SUM($E$7:$E$13)*100,3)</f>
        <v>71.429000000000002</v>
      </c>
    </row>
    <row r="8" spans="1:7" x14ac:dyDescent="0.25">
      <c r="B8" s="7" t="s">
        <v>7</v>
      </c>
      <c r="C8" s="10">
        <f>COUNTIFS(Resp[Programa],"IC",Resp[22],B8)</f>
        <v>1</v>
      </c>
      <c r="D8" s="10">
        <f>COUNTIFS(Resp[Programa],"IT",Resp[22],B8)</f>
        <v>0</v>
      </c>
      <c r="E8" s="10">
        <f>COUNTIF(Resp[22],B8)</f>
        <v>1</v>
      </c>
      <c r="F8" s="10">
        <f t="shared" si="0"/>
        <v>14.29</v>
      </c>
      <c r="G8" s="23">
        <f t="shared" ref="G8:G13" si="1">ROUND($E8/SUM($E$7:$E$13)*100,3)</f>
        <v>14.286</v>
      </c>
    </row>
    <row r="9" spans="1:7" x14ac:dyDescent="0.25">
      <c r="B9" s="7" t="s">
        <v>8</v>
      </c>
      <c r="C9" s="10">
        <f>COUNTIFS(Resp[Programa],"IC",Resp[22],B9)</f>
        <v>1</v>
      </c>
      <c r="D9" s="10">
        <f>COUNTIFS(Resp[Programa],"IT",Resp[22],B9)</f>
        <v>0</v>
      </c>
      <c r="E9" s="10">
        <f>COUNTIF(Resp[22],B9)</f>
        <v>1</v>
      </c>
      <c r="F9" s="10">
        <f t="shared" si="0"/>
        <v>14.29</v>
      </c>
      <c r="G9" s="23">
        <f t="shared" si="1"/>
        <v>14.286</v>
      </c>
    </row>
    <row r="10" spans="1:7" x14ac:dyDescent="0.25">
      <c r="B10" s="7" t="s">
        <v>9</v>
      </c>
      <c r="C10" s="10">
        <f>COUNTIFS(Resp[Programa],"IC",Resp[22],B10)</f>
        <v>0</v>
      </c>
      <c r="D10" s="10">
        <f>COUNTIFS(Resp[Programa],"IT",Resp[22],B10)</f>
        <v>0</v>
      </c>
      <c r="E10" s="10">
        <f>COUNTIF(Resp[22],B10)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COUNTIFS(Resp[Programa],"IC",Resp[22],B11)</f>
        <v>0</v>
      </c>
      <c r="D11" s="10">
        <f>COUNTIFS(Resp[Programa],"IT",Resp[22],B11)</f>
        <v>0</v>
      </c>
      <c r="E11" s="10">
        <f>COUNTIF(Resp[22],B11)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COUNTIFS(Resp[Programa],"IC",Resp[22],B12)</f>
        <v>0</v>
      </c>
      <c r="D12" s="10">
        <f>COUNTIFS(Resp[Programa],"IT",Resp[22],B12)</f>
        <v>0</v>
      </c>
      <c r="E12" s="10">
        <f>COUNTIF(Resp[22],B12)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COUNTIFS(Resp[Programa],"IC",Resp[22],B13)</f>
        <v>0</v>
      </c>
      <c r="D13" s="15">
        <f>COUNTIFS(Resp[Programa],"IT",Resp[22],B13)</f>
        <v>0</v>
      </c>
      <c r="E13" s="15">
        <f>COUNTIF(Resp[22],B13)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100.00999999999999</v>
      </c>
      <c r="G14" s="14">
        <f>SUM(G7:G13)</f>
        <v>100.001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5</v>
      </c>
      <c r="E17" s="23">
        <f>ROUND(D17/SUM(D$17:D$20)*100,3)</f>
        <v>83.332999999999998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16.667000000000002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9"/>
    </sheetView>
  </sheetViews>
  <sheetFormatPr defaultRowHeight="15" x14ac:dyDescent="0.25"/>
  <cols>
    <col min="1" max="1" width="9.140625" style="7"/>
    <col min="2" max="2" width="22.7109375" style="7" customWidth="1"/>
    <col min="3" max="3" width="32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23</v>
      </c>
    </row>
    <row r="2" spans="1:7" x14ac:dyDescent="0.25">
      <c r="A2" s="10" t="str">
        <f>TEXT(A1,"00")</f>
        <v>23</v>
      </c>
      <c r="B2" s="10" t="str">
        <f>VLOOKUP(A$2, IC[], 3, FALSE)</f>
        <v>Avalie a sua interação com outros discentes que desenvolvem pesquisa (apoio a atividades práticas, discussão dos resultados, etc.): [No país]</v>
      </c>
    </row>
    <row r="3" spans="1:7" x14ac:dyDescent="0.25">
      <c r="A3" s="7" t="s">
        <v>131</v>
      </c>
      <c r="B3" s="10" t="str">
        <f>VLOOKUP(A$2, IC[], 4, FALSE)</f>
        <v>Alunos IC/IT: Questão 23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COUNTIFS(Resp[Programa],"IC",Resp[23],B7)</f>
        <v>0</v>
      </c>
      <c r="D7" s="10">
        <f>COUNTIFS(Resp[Programa],"IT",Resp[23],B7)</f>
        <v>0</v>
      </c>
      <c r="E7" s="10">
        <f>COUNTIF(Resp[23],B7)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COUNTIFS(Resp[Programa],"IC",Resp[23],B8)</f>
        <v>1</v>
      </c>
      <c r="D8" s="10">
        <f>COUNTIFS(Resp[Programa],"IT",Resp[23],B8)</f>
        <v>1</v>
      </c>
      <c r="E8" s="10">
        <f>COUNTIF(Resp[23],B8)</f>
        <v>2</v>
      </c>
      <c r="F8" s="10">
        <f t="shared" si="0"/>
        <v>28.57</v>
      </c>
      <c r="G8" s="23">
        <f t="shared" ref="G8:G13" si="1">ROUND($E8/SUM($E$7:$E$13)*100,3)</f>
        <v>28.571000000000002</v>
      </c>
    </row>
    <row r="9" spans="1:7" x14ac:dyDescent="0.25">
      <c r="B9" s="7" t="s">
        <v>8</v>
      </c>
      <c r="C9" s="10">
        <f>COUNTIFS(Resp[Programa],"IC",Resp[23],B9)</f>
        <v>1</v>
      </c>
      <c r="D9" s="10">
        <f>COUNTIFS(Resp[Programa],"IT",Resp[23],B9)</f>
        <v>0</v>
      </c>
      <c r="E9" s="10">
        <f>COUNTIF(Resp[23],B9)</f>
        <v>1</v>
      </c>
      <c r="F9" s="10">
        <f t="shared" si="0"/>
        <v>14.29</v>
      </c>
      <c r="G9" s="23">
        <f t="shared" si="1"/>
        <v>14.286</v>
      </c>
    </row>
    <row r="10" spans="1:7" x14ac:dyDescent="0.25">
      <c r="B10" s="7" t="s">
        <v>9</v>
      </c>
      <c r="C10" s="10">
        <f>COUNTIFS(Resp[Programa],"IC",Resp[23],B10)</f>
        <v>0</v>
      </c>
      <c r="D10" s="10">
        <f>COUNTIFS(Resp[Programa],"IT",Resp[23],B10)</f>
        <v>0</v>
      </c>
      <c r="E10" s="10">
        <f>COUNTIF(Resp[23],B10)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COUNTIFS(Resp[Programa],"IC",Resp[23],B11)</f>
        <v>0</v>
      </c>
      <c r="D11" s="10">
        <f>COUNTIFS(Resp[Programa],"IT",Resp[23],B11)</f>
        <v>0</v>
      </c>
      <c r="E11" s="10">
        <f>COUNTIF(Resp[23],B11)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COUNTIFS(Resp[Programa],"IC",Resp[23],B12)</f>
        <v>1</v>
      </c>
      <c r="D12" s="10">
        <f>COUNTIFS(Resp[Programa],"IT",Resp[23],B12)</f>
        <v>0</v>
      </c>
      <c r="E12" s="10">
        <f>COUNTIF(Resp[23],B12)</f>
        <v>1</v>
      </c>
      <c r="F12" s="10">
        <f t="shared" si="0"/>
        <v>14.29</v>
      </c>
      <c r="G12" s="23">
        <f t="shared" si="1"/>
        <v>14.286</v>
      </c>
    </row>
    <row r="13" spans="1:7" x14ac:dyDescent="0.25">
      <c r="B13" s="11" t="s">
        <v>12</v>
      </c>
      <c r="C13" s="15">
        <f>COUNTIFS(Resp[Programa],"IC",Resp[23],B13)</f>
        <v>3</v>
      </c>
      <c r="D13" s="15">
        <f>COUNTIFS(Resp[Programa],"IT",Resp[23],B13)</f>
        <v>0</v>
      </c>
      <c r="E13" s="15">
        <f>COUNTIF(Resp[23],B13)</f>
        <v>3</v>
      </c>
      <c r="F13" s="15">
        <f t="shared" si="0"/>
        <v>42.86</v>
      </c>
      <c r="G13" s="23">
        <f t="shared" si="1"/>
        <v>42.856999999999999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100.00999999999999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16.667000000000002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16.667000000000002</v>
      </c>
    </row>
    <row r="19" spans="2:5" x14ac:dyDescent="0.25">
      <c r="B19" s="20" t="s">
        <v>142</v>
      </c>
      <c r="C19" s="7" t="s">
        <v>143</v>
      </c>
      <c r="D19" s="7">
        <f>SUM(C12,C13)</f>
        <v>4</v>
      </c>
      <c r="E19" s="23">
        <f>ROUND(D19/SUM(D$17:D$20)*100,3)</f>
        <v>66.667000000000002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36" sqref="B36"/>
    </sheetView>
  </sheetViews>
  <sheetFormatPr defaultRowHeight="15" x14ac:dyDescent="0.25"/>
  <cols>
    <col min="1" max="1" width="9.140625" style="7"/>
    <col min="2" max="2" width="22.7109375" style="7" customWidth="1"/>
    <col min="3" max="3" width="37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24</v>
      </c>
    </row>
    <row r="2" spans="1:7" x14ac:dyDescent="0.25">
      <c r="A2" s="10" t="str">
        <f>TEXT(A1,"00")</f>
        <v>24</v>
      </c>
      <c r="B2" s="10" t="str">
        <f>VLOOKUP(A$2, IC[], 3, FALSE)</f>
        <v>Avalie a sua interação com outros discentes que desenvolvem pesquisa (apoio a atividades práticas, discussão dos resultados, etc.): [No exterior]</v>
      </c>
    </row>
    <row r="3" spans="1:7" x14ac:dyDescent="0.25">
      <c r="A3" s="7" t="s">
        <v>131</v>
      </c>
      <c r="B3" s="10" t="str">
        <f>VLOOKUP(A$2, IC[], 4, FALSE)</f>
        <v>Alunos IC/IT: Questão 24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COUNTIFS(Resp[Programa],"IC",Resp[24],B7)</f>
        <v>0</v>
      </c>
      <c r="D7" s="10">
        <f>COUNTIFS(Resp[Programa],"IT",Resp[24],B7)</f>
        <v>0</v>
      </c>
      <c r="E7" s="10">
        <f>COUNTIF(Resp[24],B7)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COUNTIFS(Resp[Programa],"IC",Resp[24],B8)</f>
        <v>0</v>
      </c>
      <c r="D8" s="10">
        <f>COUNTIFS(Resp[Programa],"IT",Resp[24],B8)</f>
        <v>1</v>
      </c>
      <c r="E8" s="10">
        <f>COUNTIF(Resp[24],B8)</f>
        <v>1</v>
      </c>
      <c r="F8" s="10">
        <f t="shared" si="0"/>
        <v>14.29</v>
      </c>
      <c r="G8" s="23">
        <f t="shared" ref="G8:G13" si="1">ROUND($E8/SUM($E$7:$E$13)*100,3)</f>
        <v>14.286</v>
      </c>
    </row>
    <row r="9" spans="1:7" x14ac:dyDescent="0.25">
      <c r="B9" s="7" t="s">
        <v>8</v>
      </c>
      <c r="C9" s="10">
        <f>COUNTIFS(Resp[Programa],"IC",Resp[24],B9)</f>
        <v>0</v>
      </c>
      <c r="D9" s="10">
        <f>COUNTIFS(Resp[Programa],"IT",Resp[24],B9)</f>
        <v>0</v>
      </c>
      <c r="E9" s="10">
        <f>COUNTIF(Resp[24],B9)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COUNTIFS(Resp[Programa],"IC",Resp[24],B10)</f>
        <v>0</v>
      </c>
      <c r="D10" s="10">
        <f>COUNTIFS(Resp[Programa],"IT",Resp[24],B10)</f>
        <v>0</v>
      </c>
      <c r="E10" s="10">
        <f>COUNTIF(Resp[24],B10)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COUNTIFS(Resp[Programa],"IC",Resp[24],B11)</f>
        <v>0</v>
      </c>
      <c r="D11" s="10">
        <f>COUNTIFS(Resp[Programa],"IT",Resp[24],B11)</f>
        <v>0</v>
      </c>
      <c r="E11" s="10">
        <f>COUNTIF(Resp[24],B11)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COUNTIFS(Resp[Programa],"IC",Resp[24],B12)</f>
        <v>2</v>
      </c>
      <c r="D12" s="10">
        <f>COUNTIFS(Resp[Programa],"IT",Resp[24],B12)</f>
        <v>0</v>
      </c>
      <c r="E12" s="10">
        <f>COUNTIF(Resp[24],B12)</f>
        <v>2</v>
      </c>
      <c r="F12" s="10">
        <f t="shared" si="0"/>
        <v>28.57</v>
      </c>
      <c r="G12" s="23">
        <f t="shared" si="1"/>
        <v>28.571000000000002</v>
      </c>
    </row>
    <row r="13" spans="1:7" x14ac:dyDescent="0.25">
      <c r="B13" s="11" t="s">
        <v>12</v>
      </c>
      <c r="C13" s="15">
        <f>COUNTIFS(Resp[Programa],"IC",Resp[24],B13)</f>
        <v>4</v>
      </c>
      <c r="D13" s="15">
        <f>COUNTIFS(Resp[Programa],"IT",Resp[24],B13)</f>
        <v>0</v>
      </c>
      <c r="E13" s="15">
        <f>COUNTIF(Resp[24],B13)</f>
        <v>4</v>
      </c>
      <c r="F13" s="15">
        <f t="shared" si="0"/>
        <v>57.14</v>
      </c>
      <c r="G13" s="23">
        <f t="shared" si="1"/>
        <v>57.143000000000001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6</v>
      </c>
      <c r="E19" s="23">
        <f>ROUND(D19/SUM(D$17:D$20)*100,3)</f>
        <v>100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H27" sqref="H27"/>
    </sheetView>
  </sheetViews>
  <sheetFormatPr defaultRowHeight="15" x14ac:dyDescent="0.25"/>
  <cols>
    <col min="1" max="1" width="9.140625" style="7"/>
    <col min="2" max="2" width="22.7109375" style="7" customWidth="1"/>
    <col min="3" max="3" width="36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26</v>
      </c>
    </row>
    <row r="2" spans="1:7" x14ac:dyDescent="0.25">
      <c r="A2" s="10" t="str">
        <f>TEXT(A1,"00")</f>
        <v>26</v>
      </c>
      <c r="B2" s="10" t="str">
        <f>VLOOKUP(A$2, IC[], 3, FALSE)</f>
        <v>Avalie a qualidade do atendimento durante o ano de 2021 da: [PRPPG]</v>
      </c>
    </row>
    <row r="3" spans="1:7" x14ac:dyDescent="0.25">
      <c r="A3" s="7" t="s">
        <v>131</v>
      </c>
      <c r="B3" s="10" t="str">
        <f>VLOOKUP(A$2, IC[], 4, FALSE)</f>
        <v>Alunos IC/IT: Questão 26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COUNTIFS(Resp[Programa],"IC",Resp[26],B7)</f>
        <v>0</v>
      </c>
      <c r="D7" s="10">
        <f>COUNTIFS(Resp[Programa],"IT",Resp[26],B7)</f>
        <v>0</v>
      </c>
      <c r="E7" s="10">
        <f>COUNTIF(Resp[26],B7)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COUNTIFS(Resp[Programa],"IC",Resp[26],B8)</f>
        <v>3</v>
      </c>
      <c r="D8" s="10">
        <f>COUNTIFS(Resp[Programa],"IT",Resp[26],B8)</f>
        <v>1</v>
      </c>
      <c r="E8" s="10">
        <f>COUNTIF(Resp[26],B8)</f>
        <v>4</v>
      </c>
      <c r="F8" s="10">
        <f t="shared" si="0"/>
        <v>57.14</v>
      </c>
      <c r="G8" s="23">
        <f t="shared" ref="G8:G13" si="1">ROUND($E8/SUM($E$7:$E$13)*100,3)</f>
        <v>57.143000000000001</v>
      </c>
    </row>
    <row r="9" spans="1:7" x14ac:dyDescent="0.25">
      <c r="B9" s="7" t="s">
        <v>8</v>
      </c>
      <c r="C9" s="10">
        <f>COUNTIFS(Resp[Programa],"IC",Resp[26],B9)</f>
        <v>1</v>
      </c>
      <c r="D9" s="10">
        <f>COUNTIFS(Resp[Programa],"IT",Resp[26],B9)</f>
        <v>0</v>
      </c>
      <c r="E9" s="10">
        <f>COUNTIF(Resp[26],B9)</f>
        <v>1</v>
      </c>
      <c r="F9" s="10">
        <f t="shared" si="0"/>
        <v>14.29</v>
      </c>
      <c r="G9" s="23">
        <f t="shared" si="1"/>
        <v>14.286</v>
      </c>
    </row>
    <row r="10" spans="1:7" x14ac:dyDescent="0.25">
      <c r="B10" s="7" t="s">
        <v>9</v>
      </c>
      <c r="C10" s="10">
        <f>COUNTIFS(Resp[Programa],"IC",Resp[26],B10)</f>
        <v>0</v>
      </c>
      <c r="D10" s="10">
        <f>COUNTIFS(Resp[Programa],"IT",Resp[26],B10)</f>
        <v>0</v>
      </c>
      <c r="E10" s="10">
        <f>COUNTIF(Resp[26],B10)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COUNTIFS(Resp[Programa],"IC",Resp[26],B11)</f>
        <v>0</v>
      </c>
      <c r="D11" s="10">
        <f>COUNTIFS(Resp[Programa],"IT",Resp[26],B11)</f>
        <v>0</v>
      </c>
      <c r="E11" s="10">
        <f>COUNTIF(Resp[26],B11)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COUNTIFS(Resp[Programa],"IC",Resp[26],B12)</f>
        <v>2</v>
      </c>
      <c r="D12" s="10">
        <f>COUNTIFS(Resp[Programa],"IT",Resp[26],B12)</f>
        <v>0</v>
      </c>
      <c r="E12" s="10">
        <f>COUNTIF(Resp[26],B12)</f>
        <v>2</v>
      </c>
      <c r="F12" s="10">
        <f t="shared" si="0"/>
        <v>28.57</v>
      </c>
      <c r="G12" s="23">
        <f t="shared" si="1"/>
        <v>28.571000000000002</v>
      </c>
    </row>
    <row r="13" spans="1:7" x14ac:dyDescent="0.25">
      <c r="B13" s="11" t="s">
        <v>12</v>
      </c>
      <c r="C13" s="15">
        <f>COUNTIFS(Resp[Programa],"IC",Resp[26],B13)</f>
        <v>0</v>
      </c>
      <c r="D13" s="15">
        <f>COUNTIFS(Resp[Programa],"IT",Resp[26],B13)</f>
        <v>0</v>
      </c>
      <c r="E13" s="15">
        <f>COUNTIF(Resp[26],B13)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3</v>
      </c>
      <c r="E17" s="23">
        <f>ROUND(D17/SUM(D$17:D$20)*100,3)</f>
        <v>50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16.667000000000002</v>
      </c>
    </row>
    <row r="19" spans="2:5" x14ac:dyDescent="0.25">
      <c r="B19" s="20" t="s">
        <v>142</v>
      </c>
      <c r="C19" s="7" t="s">
        <v>143</v>
      </c>
      <c r="D19" s="7">
        <f>SUM(C12,C13)</f>
        <v>2</v>
      </c>
      <c r="E19" s="23">
        <f>ROUND(D19/SUM(D$17:D$20)*100,3)</f>
        <v>33.332999999999998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H34" sqref="H34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27</v>
      </c>
    </row>
    <row r="2" spans="1:7" x14ac:dyDescent="0.25">
      <c r="A2" s="10" t="str">
        <f>TEXT(A1,"00")</f>
        <v>27</v>
      </c>
      <c r="B2" s="10" t="str">
        <f>VLOOKUP(A$2, IC[], 3, FALSE)</f>
        <v>Avalie a qualidade do atendimento durante o ano de 2021 da: [Biblioteca]</v>
      </c>
    </row>
    <row r="3" spans="1:7" x14ac:dyDescent="0.25">
      <c r="A3" s="7" t="s">
        <v>131</v>
      </c>
      <c r="B3" s="10" t="str">
        <f>VLOOKUP(A$2, IC[], 4, FALSE)</f>
        <v>Alunos IC/IT: Questão 27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COUNTIFS(Resp[Programa],"IC",Resp[27],B7)</f>
        <v>1</v>
      </c>
      <c r="D7" s="10">
        <f>COUNTIFS(Resp[Programa],"IT",Resp[27],B7)</f>
        <v>0</v>
      </c>
      <c r="E7" s="10">
        <f>COUNTIF(Resp[27],B7)</f>
        <v>1</v>
      </c>
      <c r="F7" s="10">
        <f t="shared" ref="F7:F13" si="0">ROUND($E7/E$14*100,2)</f>
        <v>14.29</v>
      </c>
      <c r="G7" s="23">
        <f>ROUND($E7/SUM($E$7:$E$13)*100,3)</f>
        <v>14.286</v>
      </c>
    </row>
    <row r="8" spans="1:7" x14ac:dyDescent="0.25">
      <c r="B8" s="7" t="s">
        <v>7</v>
      </c>
      <c r="C8" s="10">
        <f>COUNTIFS(Resp[Programa],"IC",Resp[27],B8)</f>
        <v>3</v>
      </c>
      <c r="D8" s="10">
        <f>COUNTIFS(Resp[Programa],"IT",Resp[27],B8)</f>
        <v>1</v>
      </c>
      <c r="E8" s="10">
        <f>COUNTIF(Resp[27],B8)</f>
        <v>4</v>
      </c>
      <c r="F8" s="10">
        <f t="shared" si="0"/>
        <v>57.14</v>
      </c>
      <c r="G8" s="23">
        <f t="shared" ref="G8:G13" si="1">ROUND($E8/SUM($E$7:$E$13)*100,3)</f>
        <v>57.143000000000001</v>
      </c>
    </row>
    <row r="9" spans="1:7" x14ac:dyDescent="0.25">
      <c r="B9" s="7" t="s">
        <v>8</v>
      </c>
      <c r="C9" s="10">
        <f>COUNTIFS(Resp[Programa],"IC",Resp[27],B9)</f>
        <v>0</v>
      </c>
      <c r="D9" s="10">
        <f>COUNTIFS(Resp[Programa],"IT",Resp[27],B9)</f>
        <v>0</v>
      </c>
      <c r="E9" s="10">
        <f>COUNTIF(Resp[27],B9)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COUNTIFS(Resp[Programa],"IC",Resp[27],B10)</f>
        <v>0</v>
      </c>
      <c r="D10" s="10">
        <f>COUNTIFS(Resp[Programa],"IT",Resp[27],B10)</f>
        <v>0</v>
      </c>
      <c r="E10" s="10">
        <f>COUNTIF(Resp[27],B10)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COUNTIFS(Resp[Programa],"IC",Resp[27],B11)</f>
        <v>0</v>
      </c>
      <c r="D11" s="10">
        <f>COUNTIFS(Resp[Programa],"IT",Resp[27],B11)</f>
        <v>0</v>
      </c>
      <c r="E11" s="10">
        <f>COUNTIF(Resp[27],B11)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COUNTIFS(Resp[Programa],"IC",Resp[27],B12)</f>
        <v>1</v>
      </c>
      <c r="D12" s="10">
        <f>COUNTIFS(Resp[Programa],"IT",Resp[27],B12)</f>
        <v>0</v>
      </c>
      <c r="E12" s="10">
        <f>COUNTIF(Resp[27],B12)</f>
        <v>1</v>
      </c>
      <c r="F12" s="10">
        <f t="shared" si="0"/>
        <v>14.29</v>
      </c>
      <c r="G12" s="23">
        <f t="shared" si="1"/>
        <v>14.286</v>
      </c>
    </row>
    <row r="13" spans="1:7" x14ac:dyDescent="0.25">
      <c r="B13" s="11" t="s">
        <v>12</v>
      </c>
      <c r="C13" s="15">
        <f>COUNTIFS(Resp[Programa],"IC",Resp[27],B13)</f>
        <v>1</v>
      </c>
      <c r="D13" s="15">
        <f>COUNTIFS(Resp[Programa],"IT",Resp[27],B13)</f>
        <v>0</v>
      </c>
      <c r="E13" s="15">
        <f>COUNTIF(Resp[27],B13)</f>
        <v>1</v>
      </c>
      <c r="F13" s="15">
        <f t="shared" si="0"/>
        <v>14.29</v>
      </c>
      <c r="G13" s="23">
        <f t="shared" si="1"/>
        <v>14.286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100.00999999999999</v>
      </c>
      <c r="G14" s="14">
        <f>SUM(G7:G13)</f>
        <v>100.001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4</v>
      </c>
      <c r="E17" s="23">
        <f>ROUND(D17/SUM(D$17:D$20)*100,3)</f>
        <v>66.667000000000002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2</v>
      </c>
      <c r="E19" s="23">
        <f>ROUND(D19/SUM(D$17:D$20)*100,3)</f>
        <v>33.332999999999998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="110" zoomScaleNormal="110" workbookViewId="0">
      <selection activeCell="C2" sqref="C2"/>
    </sheetView>
  </sheetViews>
  <sheetFormatPr defaultRowHeight="15" x14ac:dyDescent="0.25"/>
  <cols>
    <col min="1" max="1" width="19.42578125" style="3" bestFit="1" customWidth="1"/>
    <col min="2" max="2" width="16" bestFit="1" customWidth="1"/>
    <col min="3" max="3" width="194" bestFit="1" customWidth="1"/>
    <col min="4" max="4" width="21.85546875" bestFit="1" customWidth="1"/>
    <col min="5" max="5" width="14.7109375" bestFit="1" customWidth="1"/>
  </cols>
  <sheetData>
    <row r="1" spans="1:5" x14ac:dyDescent="0.25">
      <c r="A1" s="42" t="s">
        <v>61</v>
      </c>
      <c r="B1" s="43" t="s">
        <v>62</v>
      </c>
      <c r="C1" s="44" t="s">
        <v>63</v>
      </c>
      <c r="D1" s="44" t="s">
        <v>64</v>
      </c>
      <c r="E1" s="45" t="s">
        <v>65</v>
      </c>
    </row>
    <row r="2" spans="1:5" x14ac:dyDescent="0.25">
      <c r="A2" s="3" t="s">
        <v>31</v>
      </c>
      <c r="B2" t="s">
        <v>66</v>
      </c>
      <c r="C2" s="46" t="s">
        <v>67</v>
      </c>
      <c r="D2" s="8" t="s">
        <v>68</v>
      </c>
    </row>
    <row r="3" spans="1:5" x14ac:dyDescent="0.25">
      <c r="A3" s="3" t="s">
        <v>32</v>
      </c>
      <c r="B3" t="s">
        <v>66</v>
      </c>
      <c r="C3" s="46" t="s">
        <v>69</v>
      </c>
      <c r="D3" s="8" t="s">
        <v>70</v>
      </c>
    </row>
    <row r="4" spans="1:5" x14ac:dyDescent="0.25">
      <c r="A4" s="3" t="s">
        <v>33</v>
      </c>
      <c r="B4" t="s">
        <v>66</v>
      </c>
      <c r="C4" s="46" t="s">
        <v>71</v>
      </c>
      <c r="D4" s="8" t="s">
        <v>72</v>
      </c>
    </row>
    <row r="5" spans="1:5" x14ac:dyDescent="0.25">
      <c r="A5" s="3" t="s">
        <v>34</v>
      </c>
      <c r="B5" t="s">
        <v>66</v>
      </c>
      <c r="C5" s="46" t="s">
        <v>73</v>
      </c>
      <c r="D5" s="8" t="s">
        <v>74</v>
      </c>
    </row>
    <row r="6" spans="1:5" x14ac:dyDescent="0.25">
      <c r="A6" s="3" t="s">
        <v>35</v>
      </c>
      <c r="B6" t="s">
        <v>66</v>
      </c>
      <c r="C6" s="46" t="s">
        <v>75</v>
      </c>
      <c r="D6" s="8" t="s">
        <v>76</v>
      </c>
    </row>
    <row r="7" spans="1:5" x14ac:dyDescent="0.25">
      <c r="A7" s="3" t="s">
        <v>36</v>
      </c>
      <c r="B7" t="s">
        <v>66</v>
      </c>
      <c r="C7" s="46" t="s">
        <v>77</v>
      </c>
      <c r="D7" s="8" t="s">
        <v>78</v>
      </c>
    </row>
    <row r="8" spans="1:5" x14ac:dyDescent="0.25">
      <c r="A8" s="3" t="s">
        <v>37</v>
      </c>
      <c r="B8" t="s">
        <v>66</v>
      </c>
      <c r="C8" s="46" t="s">
        <v>79</v>
      </c>
      <c r="D8" s="8" t="s">
        <v>80</v>
      </c>
    </row>
    <row r="9" spans="1:5" x14ac:dyDescent="0.25">
      <c r="A9" s="3" t="s">
        <v>38</v>
      </c>
      <c r="B9" t="s">
        <v>66</v>
      </c>
      <c r="C9" s="46" t="s">
        <v>81</v>
      </c>
      <c r="D9" s="8" t="s">
        <v>82</v>
      </c>
    </row>
    <row r="10" spans="1:5" x14ac:dyDescent="0.25">
      <c r="A10" s="3" t="s">
        <v>39</v>
      </c>
      <c r="B10" t="s">
        <v>66</v>
      </c>
      <c r="C10" s="46" t="s">
        <v>83</v>
      </c>
      <c r="D10" s="8" t="s">
        <v>84</v>
      </c>
    </row>
    <row r="11" spans="1:5" x14ac:dyDescent="0.25">
      <c r="A11" s="3" t="s">
        <v>40</v>
      </c>
      <c r="B11" t="s">
        <v>66</v>
      </c>
      <c r="C11" s="46" t="s">
        <v>85</v>
      </c>
      <c r="D11" s="8" t="s">
        <v>86</v>
      </c>
    </row>
    <row r="12" spans="1:5" x14ac:dyDescent="0.25">
      <c r="A12" s="3" t="s">
        <v>41</v>
      </c>
      <c r="B12" t="s">
        <v>66</v>
      </c>
      <c r="C12" s="46" t="s">
        <v>87</v>
      </c>
      <c r="D12" s="8" t="s">
        <v>88</v>
      </c>
    </row>
    <row r="13" spans="1:5" x14ac:dyDescent="0.25">
      <c r="A13" s="3" t="s">
        <v>42</v>
      </c>
      <c r="B13" t="s">
        <v>66</v>
      </c>
      <c r="C13" s="46" t="s">
        <v>89</v>
      </c>
      <c r="D13" s="8" t="s">
        <v>90</v>
      </c>
    </row>
    <row r="14" spans="1:5" x14ac:dyDescent="0.25">
      <c r="A14" s="3" t="s">
        <v>43</v>
      </c>
      <c r="B14" t="s">
        <v>66</v>
      </c>
      <c r="C14" s="46" t="s">
        <v>91</v>
      </c>
      <c r="D14" s="8" t="s">
        <v>92</v>
      </c>
    </row>
    <row r="15" spans="1:5" x14ac:dyDescent="0.25">
      <c r="A15" s="3" t="s">
        <v>44</v>
      </c>
      <c r="B15" t="s">
        <v>66</v>
      </c>
      <c r="C15" s="46" t="s">
        <v>93</v>
      </c>
      <c r="D15" s="8" t="s">
        <v>94</v>
      </c>
    </row>
    <row r="16" spans="1:5" x14ac:dyDescent="0.25">
      <c r="A16" s="3" t="s">
        <v>45</v>
      </c>
      <c r="B16" t="s">
        <v>66</v>
      </c>
      <c r="C16" s="46" t="s">
        <v>95</v>
      </c>
      <c r="D16" s="8" t="s">
        <v>96</v>
      </c>
    </row>
    <row r="17" spans="1:4" x14ac:dyDescent="0.25">
      <c r="A17" s="3" t="s">
        <v>46</v>
      </c>
      <c r="B17" t="s">
        <v>66</v>
      </c>
      <c r="C17" s="46" t="s">
        <v>97</v>
      </c>
      <c r="D17" s="8" t="s">
        <v>98</v>
      </c>
    </row>
    <row r="18" spans="1:4" x14ac:dyDescent="0.25">
      <c r="A18" s="3" t="s">
        <v>47</v>
      </c>
      <c r="B18" t="s">
        <v>66</v>
      </c>
      <c r="C18" s="46" t="s">
        <v>99</v>
      </c>
      <c r="D18" s="8" t="s">
        <v>100</v>
      </c>
    </row>
    <row r="19" spans="1:4" x14ac:dyDescent="0.25">
      <c r="A19" s="3" t="s">
        <v>48</v>
      </c>
      <c r="B19" t="s">
        <v>66</v>
      </c>
      <c r="C19" s="46" t="s">
        <v>101</v>
      </c>
      <c r="D19" s="8" t="s">
        <v>102</v>
      </c>
    </row>
    <row r="20" spans="1:4" x14ac:dyDescent="0.25">
      <c r="A20" s="3" t="s">
        <v>49</v>
      </c>
      <c r="B20" t="s">
        <v>66</v>
      </c>
      <c r="C20" s="46" t="s">
        <v>103</v>
      </c>
      <c r="D20" s="8" t="s">
        <v>104</v>
      </c>
    </row>
    <row r="21" spans="1:4" x14ac:dyDescent="0.25">
      <c r="A21" s="3" t="s">
        <v>50</v>
      </c>
      <c r="B21" t="s">
        <v>66</v>
      </c>
      <c r="C21" s="46" t="s">
        <v>105</v>
      </c>
      <c r="D21" s="8" t="s">
        <v>106</v>
      </c>
    </row>
    <row r="22" spans="1:4" x14ac:dyDescent="0.25">
      <c r="A22" s="3" t="s">
        <v>51</v>
      </c>
      <c r="B22" t="s">
        <v>66</v>
      </c>
      <c r="C22" s="46" t="s">
        <v>107</v>
      </c>
      <c r="D22" s="8" t="s">
        <v>108</v>
      </c>
    </row>
    <row r="23" spans="1:4" x14ac:dyDescent="0.25">
      <c r="A23" s="3" t="s">
        <v>52</v>
      </c>
      <c r="B23" t="s">
        <v>66</v>
      </c>
      <c r="C23" s="46" t="s">
        <v>109</v>
      </c>
      <c r="D23" s="8" t="s">
        <v>110</v>
      </c>
    </row>
    <row r="24" spans="1:4" x14ac:dyDescent="0.25">
      <c r="A24" s="3" t="s">
        <v>53</v>
      </c>
      <c r="B24" t="s">
        <v>66</v>
      </c>
      <c r="C24" s="46" t="s">
        <v>111</v>
      </c>
      <c r="D24" s="8" t="s">
        <v>112</v>
      </c>
    </row>
    <row r="25" spans="1:4" x14ac:dyDescent="0.25">
      <c r="A25" s="3" t="s">
        <v>54</v>
      </c>
      <c r="B25" t="s">
        <v>66</v>
      </c>
      <c r="C25" s="46" t="s">
        <v>113</v>
      </c>
      <c r="D25" s="8" t="s">
        <v>114</v>
      </c>
    </row>
    <row r="26" spans="1:4" x14ac:dyDescent="0.25">
      <c r="A26" s="3" t="s">
        <v>115</v>
      </c>
      <c r="B26" t="s">
        <v>116</v>
      </c>
      <c r="C26" s="46" t="s">
        <v>117</v>
      </c>
      <c r="D26" s="8" t="s">
        <v>118</v>
      </c>
    </row>
    <row r="27" spans="1:4" x14ac:dyDescent="0.25">
      <c r="A27" s="3" t="s">
        <v>55</v>
      </c>
      <c r="B27" t="s">
        <v>66</v>
      </c>
      <c r="C27" s="46" t="s">
        <v>119</v>
      </c>
      <c r="D27" s="8" t="s">
        <v>120</v>
      </c>
    </row>
    <row r="28" spans="1:4" x14ac:dyDescent="0.25">
      <c r="A28" s="3" t="s">
        <v>56</v>
      </c>
      <c r="B28" t="s">
        <v>66</v>
      </c>
      <c r="C28" s="46" t="s">
        <v>121</v>
      </c>
      <c r="D28" s="8" t="s">
        <v>122</v>
      </c>
    </row>
    <row r="29" spans="1:4" x14ac:dyDescent="0.25">
      <c r="A29" s="3" t="s">
        <v>123</v>
      </c>
      <c r="B29" t="s">
        <v>116</v>
      </c>
      <c r="C29" s="46" t="s">
        <v>124</v>
      </c>
      <c r="D29" s="8" t="s">
        <v>118</v>
      </c>
    </row>
    <row r="30" spans="1:4" x14ac:dyDescent="0.25">
      <c r="A30" s="3" t="s">
        <v>57</v>
      </c>
      <c r="B30" t="s">
        <v>66</v>
      </c>
      <c r="C30" s="46" t="s">
        <v>125</v>
      </c>
      <c r="D30" s="8" t="s">
        <v>126</v>
      </c>
    </row>
    <row r="31" spans="1:4" x14ac:dyDescent="0.25">
      <c r="A31" s="3" t="s">
        <v>58</v>
      </c>
      <c r="B31" t="s">
        <v>66</v>
      </c>
      <c r="C31" s="46" t="s">
        <v>127</v>
      </c>
      <c r="D31" s="8" t="s">
        <v>128</v>
      </c>
    </row>
    <row r="32" spans="1:4" x14ac:dyDescent="0.25">
      <c r="A32" s="3" t="s">
        <v>129</v>
      </c>
      <c r="B32" t="s">
        <v>116</v>
      </c>
      <c r="C32" s="46" t="s">
        <v>130</v>
      </c>
      <c r="D32" s="8" t="s">
        <v>118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Q30" sqref="Q30"/>
    </sheetView>
  </sheetViews>
  <sheetFormatPr defaultRowHeight="15" x14ac:dyDescent="0.25"/>
  <cols>
    <col min="1" max="1" width="9.140625" style="7"/>
    <col min="2" max="2" width="22.7109375" style="7" customWidth="1"/>
    <col min="3" max="3" width="36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29</v>
      </c>
    </row>
    <row r="2" spans="1:7" x14ac:dyDescent="0.25">
      <c r="A2" s="10" t="str">
        <f>TEXT(A1,"00")</f>
        <v>29</v>
      </c>
      <c r="B2" s="10" t="str">
        <f>VLOOKUP(A$2, IC[], 3, FALSE)</f>
        <v>Avalie este instrumento de pesquisa: [Abrangência dos temas]</v>
      </c>
    </row>
    <row r="3" spans="1:7" x14ac:dyDescent="0.25">
      <c r="A3" s="7" t="s">
        <v>131</v>
      </c>
      <c r="B3" s="10" t="str">
        <f>VLOOKUP(A$2, IC[], 4, FALSE)</f>
        <v>Alunos IC/IT: Questão 29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COUNTIFS(Resp[Programa],"IC",Resp[29],B7)</f>
        <v>3</v>
      </c>
      <c r="D7" s="10">
        <f>COUNTIFS(Resp[Programa],"IT",Resp[29],B7)</f>
        <v>0</v>
      </c>
      <c r="E7" s="10">
        <f>COUNTIF(Resp[29],B7)</f>
        <v>3</v>
      </c>
      <c r="F7" s="10">
        <f t="shared" ref="F7:F13" si="0">ROUND($E7/E$14*100,2)</f>
        <v>42.86</v>
      </c>
      <c r="G7" s="23">
        <f>ROUND($E7/SUM($E$7:$E$13)*100,3)</f>
        <v>42.856999999999999</v>
      </c>
    </row>
    <row r="8" spans="1:7" x14ac:dyDescent="0.25">
      <c r="B8" s="7" t="s">
        <v>7</v>
      </c>
      <c r="C8" s="10">
        <f>COUNTIFS(Resp[Programa],"IC",Resp[29],B8)</f>
        <v>2</v>
      </c>
      <c r="D8" s="10">
        <f>COUNTIFS(Resp[Programa],"IT",Resp[29],B8)</f>
        <v>1</v>
      </c>
      <c r="E8" s="10">
        <f>COUNTIF(Resp[29],B8)</f>
        <v>3</v>
      </c>
      <c r="F8" s="10">
        <f t="shared" si="0"/>
        <v>42.86</v>
      </c>
      <c r="G8" s="23">
        <f t="shared" ref="G8:G13" si="1">ROUND($E8/SUM($E$7:$E$13)*100,3)</f>
        <v>42.856999999999999</v>
      </c>
    </row>
    <row r="9" spans="1:7" x14ac:dyDescent="0.25">
      <c r="B9" s="7" t="s">
        <v>8</v>
      </c>
      <c r="C9" s="10">
        <f>COUNTIFS(Resp[Programa],"IC",Resp[29],B9)</f>
        <v>1</v>
      </c>
      <c r="D9" s="10">
        <f>COUNTIFS(Resp[Programa],"IT",Resp[29],B9)</f>
        <v>0</v>
      </c>
      <c r="E9" s="10">
        <f>COUNTIF(Resp[29],B9)</f>
        <v>1</v>
      </c>
      <c r="F9" s="10">
        <f t="shared" si="0"/>
        <v>14.29</v>
      </c>
      <c r="G9" s="23">
        <f t="shared" si="1"/>
        <v>14.286</v>
      </c>
    </row>
    <row r="10" spans="1:7" x14ac:dyDescent="0.25">
      <c r="B10" s="7" t="s">
        <v>9</v>
      </c>
      <c r="C10" s="10">
        <f>COUNTIFS(Resp[Programa],"IC",Resp[29],B10)</f>
        <v>0</v>
      </c>
      <c r="D10" s="10">
        <f>COUNTIFS(Resp[Programa],"IT",Resp[29],B10)</f>
        <v>0</v>
      </c>
      <c r="E10" s="10">
        <f>COUNTIF(Resp[29],B10)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COUNTIFS(Resp[Programa],"IC",Resp[29],B11)</f>
        <v>0</v>
      </c>
      <c r="D11" s="10">
        <f>COUNTIFS(Resp[Programa],"IT",Resp[29],B11)</f>
        <v>0</v>
      </c>
      <c r="E11" s="10">
        <f>COUNTIF(Resp[29],B11)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COUNTIFS(Resp[Programa],"IC",Resp[29],B12)</f>
        <v>0</v>
      </c>
      <c r="D12" s="10">
        <f>COUNTIFS(Resp[Programa],"IT",Resp[29],B12)</f>
        <v>0</v>
      </c>
      <c r="E12" s="10">
        <f>COUNTIF(Resp[29],B12)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0">
        <f>COUNTIFS(Resp[Programa],"IC",Resp[29],B13)</f>
        <v>0</v>
      </c>
      <c r="D13" s="10">
        <f>COUNTIFS(Resp[Programa],"IT",Resp[29],B13)</f>
        <v>0</v>
      </c>
      <c r="E13" s="10">
        <f>COUNTIF(Resp[29],B13)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12">
        <f>SUM(C6:C13)</f>
        <v>6</v>
      </c>
      <c r="D14" s="12">
        <f>SUM(D6:D13)</f>
        <v>1</v>
      </c>
      <c r="E14" s="12">
        <f>SUM(C14:D14)</f>
        <v>7</v>
      </c>
      <c r="F14" s="13">
        <f>SUM(F6:F13)</f>
        <v>100.00999999999999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5</v>
      </c>
      <c r="E17" s="23">
        <f>ROUND(D17/SUM(D$17:D$20)*100,3)</f>
        <v>83.332999999999998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16.667000000000002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J32" sqref="J32"/>
    </sheetView>
  </sheetViews>
  <sheetFormatPr defaultRowHeight="15" x14ac:dyDescent="0.25"/>
  <cols>
    <col min="1" max="1" width="9.140625" style="7"/>
    <col min="2" max="2" width="22.7109375" style="7" customWidth="1"/>
    <col min="3" max="3" width="33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30</v>
      </c>
    </row>
    <row r="2" spans="1:7" x14ac:dyDescent="0.25">
      <c r="A2" s="10" t="str">
        <f>TEXT(A1,"00")</f>
        <v>30</v>
      </c>
      <c r="B2" s="10" t="str">
        <f>VLOOKUP(A$2, IC[], 3, FALSE)</f>
        <v>Avalie este instrumento de pesquisa: [Objetividade e clareza]</v>
      </c>
    </row>
    <row r="3" spans="1:7" x14ac:dyDescent="0.25">
      <c r="A3" s="7" t="s">
        <v>131</v>
      </c>
      <c r="B3" s="10" t="str">
        <f>VLOOKUP(A$2, IC[], 4, FALSE)</f>
        <v>Alunos IC/IT: Questão 30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COUNTIFS(Resp[Programa],"IC",Resp[30],B7)</f>
        <v>3</v>
      </c>
      <c r="D7" s="10">
        <f>COUNTIFS(Resp[Programa],"IT",Resp[30],B7)</f>
        <v>0</v>
      </c>
      <c r="E7" s="10">
        <f>COUNTIF(Resp[30],B7)</f>
        <v>3</v>
      </c>
      <c r="F7" s="10">
        <f t="shared" ref="F7:F13" si="0">ROUND($E7/E$14*100,2)</f>
        <v>42.86</v>
      </c>
      <c r="G7" s="23">
        <f>ROUND($E7/SUM($E$7:$E$13)*100,3)</f>
        <v>42.856999999999999</v>
      </c>
    </row>
    <row r="8" spans="1:7" x14ac:dyDescent="0.25">
      <c r="B8" s="7" t="s">
        <v>7</v>
      </c>
      <c r="C8" s="10">
        <f>COUNTIFS(Resp[Programa],"IC",Resp[30],B8)</f>
        <v>2</v>
      </c>
      <c r="D8" s="10">
        <f>COUNTIFS(Resp[Programa],"IT",Resp[30],B8)</f>
        <v>1</v>
      </c>
      <c r="E8" s="10">
        <f>COUNTIF(Resp[30],B8)</f>
        <v>3</v>
      </c>
      <c r="F8" s="10">
        <f t="shared" si="0"/>
        <v>42.86</v>
      </c>
      <c r="G8" s="23">
        <f t="shared" ref="G8:G13" si="1">ROUND($E8/SUM($E$7:$E$13)*100,3)</f>
        <v>42.856999999999999</v>
      </c>
    </row>
    <row r="9" spans="1:7" x14ac:dyDescent="0.25">
      <c r="B9" s="7" t="s">
        <v>8</v>
      </c>
      <c r="C9" s="10">
        <f>COUNTIFS(Resp[Programa],"IC",Resp[30],B9)</f>
        <v>1</v>
      </c>
      <c r="D9" s="10">
        <f>COUNTIFS(Resp[Programa],"IT",Resp[30],B9)</f>
        <v>0</v>
      </c>
      <c r="E9" s="10">
        <f>COUNTIF(Resp[30],B9)</f>
        <v>1</v>
      </c>
      <c r="F9" s="10">
        <f t="shared" si="0"/>
        <v>14.29</v>
      </c>
      <c r="G9" s="23">
        <f t="shared" si="1"/>
        <v>14.286</v>
      </c>
    </row>
    <row r="10" spans="1:7" x14ac:dyDescent="0.25">
      <c r="B10" s="7" t="s">
        <v>9</v>
      </c>
      <c r="C10" s="10">
        <f>COUNTIFS(Resp[Programa],"IC",Resp[30],B10)</f>
        <v>0</v>
      </c>
      <c r="D10" s="10">
        <f>COUNTIFS(Resp[Programa],"IT",Resp[30],B10)</f>
        <v>0</v>
      </c>
      <c r="E10" s="10">
        <f>COUNTIF(Resp[30],B10)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COUNTIFS(Resp[Programa],"IC",Resp[30],B11)</f>
        <v>0</v>
      </c>
      <c r="D11" s="10">
        <f>COUNTIFS(Resp[Programa],"IT",Resp[30],B11)</f>
        <v>0</v>
      </c>
      <c r="E11" s="10">
        <f>COUNTIF(Resp[30],B11)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COUNTIFS(Resp[Programa],"IC",Resp[30],B12)</f>
        <v>0</v>
      </c>
      <c r="D12" s="10">
        <f>COUNTIFS(Resp[Programa],"IT",Resp[30],B12)</f>
        <v>0</v>
      </c>
      <c r="E12" s="10">
        <f>COUNTIF(Resp[30],B12)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COUNTIFS(Resp[Programa],"IC",Resp[30],B13)</f>
        <v>0</v>
      </c>
      <c r="D13" s="15">
        <f>COUNTIFS(Resp[Programa],"IT",Resp[30],B13)</f>
        <v>0</v>
      </c>
      <c r="E13" s="15">
        <f>COUNTIF(Resp[30],B13)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100.00999999999999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5</v>
      </c>
      <c r="E17" s="23">
        <f>ROUND(D17/SUM(D$17:D$20)*100,3)</f>
        <v>83.332999999999998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16.667000000000002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4" workbookViewId="0">
      <selection activeCell="B28" sqref="B28:E28"/>
    </sheetView>
  </sheetViews>
  <sheetFormatPr defaultRowHeight="15" x14ac:dyDescent="0.25"/>
  <cols>
    <col min="1" max="1" width="9.140625" style="7"/>
    <col min="2" max="2" width="22.7109375" style="7" customWidth="1"/>
    <col min="3" max="3" width="32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</v>
      </c>
    </row>
    <row r="2" spans="1:7" x14ac:dyDescent="0.25">
      <c r="A2" s="10" t="str">
        <f>TEXT(A1,"00")</f>
        <v>01</v>
      </c>
      <c r="B2" s="10" t="str">
        <f>VLOOKUP(A$2, IC[], 3, FALSE)</f>
        <v>Avalie a sua experiência no Programa de Iniciação Científica, de Iniciação Tecnológica ou similar, com relação: [À compatibilidade da formação inicial com o projeto]</v>
      </c>
    </row>
    <row r="3" spans="1:7" x14ac:dyDescent="0.25">
      <c r="A3" s="7" t="s">
        <v>131</v>
      </c>
      <c r="B3" s="10" t="str">
        <f>VLOOKUP(A$2, IC[], 4, FALSE)</f>
        <v>Alunos IC/IT: Questão 1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COUNTIFS(Resp[Programa],"IC",Resp[01],B7)</f>
        <v>3</v>
      </c>
      <c r="D7" s="10">
        <f>COUNTIFS(Resp[Programa],"IT",Resp[01],B7)</f>
        <v>0</v>
      </c>
      <c r="E7" s="10">
        <f>COUNTIF(Resp[01],B7)</f>
        <v>3</v>
      </c>
      <c r="F7" s="10">
        <f t="shared" ref="F7:F13" si="0">ROUND($E7/E$14*100,2)</f>
        <v>42.86</v>
      </c>
      <c r="G7" s="23">
        <f>ROUND($E7/SUM($E$7:$E$13)*100,3)</f>
        <v>42.856999999999999</v>
      </c>
    </row>
    <row r="8" spans="1:7" x14ac:dyDescent="0.25">
      <c r="B8" s="7" t="s">
        <v>7</v>
      </c>
      <c r="C8" s="10">
        <f>COUNTIFS(Resp[Programa],"IC",Resp[01],B8)</f>
        <v>3</v>
      </c>
      <c r="D8" s="10">
        <f>COUNTIFS(Resp[Programa],"IT",Resp[01],B8)</f>
        <v>0</v>
      </c>
      <c r="E8" s="10">
        <f>COUNTIF(Resp[01],B8)</f>
        <v>3</v>
      </c>
      <c r="F8" s="10">
        <f t="shared" si="0"/>
        <v>42.86</v>
      </c>
      <c r="G8" s="23">
        <f t="shared" ref="G8:G13" si="1">ROUND($E8/SUM($E$7:$E$13)*100,3)</f>
        <v>42.856999999999999</v>
      </c>
    </row>
    <row r="9" spans="1:7" x14ac:dyDescent="0.25">
      <c r="B9" s="7" t="s">
        <v>8</v>
      </c>
      <c r="C9" s="10">
        <f>COUNTIFS(Resp[Programa],"IC",Resp[01],B9)</f>
        <v>0</v>
      </c>
      <c r="D9" s="10">
        <f>COUNTIFS(Resp[Programa],"IT",Resp[01],B9)</f>
        <v>1</v>
      </c>
      <c r="E9" s="10">
        <f>COUNTIF(Resp[01],B9)</f>
        <v>1</v>
      </c>
      <c r="F9" s="10">
        <f t="shared" si="0"/>
        <v>14.29</v>
      </c>
      <c r="G9" s="23">
        <f t="shared" si="1"/>
        <v>14.286</v>
      </c>
    </row>
    <row r="10" spans="1:7" x14ac:dyDescent="0.25">
      <c r="B10" s="7" t="s">
        <v>9</v>
      </c>
      <c r="C10" s="10">
        <f>COUNTIFS(Resp[Programa],"IC",Resp[01],B10)</f>
        <v>0</v>
      </c>
      <c r="D10" s="10">
        <f>COUNTIFS(Resp[Programa],"IT",Resp[01],B10)</f>
        <v>0</v>
      </c>
      <c r="E10" s="10">
        <f>COUNTIF(Resp[01],B10)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COUNTIFS(Resp[Programa],"IC",Resp[01],B11)</f>
        <v>0</v>
      </c>
      <c r="D11" s="10">
        <f>COUNTIFS(Resp[Programa],"IT",Resp[01],B11)</f>
        <v>0</v>
      </c>
      <c r="E11" s="10">
        <f>COUNTIF(Resp[01],B11)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COUNTIFS(Resp[Programa],"IC",Resp[01],B12)</f>
        <v>0</v>
      </c>
      <c r="D12" s="10">
        <f>COUNTIFS(Resp[Programa],"IT",Resp[01],B12)</f>
        <v>0</v>
      </c>
      <c r="E12" s="10">
        <f>COUNTIF(Resp[01],B12)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0">
        <f>COUNTIFS(Resp[Programa],"IC",Resp[01],B13)</f>
        <v>0</v>
      </c>
      <c r="D13" s="10">
        <f>COUNTIFS(Resp[Programa],"IT",Resp[01],B13)</f>
        <v>0</v>
      </c>
      <c r="E13" s="10">
        <f>COUNTIF(Resp[01],B13)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12">
        <f>SUM(C6:C13)</f>
        <v>6</v>
      </c>
      <c r="D14" s="12">
        <f>SUM(D6:D13)</f>
        <v>1</v>
      </c>
      <c r="E14" s="12">
        <f>SUM(C14:D14)</f>
        <v>7</v>
      </c>
      <c r="F14" s="13">
        <f>SUM(F6:F13)</f>
        <v>100.00999999999999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6</v>
      </c>
      <c r="E17" s="25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5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5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1</v>
      </c>
      <c r="E24" s="25">
        <f>ROUND(D24/SUM(D$23:D$26)*100,3)</f>
        <v>100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5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9"/>
    </sheetView>
  </sheetViews>
  <sheetFormatPr defaultRowHeight="15" x14ac:dyDescent="0.25"/>
  <cols>
    <col min="1" max="1" width="9.140625" style="7"/>
    <col min="2" max="2" width="22.7109375" style="7" customWidth="1"/>
    <col min="3" max="3" width="35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</v>
      </c>
    </row>
    <row r="2" spans="1:7" x14ac:dyDescent="0.25">
      <c r="A2" s="10" t="str">
        <f>TEXT(A1,"00")</f>
        <v>02</v>
      </c>
      <c r="B2" s="10" t="str">
        <f>VLOOKUP(A$2, IC[], 3, FALSE)</f>
        <v>Avalie a sua experiência no Programa de Iniciação Científica, de Iniciação Tecnológica ou similar, com relação: [Às melhorias das expectativas profissionais (acesso à pós-graduação ou ao mercado de trabalho)]</v>
      </c>
    </row>
    <row r="3" spans="1:7" x14ac:dyDescent="0.25">
      <c r="A3" s="7" t="s">
        <v>131</v>
      </c>
      <c r="B3" s="10" t="str">
        <f>VLOOKUP(A$2, IC[], 4, FALSE)</f>
        <v>Alunos IC/IT: Questão 2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COUNTIFS(Resp[Programa],"IC",Resp[02],B7)</f>
        <v>4</v>
      </c>
      <c r="D7" s="10">
        <f>COUNTIFS(Resp[Programa],"IT",Resp[02],B7)</f>
        <v>0</v>
      </c>
      <c r="E7" s="10">
        <f>COUNTIF(Resp[02],B7)</f>
        <v>4</v>
      </c>
      <c r="F7" s="10">
        <f t="shared" ref="F7:F13" si="0">ROUND($E7/E$14*100,2)</f>
        <v>57.14</v>
      </c>
      <c r="G7" s="23">
        <f>ROUND($E7/SUM($E$7:$E$13)*100,3)</f>
        <v>57.143000000000001</v>
      </c>
    </row>
    <row r="8" spans="1:7" x14ac:dyDescent="0.25">
      <c r="B8" s="7" t="s">
        <v>7</v>
      </c>
      <c r="C8" s="10">
        <f>COUNTIFS(Resp[Programa],"IC",Resp[02],B8)</f>
        <v>2</v>
      </c>
      <c r="D8" s="10">
        <f>COUNTIFS(Resp[Programa],"IT",Resp[02],B8)</f>
        <v>1</v>
      </c>
      <c r="E8" s="10">
        <f>COUNTIF(Resp[02],B8)</f>
        <v>3</v>
      </c>
      <c r="F8" s="10">
        <f t="shared" si="0"/>
        <v>42.86</v>
      </c>
      <c r="G8" s="23">
        <f>ROUND($E8/SUM($E$7:$E$13)*100,3)</f>
        <v>42.856999999999999</v>
      </c>
    </row>
    <row r="9" spans="1:7" x14ac:dyDescent="0.25">
      <c r="B9" s="7" t="s">
        <v>8</v>
      </c>
      <c r="C9" s="10">
        <f>COUNTIFS(Resp[Programa],"IC",Resp[02],B9)</f>
        <v>0</v>
      </c>
      <c r="D9" s="10">
        <f>COUNTIFS(Resp[Programa],"IT",Resp[02],B9)</f>
        <v>0</v>
      </c>
      <c r="E9" s="10">
        <f>COUNTIF(Resp[02],B9)</f>
        <v>0</v>
      </c>
      <c r="F9" s="10">
        <f t="shared" si="0"/>
        <v>0</v>
      </c>
      <c r="G9" s="23">
        <f>ROUND($E9/SUM($E$7:$E$13)*100,3)</f>
        <v>0</v>
      </c>
    </row>
    <row r="10" spans="1:7" x14ac:dyDescent="0.25">
      <c r="B10" s="7" t="s">
        <v>9</v>
      </c>
      <c r="C10" s="10">
        <f>COUNTIFS(Resp[Programa],"IC",Resp[02],B10)</f>
        <v>0</v>
      </c>
      <c r="D10" s="10">
        <f>COUNTIFS(Resp[Programa],"IT",Resp[02],B10)</f>
        <v>0</v>
      </c>
      <c r="E10" s="10">
        <f>COUNTIF(Resp[02],B10)</f>
        <v>0</v>
      </c>
      <c r="F10" s="10">
        <f t="shared" si="0"/>
        <v>0</v>
      </c>
      <c r="G10" s="23">
        <f t="shared" ref="G10:G13" si="1">ROUND($E10/SUM($E$7:$E$13)*100,3)</f>
        <v>0</v>
      </c>
    </row>
    <row r="11" spans="1:7" x14ac:dyDescent="0.25">
      <c r="B11" s="7" t="s">
        <v>10</v>
      </c>
      <c r="C11" s="10">
        <f>COUNTIFS(Resp[Programa],"IC",Resp[02],B11)</f>
        <v>0</v>
      </c>
      <c r="D11" s="10">
        <f>COUNTIFS(Resp[Programa],"IT",Resp[02],B11)</f>
        <v>0</v>
      </c>
      <c r="E11" s="10">
        <f>COUNTIF(Resp[02],B11)</f>
        <v>0</v>
      </c>
      <c r="F11" s="10">
        <f t="shared" si="0"/>
        <v>0</v>
      </c>
      <c r="G11" s="23">
        <f>ROUND($E11/SUM($E$7:$E$13)*100,3)</f>
        <v>0</v>
      </c>
    </row>
    <row r="12" spans="1:7" x14ac:dyDescent="0.25">
      <c r="B12" s="7" t="s">
        <v>11</v>
      </c>
      <c r="C12" s="10">
        <f>COUNTIFS(Resp[Programa],"IC",Resp[02],B12)</f>
        <v>0</v>
      </c>
      <c r="D12" s="10">
        <f>COUNTIFS(Resp[Programa],"IT",Resp[02],B12)</f>
        <v>0</v>
      </c>
      <c r="E12" s="10">
        <f>COUNTIF(Resp[02],B12)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COUNTIFS(Resp[Programa],"IC",Resp[02],B13)</f>
        <v>0</v>
      </c>
      <c r="D13" s="15">
        <f>COUNTIFS(Resp[Programa],"IT",Resp[02],B13)</f>
        <v>0</v>
      </c>
      <c r="E13" s="15">
        <f>COUNTIF(Resp[02],B13)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6</v>
      </c>
      <c r="E17" s="25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5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5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5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5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4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3</v>
      </c>
    </row>
    <row r="2" spans="1:7" x14ac:dyDescent="0.25">
      <c r="A2" s="10" t="str">
        <f>TEXT(A1,"00")</f>
        <v>03</v>
      </c>
      <c r="B2" s="10" t="str">
        <f>VLOOKUP(A$2, IC[], 3, FALSE)</f>
        <v>Avalie a sua experiência no Programa de Iniciação Científica, de Iniciação Tecnológica ou similar, com relação: [À melhoria de conhecimento]</v>
      </c>
    </row>
    <row r="3" spans="1:7" x14ac:dyDescent="0.25">
      <c r="A3" s="7" t="s">
        <v>131</v>
      </c>
      <c r="B3" s="10" t="str">
        <f>VLOOKUP(A$2, IC[], 4, FALSE)</f>
        <v>Alunos IC/IT: Questão 3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COUNTIFS(Resp[Programa],"IC",Resp[03],B7)</f>
        <v>5</v>
      </c>
      <c r="D7" s="10">
        <f>COUNTIFS(Resp[Programa],"IT",Resp[03],B7)</f>
        <v>1</v>
      </c>
      <c r="E7" s="10">
        <f>COUNTIF(Resp[03],B7)</f>
        <v>6</v>
      </c>
      <c r="F7" s="10">
        <f t="shared" ref="F7:F13" si="0">ROUND($E7/E$14*100,2)</f>
        <v>85.71</v>
      </c>
      <c r="G7" s="23">
        <f>ROUND($E7/SUM($E$7:$E$13)*100,3)</f>
        <v>85.713999999999999</v>
      </c>
    </row>
    <row r="8" spans="1:7" x14ac:dyDescent="0.25">
      <c r="B8" s="7" t="s">
        <v>7</v>
      </c>
      <c r="C8" s="10">
        <f>COUNTIFS(Resp[Programa],"IC",Resp[03],B8)</f>
        <v>1</v>
      </c>
      <c r="D8" s="10">
        <f>COUNTIFS(Resp[Programa],"IT",Resp[03],B8)</f>
        <v>0</v>
      </c>
      <c r="E8" s="10">
        <f>COUNTIF(Resp[03],B8)</f>
        <v>1</v>
      </c>
      <c r="F8" s="10">
        <f t="shared" si="0"/>
        <v>14.29</v>
      </c>
      <c r="G8" s="23">
        <f t="shared" ref="G8:G13" si="1">ROUND($E8/SUM($E$7:$E$13)*100,3)</f>
        <v>14.286</v>
      </c>
    </row>
    <row r="9" spans="1:7" x14ac:dyDescent="0.25">
      <c r="B9" s="7" t="s">
        <v>8</v>
      </c>
      <c r="C9" s="10">
        <f>COUNTIFS(Resp[Programa],"IC",Resp[03],B9)</f>
        <v>0</v>
      </c>
      <c r="D9" s="10">
        <f>COUNTIFS(Resp[Programa],"IT",Resp[03],B9)</f>
        <v>0</v>
      </c>
      <c r="E9" s="10">
        <f>COUNTIF(Resp[03],B9)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COUNTIFS(Resp[Programa],"IC",Resp[03],B10)</f>
        <v>0</v>
      </c>
      <c r="D10" s="10">
        <f>COUNTIFS(Resp[Programa],"IT",Resp[03],B10)</f>
        <v>0</v>
      </c>
      <c r="E10" s="10">
        <f>COUNTIF(Resp[03],B10)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COUNTIFS(Resp[Programa],"IC",Resp[03],B11)</f>
        <v>0</v>
      </c>
      <c r="D11" s="10">
        <f>COUNTIFS(Resp[Programa],"IT",Resp[03],B11)</f>
        <v>0</v>
      </c>
      <c r="E11" s="10">
        <f>COUNTIF(Resp[03],B11)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COUNTIFS(Resp[Programa],"IC",Resp[03],B12)</f>
        <v>0</v>
      </c>
      <c r="D12" s="10">
        <f>COUNTIFS(Resp[Programa],"IT",Resp[03],B12)</f>
        <v>0</v>
      </c>
      <c r="E12" s="10">
        <f>COUNTIF(Resp[03],B12)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COUNTIFS(Resp[Programa],"IC",Resp[03],B13)</f>
        <v>0</v>
      </c>
      <c r="D13" s="15">
        <f>COUNTIFS(Resp[Programa],"IT",Resp[03],B13)</f>
        <v>0</v>
      </c>
      <c r="E13" s="15">
        <f>COUNTIF(Resp[03],B13)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6</v>
      </c>
      <c r="E17" s="25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5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5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5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5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>
        <f>ROUND(D26/SUM(D$23:D$26)*100,3)</f>
        <v>0</v>
      </c>
    </row>
    <row r="27" spans="2:5" x14ac:dyDescent="0.25">
      <c r="E27" s="9"/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4</v>
      </c>
    </row>
    <row r="2" spans="1:7" x14ac:dyDescent="0.25">
      <c r="A2" s="10" t="str">
        <f>TEXT(A1,"00")</f>
        <v>04</v>
      </c>
      <c r="B2" s="10" t="str">
        <f>VLOOKUP(A$2, IC[], 3, FALSE)</f>
        <v>Avalie a sua experiência no Programa de Iniciação Científica, de Iniciação Tecnológica ou similar, com relação: [À qualidade do trabalho final]</v>
      </c>
    </row>
    <row r="3" spans="1:7" x14ac:dyDescent="0.25">
      <c r="A3" s="7" t="s">
        <v>131</v>
      </c>
      <c r="B3" s="10" t="str">
        <f>VLOOKUP(A$2, IC[], 4, FALSE)</f>
        <v>Alunos IC/IT: Questão 4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COUNTIFS(Resp[Programa],"IC",Resp[04],B7)</f>
        <v>2</v>
      </c>
      <c r="D7" s="10">
        <f>COUNTIFS(Resp[Programa],"IT",Resp[04],B7)</f>
        <v>1</v>
      </c>
      <c r="E7" s="10">
        <f>COUNTIF(Resp[04],B7)</f>
        <v>3</v>
      </c>
      <c r="F7" s="10">
        <f t="shared" ref="F7:F13" si="0">ROUND($E7/E$14*100,2)</f>
        <v>42.86</v>
      </c>
      <c r="G7" s="23">
        <f>ROUND($E7/SUM($E$7:$E$13)*100,3)</f>
        <v>42.856999999999999</v>
      </c>
    </row>
    <row r="8" spans="1:7" x14ac:dyDescent="0.25">
      <c r="B8" s="7" t="s">
        <v>7</v>
      </c>
      <c r="C8" s="10">
        <f>COUNTIFS(Resp[Programa],"IC",Resp[04],B8)</f>
        <v>2</v>
      </c>
      <c r="D8" s="10">
        <f>COUNTIFS(Resp[Programa],"IT",Resp[04],B8)</f>
        <v>0</v>
      </c>
      <c r="E8" s="10">
        <f>COUNTIF(Resp[04],B8)</f>
        <v>2</v>
      </c>
      <c r="F8" s="10">
        <f t="shared" si="0"/>
        <v>28.57</v>
      </c>
      <c r="G8" s="23">
        <f t="shared" ref="G8:G13" si="1">ROUND($E8/SUM($E$7:$E$13)*100,3)</f>
        <v>28.571000000000002</v>
      </c>
    </row>
    <row r="9" spans="1:7" x14ac:dyDescent="0.25">
      <c r="B9" s="7" t="s">
        <v>8</v>
      </c>
      <c r="C9" s="10">
        <f>COUNTIFS(Resp[Programa],"IC",Resp[04],B9)</f>
        <v>1</v>
      </c>
      <c r="D9" s="10">
        <f>COUNTIFS(Resp[Programa],"IT",Resp[04],B9)</f>
        <v>0</v>
      </c>
      <c r="E9" s="10">
        <f>COUNTIF(Resp[04],B9)</f>
        <v>1</v>
      </c>
      <c r="F9" s="10">
        <f t="shared" si="0"/>
        <v>14.29</v>
      </c>
      <c r="G9" s="23">
        <f t="shared" si="1"/>
        <v>14.286</v>
      </c>
    </row>
    <row r="10" spans="1:7" x14ac:dyDescent="0.25">
      <c r="B10" s="7" t="s">
        <v>9</v>
      </c>
      <c r="C10" s="10">
        <f>COUNTIFS(Resp[Programa],"IC",Resp[04],B10)</f>
        <v>0</v>
      </c>
      <c r="D10" s="10">
        <f>COUNTIFS(Resp[Programa],"IT",Resp[04],B10)</f>
        <v>0</v>
      </c>
      <c r="E10" s="10">
        <f>COUNTIF(Resp[04],B10)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COUNTIFS(Resp[Programa],"IC",Resp[04],B11)</f>
        <v>0</v>
      </c>
      <c r="D11" s="10">
        <f>COUNTIFS(Resp[Programa],"IT",Resp[04],B11)</f>
        <v>0</v>
      </c>
      <c r="E11" s="10">
        <f>COUNTIF(Resp[04],B11)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COUNTIFS(Resp[Programa],"IC",Resp[04],B12)</f>
        <v>0</v>
      </c>
      <c r="D12" s="10">
        <f>COUNTIFS(Resp[Programa],"IT",Resp[04],B12)</f>
        <v>0</v>
      </c>
      <c r="E12" s="10">
        <f>COUNTIF(Resp[04],B12)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COUNTIFS(Resp[Programa],"IC",Resp[04],B13)</f>
        <v>1</v>
      </c>
      <c r="D13" s="15">
        <f>COUNTIFS(Resp[Programa],"IT",Resp[04],B13)</f>
        <v>0</v>
      </c>
      <c r="E13" s="15">
        <f>COUNTIF(Resp[04],B13)</f>
        <v>1</v>
      </c>
      <c r="F13" s="15">
        <f t="shared" si="0"/>
        <v>14.29</v>
      </c>
      <c r="G13" s="23">
        <f t="shared" si="1"/>
        <v>14.286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100.00999999999999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4</v>
      </c>
      <c r="E17" s="23">
        <f>ROUND(D17/SUM(D$17:D$20)*100,3)</f>
        <v>66.667000000000002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16.667000000000002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16.667000000000002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7:F29"/>
    </sheetView>
  </sheetViews>
  <sheetFormatPr defaultRowHeight="15" x14ac:dyDescent="0.25"/>
  <cols>
    <col min="1" max="1" width="9.140625" style="7"/>
    <col min="2" max="2" width="22.7109375" style="7" customWidth="1"/>
    <col min="3" max="3" width="32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5</v>
      </c>
    </row>
    <row r="2" spans="1:7" x14ac:dyDescent="0.25">
      <c r="A2" s="10" t="str">
        <f>TEXT(A1,"00")</f>
        <v>05</v>
      </c>
      <c r="B2" s="10" t="str">
        <f>VLOOKUP(A$2, IC[], 3, FALSE)</f>
        <v>Avalie a sua experiência no Programa de Iniciação Científica, de Iniciação Tecnológica ou similar, com relação: [À contribuição para o aperfeiçoamento das habilidades pessoais]</v>
      </c>
    </row>
    <row r="3" spans="1:7" x14ac:dyDescent="0.25">
      <c r="A3" s="7" t="s">
        <v>131</v>
      </c>
      <c r="B3" s="10" t="str">
        <f>VLOOKUP(A$2, IC[], 4, FALSE)</f>
        <v>Alunos IC/IT: Questão 5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COUNTIFS(Resp[Programa],"IC",Resp[05],B7)</f>
        <v>3</v>
      </c>
      <c r="D7" s="10">
        <f>COUNTIFS(Resp[Programa],"IT",Resp[05],B7)</f>
        <v>1</v>
      </c>
      <c r="E7" s="10">
        <f>COUNTIF(Resp[05],B7)</f>
        <v>4</v>
      </c>
      <c r="F7" s="10">
        <f t="shared" ref="F7:F13" si="0">ROUND($E7/E$14*100,2)</f>
        <v>57.14</v>
      </c>
      <c r="G7" s="23">
        <f>ROUND($E7/SUM($E$7:$E$13)*100,3)</f>
        <v>57.143000000000001</v>
      </c>
    </row>
    <row r="8" spans="1:7" x14ac:dyDescent="0.25">
      <c r="B8" s="7" t="s">
        <v>7</v>
      </c>
      <c r="C8" s="10">
        <f>COUNTIFS(Resp[Programa],"IC",Resp[05],B8)</f>
        <v>2</v>
      </c>
      <c r="D8" s="10">
        <f>COUNTIFS(Resp[Programa],"IT",Resp[05],B8)</f>
        <v>0</v>
      </c>
      <c r="E8" s="10">
        <f>COUNTIF(Resp[05],B8)</f>
        <v>2</v>
      </c>
      <c r="F8" s="10">
        <f t="shared" si="0"/>
        <v>28.57</v>
      </c>
      <c r="G8" s="23">
        <f t="shared" ref="G8:G13" si="1">ROUND($E8/SUM($E$7:$E$13)*100,3)</f>
        <v>28.571000000000002</v>
      </c>
    </row>
    <row r="9" spans="1:7" x14ac:dyDescent="0.25">
      <c r="B9" s="7" t="s">
        <v>8</v>
      </c>
      <c r="C9" s="10">
        <f>COUNTIFS(Resp[Programa],"IC",Resp[05],B9)</f>
        <v>1</v>
      </c>
      <c r="D9" s="10">
        <f>COUNTIFS(Resp[Programa],"IT",Resp[05],B9)</f>
        <v>0</v>
      </c>
      <c r="E9" s="10">
        <f>COUNTIF(Resp[05],B9)</f>
        <v>1</v>
      </c>
      <c r="F9" s="10">
        <f t="shared" si="0"/>
        <v>14.29</v>
      </c>
      <c r="G9" s="23">
        <f t="shared" si="1"/>
        <v>14.286</v>
      </c>
    </row>
    <row r="10" spans="1:7" x14ac:dyDescent="0.25">
      <c r="B10" s="7" t="s">
        <v>9</v>
      </c>
      <c r="C10" s="10">
        <f>COUNTIFS(Resp[Programa],"IC",Resp[05],B10)</f>
        <v>0</v>
      </c>
      <c r="D10" s="10">
        <f>COUNTIFS(Resp[Programa],"IT",Resp[05],B10)</f>
        <v>0</v>
      </c>
      <c r="E10" s="10">
        <f>COUNTIF(Resp[05],B10)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COUNTIFS(Resp[Programa],"IC",Resp[05],B11)</f>
        <v>0</v>
      </c>
      <c r="D11" s="10">
        <f>COUNTIFS(Resp[Programa],"IT",Resp[05],B11)</f>
        <v>0</v>
      </c>
      <c r="E11" s="10">
        <f>COUNTIF(Resp[05],B11)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COUNTIFS(Resp[Programa],"IC",Resp[05],B12)</f>
        <v>0</v>
      </c>
      <c r="D12" s="10">
        <f>COUNTIFS(Resp[Programa],"IT",Resp[05],B12)</f>
        <v>0</v>
      </c>
      <c r="E12" s="10">
        <f>COUNTIF(Resp[05],B12)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COUNTIFS(Resp[Programa],"IC",Resp[05],B13)</f>
        <v>0</v>
      </c>
      <c r="D13" s="15">
        <f>COUNTIFS(Resp[Programa],"IT",Resp[05],B13)</f>
        <v>0</v>
      </c>
      <c r="E13" s="15">
        <f>COUNTIF(Resp[05],B13)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5</v>
      </c>
      <c r="E17" s="23">
        <f>ROUND(D17/SUM(D$17:D$20)*100,3)</f>
        <v>83.332999999999998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16.667000000000002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30" sqref="F30"/>
    </sheetView>
  </sheetViews>
  <sheetFormatPr defaultRowHeight="15" x14ac:dyDescent="0.25"/>
  <cols>
    <col min="1" max="1" width="9.140625" style="7"/>
    <col min="2" max="2" width="22.7109375" style="7" customWidth="1"/>
    <col min="3" max="3" width="35.42578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6</v>
      </c>
    </row>
    <row r="2" spans="1:7" x14ac:dyDescent="0.25">
      <c r="A2" s="10" t="str">
        <f>TEXT(A1,"00")</f>
        <v>06</v>
      </c>
      <c r="B2" s="10" t="str">
        <f>VLOOKUP(A$2, IC[], 3, FALSE)</f>
        <v>Com relação ao Programa de Iniciação Científica, de Iniciação Tecnológica ou similar, opine sobre: [O calendário]</v>
      </c>
    </row>
    <row r="3" spans="1:7" x14ac:dyDescent="0.25">
      <c r="A3" s="7" t="s">
        <v>131</v>
      </c>
      <c r="B3" s="10" t="str">
        <f>VLOOKUP(A$2, IC[], 4, FALSE)</f>
        <v>Alunos IC/IT: Questão 6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COUNTIFS(Resp[Programa],"IC",Resp[06],B7)</f>
        <v>2</v>
      </c>
      <c r="D7" s="10">
        <f>COUNTIFS(Resp[Programa],"IT",Resp[06],B7)</f>
        <v>0</v>
      </c>
      <c r="E7" s="10">
        <f>COUNTIF(Resp[06],B7)</f>
        <v>2</v>
      </c>
      <c r="F7" s="10">
        <f t="shared" ref="F7:F13" si="0">ROUND($E7/E$14*100,2)</f>
        <v>28.57</v>
      </c>
      <c r="G7" s="23">
        <f>ROUND($E7/SUM($E$7:$E$13)*100,3)</f>
        <v>28.571000000000002</v>
      </c>
    </row>
    <row r="8" spans="1:7" x14ac:dyDescent="0.25">
      <c r="B8" s="7" t="s">
        <v>7</v>
      </c>
      <c r="C8" s="10">
        <f>COUNTIFS(Resp[Programa],"IC",Resp[06],B8)</f>
        <v>2</v>
      </c>
      <c r="D8" s="10">
        <f>COUNTIFS(Resp[Programa],"IT",Resp[06],B8)</f>
        <v>1</v>
      </c>
      <c r="E8" s="10">
        <f>COUNTIF(Resp[06],B8)</f>
        <v>3</v>
      </c>
      <c r="F8" s="10">
        <f t="shared" si="0"/>
        <v>42.86</v>
      </c>
      <c r="G8" s="23">
        <f t="shared" ref="G8:G13" si="1">ROUND($E8/SUM($E$7:$E$13)*100,3)</f>
        <v>42.856999999999999</v>
      </c>
    </row>
    <row r="9" spans="1:7" x14ac:dyDescent="0.25">
      <c r="B9" s="7" t="s">
        <v>8</v>
      </c>
      <c r="C9" s="10">
        <f>COUNTIFS(Resp[Programa],"IC",Resp[06],B9)</f>
        <v>2</v>
      </c>
      <c r="D9" s="10">
        <f>COUNTIFS(Resp[Programa],"IT",Resp[06],B9)</f>
        <v>0</v>
      </c>
      <c r="E9" s="10">
        <f>COUNTIF(Resp[06],B9)</f>
        <v>2</v>
      </c>
      <c r="F9" s="10">
        <f t="shared" si="0"/>
        <v>28.57</v>
      </c>
      <c r="G9" s="23">
        <f t="shared" si="1"/>
        <v>28.571000000000002</v>
      </c>
    </row>
    <row r="10" spans="1:7" x14ac:dyDescent="0.25">
      <c r="B10" s="7" t="s">
        <v>9</v>
      </c>
      <c r="C10" s="10">
        <f>COUNTIFS(Resp[Programa],"IC",Resp[06],B10)</f>
        <v>0</v>
      </c>
      <c r="D10" s="10">
        <f>COUNTIFS(Resp[Programa],"IT",Resp[06],B10)</f>
        <v>0</v>
      </c>
      <c r="E10" s="10">
        <f>COUNTIF(Resp[06],B10)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COUNTIFS(Resp[Programa],"IC",Resp[06],B11)</f>
        <v>0</v>
      </c>
      <c r="D11" s="10">
        <f>COUNTIFS(Resp[Programa],"IT",Resp[06],B11)</f>
        <v>0</v>
      </c>
      <c r="E11" s="10">
        <f>COUNTIF(Resp[06],B11)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COUNTIFS(Resp[Programa],"IC",Resp[06],B12)</f>
        <v>0</v>
      </c>
      <c r="D12" s="10">
        <f>COUNTIFS(Resp[Programa],"IT",Resp[06],B12)</f>
        <v>0</v>
      </c>
      <c r="E12" s="10">
        <f>COUNTIF(Resp[06],B12)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COUNTIFS(Resp[Programa],"IC",Resp[06],B13)</f>
        <v>0</v>
      </c>
      <c r="D13" s="15">
        <f>COUNTIFS(Resp[Programa],"IT",Resp[06],B13)</f>
        <v>0</v>
      </c>
      <c r="E13" s="15">
        <f>COUNTIF(Resp[06],B13)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6</v>
      </c>
      <c r="D14" s="7">
        <f>SUM(D6:D13)</f>
        <v>1</v>
      </c>
      <c r="E14" s="7">
        <f>SUM(C14:D14)</f>
        <v>7</v>
      </c>
      <c r="F14" s="13">
        <f>SUM(F6:F13)</f>
        <v>100</v>
      </c>
      <c r="G14" s="14">
        <f>SUM(G7:G13)</f>
        <v>99.998999999999995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4</v>
      </c>
      <c r="E17" s="23">
        <f>ROUND(D17/SUM(D$17:D$20)*100,3)</f>
        <v>66.667000000000002</v>
      </c>
    </row>
    <row r="18" spans="2:5" x14ac:dyDescent="0.25">
      <c r="B18" s="19" t="s">
        <v>18</v>
      </c>
      <c r="C18" s="7" t="s">
        <v>8</v>
      </c>
      <c r="D18" s="7">
        <f>C9</f>
        <v>2</v>
      </c>
      <c r="E18" s="23">
        <f>ROUND(D18/SUM(D$17:D$20)*100,3)</f>
        <v>33.332999999999998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31</vt:i4>
      </vt:variant>
    </vt:vector>
  </HeadingPairs>
  <TitlesOfParts>
    <vt:vector size="31" baseType="lpstr">
      <vt:lpstr>OrientaçõesInformações</vt:lpstr>
      <vt:lpstr>IC-IT</vt:lpstr>
      <vt:lpstr>TítuloQuestões</vt:lpstr>
      <vt:lpstr>Q01</vt:lpstr>
      <vt:lpstr>Q02</vt:lpstr>
      <vt:lpstr>Q03</vt:lpstr>
      <vt:lpstr>Q04</vt:lpstr>
      <vt:lpstr>Q05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Q26</vt:lpstr>
      <vt:lpstr>Q27</vt:lpstr>
      <vt:lpstr>Q29</vt:lpstr>
      <vt:lpstr>Q30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Roberta</cp:lastModifiedBy>
  <cp:revision/>
  <dcterms:created xsi:type="dcterms:W3CDTF">2022-01-12T12:46:45Z</dcterms:created>
  <dcterms:modified xsi:type="dcterms:W3CDTF">2022-02-02T13:50:13Z</dcterms:modified>
  <cp:category/>
  <cp:contentStatus/>
</cp:coreProperties>
</file>