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6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8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1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2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3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4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15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6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7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8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9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1.xml" ContentType="application/vnd.openxmlformats-officedocument.drawing+xml"/>
  <Override PartName="/xl/charts/chart57.xml" ContentType="application/vnd.openxmlformats-officedocument.drawingml.chart+xml"/>
  <Override PartName="/xl/drawings/drawing2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23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24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2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26.xml" ContentType="application/vnd.openxmlformats-officedocument.drawing+xml"/>
  <Override PartName="/xl/charts/chart70.xml" ContentType="application/vnd.openxmlformats-officedocument.drawingml.chart+xml"/>
  <Override PartName="/xl/drawings/drawing2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2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29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3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31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2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33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34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35.xml" ContentType="application/vnd.openxmlformats-officedocument.drawing+xml"/>
  <Override PartName="/xl/charts/chart95.xml" ContentType="application/vnd.openxmlformats-officedocument.drawingml.chart+xml"/>
  <Override PartName="/xl/drawings/drawing36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drawings/drawing37.xml" ContentType="application/vnd.openxmlformats-officedocument.drawing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38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drawings/drawing39.xml" ContentType="application/vnd.openxmlformats-officedocument.drawing+xml"/>
  <Override PartName="/xl/charts/chart105.xml" ContentType="application/vnd.openxmlformats-officedocument.drawingml.chart+xml"/>
  <Override PartName="/xl/drawings/drawing40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41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2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43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44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5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46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47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48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49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50.xml" ContentType="application/vnd.openxmlformats-officedocument.drawing+xml"/>
  <Override PartName="/xl/charts/chart136.xml" ContentType="application/vnd.openxmlformats-officedocument.drawingml.chart+xml"/>
  <Override PartName="/xl/drawings/drawing51.xml" ContentType="application/vnd.openxmlformats-officedocument.drawing+xml"/>
  <Override PartName="/xl/charts/chart137.xml" ContentType="application/vnd.openxmlformats-officedocument.drawingml.chart+xml"/>
  <Override PartName="/xl/drawings/drawing52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53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drawings/drawing54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drawings/drawing55.xml" ContentType="application/vnd.openxmlformats-officedocument.drawing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56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drawings/drawing57.xml" ContentType="application/vnd.openxmlformats-officedocument.drawing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5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drawings/drawing59.xml" ContentType="application/vnd.openxmlformats-officedocument.drawing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60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drawings/drawing61.xml" ContentType="application/vnd.openxmlformats-officedocument.drawing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62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63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64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drawings/drawing65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drawings/drawing66.xml" ContentType="application/vnd.openxmlformats-officedocument.drawing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drawings/drawing67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drawings/drawing68.xml" ContentType="application/vnd.openxmlformats-officedocument.drawing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9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drawings/drawing70.xml" ContentType="application/vnd.openxmlformats-officedocument.drawing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drawings/drawing7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72.xml" ContentType="application/vnd.openxmlformats-officedocument.drawing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73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drawings/drawing74.xml" ContentType="application/vnd.openxmlformats-officedocument.drawing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drawings/drawing75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drawings/drawing76.xml" ContentType="application/vnd.openxmlformats-officedocument.drawing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drawings/drawing77.xml" ContentType="application/vnd.openxmlformats-officedocument.drawing+xml"/>
  <Override PartName="/xl/charts/chart213.xml" ContentType="application/vnd.openxmlformats-officedocument.drawingml.chart+xml"/>
  <Override PartName="/xl/drawings/drawing78.xml" ContentType="application/vnd.openxmlformats-officedocument.drawing+xml"/>
  <Override PartName="/xl/charts/chart214.xml" ContentType="application/vnd.openxmlformats-officedocument.drawingml.chart+xml"/>
  <Override PartName="/xl/drawings/drawing79.xml" ContentType="application/vnd.openxmlformats-officedocument.drawing+xml"/>
  <Override PartName="/xl/charts/chart215.xml" ContentType="application/vnd.openxmlformats-officedocument.drawingml.chart+xml"/>
  <Override PartName="/xl/drawings/drawing80.xml" ContentType="application/vnd.openxmlformats-officedocument.drawing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drawings/drawing81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drawings/drawing82.xml" ContentType="application/vnd.openxmlformats-officedocument.drawing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drawings/drawing83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84.xml" ContentType="application/vnd.openxmlformats-officedocument.drawing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8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drawings/drawing86.xml" ContentType="application/vnd.openxmlformats-officedocument.drawing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drawings/drawing87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88.xml" ContentType="application/vnd.openxmlformats-officedocument.drawing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drawings/drawing89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drawings/drawing90.xml" ContentType="application/vnd.openxmlformats-officedocument.drawing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91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drawings/drawing92.xml" ContentType="application/vnd.openxmlformats-officedocument.drawing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drawings/drawing93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94.xml" ContentType="application/vnd.openxmlformats-officedocument.drawing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9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drawings/drawing96.xml" ContentType="application/vnd.openxmlformats-officedocument.drawing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drawings/drawing97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drawings/drawing98.xml" ContentType="application/vnd.openxmlformats-officedocument.drawing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drawings/drawing99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drawings/drawing100.xml" ContentType="application/vnd.openxmlformats-officedocument.drawing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drawings/drawing101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drawings/drawing102.xml" ContentType="application/vnd.openxmlformats-officedocument.drawing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drawings/drawing103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104.xml" ContentType="application/vnd.openxmlformats-officedocument.drawing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10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drawings/drawing106.xml" ContentType="application/vnd.openxmlformats-officedocument.drawing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drawings/drawing107.xml" ContentType="application/vnd.openxmlformats-officedocument.drawing+xml"/>
  <Override PartName="/xl/charts/chart297.xml" ContentType="application/vnd.openxmlformats-officedocument.drawingml.chart+xml"/>
  <Override PartName="/xl/drawings/drawing108.xml" ContentType="application/vnd.openxmlformats-officedocument.drawing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109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drawings/drawing110.xml" ContentType="application/vnd.openxmlformats-officedocument.drawing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111.xml" ContentType="application/vnd.openxmlformats-officedocument.drawing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drawings/drawing112.xml" ContentType="application/vnd.openxmlformats-officedocument.drawing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113.xml" ContentType="application/vnd.openxmlformats-officedocument.drawing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drawings/drawing114.xml" ContentType="application/vnd.openxmlformats-officedocument.drawing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115.xml" ContentType="application/vnd.openxmlformats-officedocument.drawing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drawings/drawing116.xml" ContentType="application/vnd.openxmlformats-officedocument.drawing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117.xml" ContentType="application/vnd.openxmlformats-officedocument.drawing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118.xml" ContentType="application/vnd.openxmlformats-officedocument.drawing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119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drawings/drawing120.xml" ContentType="application/vnd.openxmlformats-officedocument.drawing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121.xml" ContentType="application/vnd.openxmlformats-officedocument.drawing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drawings/drawing122.xml" ContentType="application/vnd.openxmlformats-officedocument.drawing+xml"/>
  <Override PartName="/xl/charts/chart340.xml" ContentType="application/vnd.openxmlformats-officedocument.drawingml.chart+xml"/>
  <Override PartName="/xl/drawings/drawing123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drawings/drawing124.xml" ContentType="application/vnd.openxmlformats-officedocument.drawing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125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drawings/drawing126.xml" ContentType="application/vnd.openxmlformats-officedocument.drawing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127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drawings/drawing128.xml" ContentType="application/vnd.openxmlformats-officedocument.drawing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  <Override PartName="/xl/charts/colors10.xml" ContentType="application/vnd.ms-office.chartcolorstyle+xml"/>
  <Override PartName="/xl/charts/style10.xml" ContentType="application/vnd.ms-office.chartstyle+xml"/>
  <Override PartName="/xl/charts/colors11.xml" ContentType="application/vnd.ms-office.chartcolorstyle+xml"/>
  <Override PartName="/xl/charts/style11.xml" ContentType="application/vnd.ms-office.chartstyle+xml"/>
  <Override PartName="/xl/charts/colors12.xml" ContentType="application/vnd.ms-office.chartcolorstyle+xml"/>
  <Override PartName="/xl/charts/style12.xml" ContentType="application/vnd.ms-office.chartstyle+xml"/>
  <Override PartName="/xl/charts/colors13.xml" ContentType="application/vnd.ms-office.chartcolorstyle+xml"/>
  <Override PartName="/xl/charts/style13.xml" ContentType="application/vnd.ms-office.chartstyle+xml"/>
  <Override PartName="/xl/charts/colors14.xml" ContentType="application/vnd.ms-office.chartcolorstyle+xml"/>
  <Override PartName="/xl/charts/style14.xml" ContentType="application/vnd.ms-office.chartstyle+xml"/>
  <Override PartName="/xl/charts/colors15.xml" ContentType="application/vnd.ms-office.chartcolorstyle+xml"/>
  <Override PartName="/xl/charts/style15.xml" ContentType="application/vnd.ms-office.chartstyle+xml"/>
  <Override PartName="/xl/charts/colors16.xml" ContentType="application/vnd.ms-office.chartcolorstyle+xml"/>
  <Override PartName="/xl/charts/style16.xml" ContentType="application/vnd.ms-office.chartstyle+xml"/>
  <Override PartName="/xl/charts/colors17.xml" ContentType="application/vnd.ms-office.chartcolorstyle+xml"/>
  <Override PartName="/xl/charts/style17.xml" ContentType="application/vnd.ms-office.chartstyle+xml"/>
  <Override PartName="/xl/charts/colors18.xml" ContentType="application/vnd.ms-office.chartcolorstyle+xml"/>
  <Override PartName="/xl/charts/style18.xml" ContentType="application/vnd.ms-office.chartstyle+xml"/>
  <Override PartName="/xl/charts/colors19.xml" ContentType="application/vnd.ms-office.chartcolorstyle+xml"/>
  <Override PartName="/xl/charts/style19.xml" ContentType="application/vnd.ms-office.chartstyle+xml"/>
  <Override PartName="/xl/charts/colors20.xml" ContentType="application/vnd.ms-office.chartcolorstyle+xml"/>
  <Override PartName="/xl/charts/style20.xml" ContentType="application/vnd.ms-office.chartstyle+xml"/>
  <Override PartName="/xl/charts/colors21.xml" ContentType="application/vnd.ms-office.chartcolorstyle+xml"/>
  <Override PartName="/xl/charts/style21.xml" ContentType="application/vnd.ms-office.chartstyle+xml"/>
  <Override PartName="/xl/charts/colors22.xml" ContentType="application/vnd.ms-office.chartcolorstyle+xml"/>
  <Override PartName="/xl/charts/style22.xml" ContentType="application/vnd.ms-office.chartstyle+xml"/>
  <Override PartName="/xl/charts/colors23.xml" ContentType="application/vnd.ms-office.chartcolorstyle+xml"/>
  <Override PartName="/xl/charts/style23.xml" ContentType="application/vnd.ms-office.chartstyle+xml"/>
  <Override PartName="/xl/charts/colors24.xml" ContentType="application/vnd.ms-office.chartcolorstyle+xml"/>
  <Override PartName="/xl/charts/style24.xml" ContentType="application/vnd.ms-office.chartstyle+xml"/>
  <Override PartName="/xl/charts/colors25.xml" ContentType="application/vnd.ms-office.chartcolorstyle+xml"/>
  <Override PartName="/xl/charts/style25.xml" ContentType="application/vnd.ms-office.chartstyle+xml"/>
  <Override PartName="/xl/charts/colors26.xml" ContentType="application/vnd.ms-office.chartcolorstyle+xml"/>
  <Override PartName="/xl/charts/style26.xml" ContentType="application/vnd.ms-office.chartstyle+xml"/>
  <Override PartName="/xl/charts/colors27.xml" ContentType="application/vnd.ms-office.chartcolorstyle+xml"/>
  <Override PartName="/xl/charts/style27.xml" ContentType="application/vnd.ms-office.chartstyle+xml"/>
  <Override PartName="/xl/charts/colors28.xml" ContentType="application/vnd.ms-office.chartcolorstyle+xml"/>
  <Override PartName="/xl/charts/style28.xml" ContentType="application/vnd.ms-office.chartstyle+xml"/>
  <Override PartName="/xl/charts/colors29.xml" ContentType="application/vnd.ms-office.chartcolorstyle+xml"/>
  <Override PartName="/xl/charts/style29.xml" ContentType="application/vnd.ms-office.chartstyle+xml"/>
  <Override PartName="/xl/charts/colors30.xml" ContentType="application/vnd.ms-office.chartcolorstyle+xml"/>
  <Override PartName="/xl/charts/style30.xml" ContentType="application/vnd.ms-office.chartstyle+xml"/>
  <Override PartName="/xl/charts/colors31.xml" ContentType="application/vnd.ms-office.chartcolorstyle+xml"/>
  <Override PartName="/xl/charts/style31.xml" ContentType="application/vnd.ms-office.chartstyle+xml"/>
  <Override PartName="/xl/charts/colors32.xml" ContentType="application/vnd.ms-office.chartcolorstyle+xml"/>
  <Override PartName="/xl/charts/style32.xml" ContentType="application/vnd.ms-office.chartstyle+xml"/>
  <Override PartName="/xl/charts/colors33.xml" ContentType="application/vnd.ms-office.chartcolorstyle+xml"/>
  <Override PartName="/xl/charts/style33.xml" ContentType="application/vnd.ms-office.chartstyle+xml"/>
  <Override PartName="/xl/charts/colors34.xml" ContentType="application/vnd.ms-office.chartcolorstyle+xml"/>
  <Override PartName="/xl/charts/style34.xml" ContentType="application/vnd.ms-office.chartstyle+xml"/>
  <Override PartName="/xl/charts/colors35.xml" ContentType="application/vnd.ms-office.chartcolorstyle+xml"/>
  <Override PartName="/xl/charts/style35.xml" ContentType="application/vnd.ms-office.chartstyle+xml"/>
  <Override PartName="/xl/charts/colors36.xml" ContentType="application/vnd.ms-office.chartcolorstyle+xml"/>
  <Override PartName="/xl/charts/style36.xml" ContentType="application/vnd.ms-office.chartstyle+xml"/>
  <Override PartName="/xl/charts/colors37.xml" ContentType="application/vnd.ms-office.chartcolorstyle+xml"/>
  <Override PartName="/xl/charts/style37.xml" ContentType="application/vnd.ms-office.chartstyle+xml"/>
  <Override PartName="/xl/charts/colors38.xml" ContentType="application/vnd.ms-office.chartcolorstyle+xml"/>
  <Override PartName="/xl/charts/style38.xml" ContentType="application/vnd.ms-office.chartstyle+xml"/>
  <Override PartName="/xl/charts/colors39.xml" ContentType="application/vnd.ms-office.chartcolorstyle+xml"/>
  <Override PartName="/xl/charts/style39.xml" ContentType="application/vnd.ms-office.chartstyle+xml"/>
  <Override PartName="/xl/charts/colors40.xml" ContentType="application/vnd.ms-office.chartcolorstyle+xml"/>
  <Override PartName="/xl/charts/style40.xml" ContentType="application/vnd.ms-office.chartstyle+xml"/>
  <Override PartName="/xl/charts/colors41.xml" ContentType="application/vnd.ms-office.chartcolorstyle+xml"/>
  <Override PartName="/xl/charts/style41.xml" ContentType="application/vnd.ms-office.chartstyle+xml"/>
  <Override PartName="/xl/charts/colors42.xml" ContentType="application/vnd.ms-office.chartcolorstyle+xml"/>
  <Override PartName="/xl/charts/style42.xml" ContentType="application/vnd.ms-office.chartstyle+xml"/>
  <Override PartName="/xl/charts/colors43.xml" ContentType="application/vnd.ms-office.chartcolorstyle+xml"/>
  <Override PartName="/xl/charts/style43.xml" ContentType="application/vnd.ms-office.chartstyle+xml"/>
  <Override PartName="/xl/charts/colors44.xml" ContentType="application/vnd.ms-office.chartcolorstyle+xml"/>
  <Override PartName="/xl/charts/style44.xml" ContentType="application/vnd.ms-office.chartstyle+xml"/>
  <Override PartName="/xl/charts/colors45.xml" ContentType="application/vnd.ms-office.chartcolorstyle+xml"/>
  <Override PartName="/xl/charts/style45.xml" ContentType="application/vnd.ms-office.chartstyle+xml"/>
  <Override PartName="/xl/charts/colors46.xml" ContentType="application/vnd.ms-office.chartcolorstyle+xml"/>
  <Override PartName="/xl/charts/style46.xml" ContentType="application/vnd.ms-office.chartstyle+xml"/>
  <Override PartName="/xl/charts/colors47.xml" ContentType="application/vnd.ms-office.chartcolorstyle+xml"/>
  <Override PartName="/xl/charts/style47.xml" ContentType="application/vnd.ms-office.chartstyle+xml"/>
  <Override PartName="/xl/charts/colors48.xml" ContentType="application/vnd.ms-office.chartcolorstyle+xml"/>
  <Override PartName="/xl/charts/style48.xml" ContentType="application/vnd.ms-office.chartstyle+xml"/>
  <Override PartName="/xl/charts/colors49.xml" ContentType="application/vnd.ms-office.chartcolorstyle+xml"/>
  <Override PartName="/xl/charts/style49.xml" ContentType="application/vnd.ms-office.chartstyle+xml"/>
  <Override PartName="/xl/charts/colors50.xml" ContentType="application/vnd.ms-office.chartcolorstyle+xml"/>
  <Override PartName="/xl/charts/style50.xml" ContentType="application/vnd.ms-office.chartstyle+xml"/>
  <Override PartName="/xl/charts/colors51.xml" ContentType="application/vnd.ms-office.chartcolorstyle+xml"/>
  <Override PartName="/xl/charts/style51.xml" ContentType="application/vnd.ms-office.chartstyle+xml"/>
  <Override PartName="/xl/charts/colors52.xml" ContentType="application/vnd.ms-office.chartcolorstyle+xml"/>
  <Override PartName="/xl/charts/style52.xml" ContentType="application/vnd.ms-office.chartstyle+xml"/>
  <Override PartName="/xl/charts/colors53.xml" ContentType="application/vnd.ms-office.chartcolorstyle+xml"/>
  <Override PartName="/xl/charts/style53.xml" ContentType="application/vnd.ms-office.chartstyle+xml"/>
  <Override PartName="/xl/charts/colors54.xml" ContentType="application/vnd.ms-office.chartcolorstyle+xml"/>
  <Override PartName="/xl/charts/style54.xml" ContentType="application/vnd.ms-office.chartstyle+xml"/>
  <Override PartName="/xl/charts/colors55.xml" ContentType="application/vnd.ms-office.chartcolorstyle+xml"/>
  <Override PartName="/xl/charts/style55.xml" ContentType="application/vnd.ms-office.chartstyle+xml"/>
  <Override PartName="/xl/charts/colors56.xml" ContentType="application/vnd.ms-office.chartcolorstyle+xml"/>
  <Override PartName="/xl/charts/style56.xml" ContentType="application/vnd.ms-office.chartstyle+xml"/>
  <Override PartName="/xl/charts/colors57.xml" ContentType="application/vnd.ms-office.chartcolorstyle+xml"/>
  <Override PartName="/xl/charts/style57.xml" ContentType="application/vnd.ms-office.chartstyle+xml"/>
  <Override PartName="/xl/charts/colors58.xml" ContentType="application/vnd.ms-office.chartcolorstyle+xml"/>
  <Override PartName="/xl/charts/style58.xml" ContentType="application/vnd.ms-office.chartstyle+xml"/>
  <Override PartName="/xl/charts/colors59.xml" ContentType="application/vnd.ms-office.chartcolorstyle+xml"/>
  <Override PartName="/xl/charts/style59.xml" ContentType="application/vnd.ms-office.chartstyle+xml"/>
  <Override PartName="/xl/charts/colors60.xml" ContentType="application/vnd.ms-office.chartcolorstyle+xml"/>
  <Override PartName="/xl/charts/style60.xml" ContentType="application/vnd.ms-office.chartstyle+xml"/>
  <Override PartName="/xl/charts/colors61.xml" ContentType="application/vnd.ms-office.chartcolorstyle+xml"/>
  <Override PartName="/xl/charts/style61.xml" ContentType="application/vnd.ms-office.chartstyle+xml"/>
  <Override PartName="/xl/charts/colors62.xml" ContentType="application/vnd.ms-office.chartcolorstyle+xml"/>
  <Override PartName="/xl/charts/style62.xml" ContentType="application/vnd.ms-office.chartstyle+xml"/>
  <Override PartName="/xl/charts/colors63.xml" ContentType="application/vnd.ms-office.chartcolorstyle+xml"/>
  <Override PartName="/xl/charts/style63.xml" ContentType="application/vnd.ms-office.chartstyle+xml"/>
  <Override PartName="/xl/charts/colors64.xml" ContentType="application/vnd.ms-office.chartcolorstyle+xml"/>
  <Override PartName="/xl/charts/style64.xml" ContentType="application/vnd.ms-office.chartstyle+xml"/>
  <Override PartName="/xl/charts/colors65.xml" ContentType="application/vnd.ms-office.chartcolorstyle+xml"/>
  <Override PartName="/xl/charts/style65.xml" ContentType="application/vnd.ms-office.chartstyle+xml"/>
  <Override PartName="/xl/charts/colors66.xml" ContentType="application/vnd.ms-office.chartcolorstyle+xml"/>
  <Override PartName="/xl/charts/style66.xml" ContentType="application/vnd.ms-office.chartstyle+xml"/>
  <Override PartName="/xl/charts/colors67.xml" ContentType="application/vnd.ms-office.chartcolorstyle+xml"/>
  <Override PartName="/xl/charts/style67.xml" ContentType="application/vnd.ms-office.chartstyle+xml"/>
  <Override PartName="/xl/charts/colors68.xml" ContentType="application/vnd.ms-office.chartcolorstyle+xml"/>
  <Override PartName="/xl/charts/style68.xml" ContentType="application/vnd.ms-office.chartstyle+xml"/>
  <Override PartName="/xl/charts/colors69.xml" ContentType="application/vnd.ms-office.chartcolorstyle+xml"/>
  <Override PartName="/xl/charts/style69.xml" ContentType="application/vnd.ms-office.chartstyle+xml"/>
  <Override PartName="/xl/charts/colors70.xml" ContentType="application/vnd.ms-office.chartcolorstyle+xml"/>
  <Override PartName="/xl/charts/style70.xml" ContentType="application/vnd.ms-office.chartstyle+xml"/>
  <Override PartName="/xl/charts/colors71.xml" ContentType="application/vnd.ms-office.chartcolorstyle+xml"/>
  <Override PartName="/xl/charts/style71.xml" ContentType="application/vnd.ms-office.chartstyle+xml"/>
  <Override PartName="/xl/charts/colors72.xml" ContentType="application/vnd.ms-office.chartcolorstyle+xml"/>
  <Override PartName="/xl/charts/style72.xml" ContentType="application/vnd.ms-office.chartstyle+xml"/>
  <Override PartName="/xl/charts/colors73.xml" ContentType="application/vnd.ms-office.chartcolorstyle+xml"/>
  <Override PartName="/xl/charts/style73.xml" ContentType="application/vnd.ms-office.chartstyle+xml"/>
  <Override PartName="/xl/charts/colors74.xml" ContentType="application/vnd.ms-office.chartcolorstyle+xml"/>
  <Override PartName="/xl/charts/style74.xml" ContentType="application/vnd.ms-office.chartstyle+xml"/>
  <Override PartName="/xl/charts/colors75.xml" ContentType="application/vnd.ms-office.chartcolorstyle+xml"/>
  <Override PartName="/xl/charts/style75.xml" ContentType="application/vnd.ms-office.chartstyle+xml"/>
  <Override PartName="/xl/charts/colors76.xml" ContentType="application/vnd.ms-office.chartcolorstyle+xml"/>
  <Override PartName="/xl/charts/style76.xml" ContentType="application/vnd.ms-office.chartstyle+xml"/>
  <Override PartName="/xl/charts/colors77.xml" ContentType="application/vnd.ms-office.chartcolorstyle+xml"/>
  <Override PartName="/xl/charts/style77.xml" ContentType="application/vnd.ms-office.chartstyle+xml"/>
  <Override PartName="/xl/charts/colors78.xml" ContentType="application/vnd.ms-office.chartcolorstyle+xml"/>
  <Override PartName="/xl/charts/style78.xml" ContentType="application/vnd.ms-office.chartstyle+xml"/>
  <Override PartName="/xl/charts/colors79.xml" ContentType="application/vnd.ms-office.chartcolorstyle+xml"/>
  <Override PartName="/xl/charts/style79.xml" ContentType="application/vnd.ms-office.chartstyle+xml"/>
  <Override PartName="/xl/charts/colors80.xml" ContentType="application/vnd.ms-office.chartcolorstyle+xml"/>
  <Override PartName="/xl/charts/style80.xml" ContentType="application/vnd.ms-office.chartstyle+xml"/>
  <Override PartName="/xl/charts/colors81.xml" ContentType="application/vnd.ms-office.chartcolorstyle+xml"/>
  <Override PartName="/xl/charts/style81.xml" ContentType="application/vnd.ms-office.chartstyle+xml"/>
  <Override PartName="/xl/charts/colors82.xml" ContentType="application/vnd.ms-office.chartcolorstyle+xml"/>
  <Override PartName="/xl/charts/style82.xml" ContentType="application/vnd.ms-office.chartstyle+xml"/>
  <Override PartName="/xl/charts/colors83.xml" ContentType="application/vnd.ms-office.chartcolorstyle+xml"/>
  <Override PartName="/xl/charts/style83.xml" ContentType="application/vnd.ms-office.chartstyle+xml"/>
  <Override PartName="/xl/charts/colors84.xml" ContentType="application/vnd.ms-office.chartcolorstyle+xml"/>
  <Override PartName="/xl/charts/style84.xml" ContentType="application/vnd.ms-office.chartstyle+xml"/>
  <Override PartName="/xl/charts/colors85.xml" ContentType="application/vnd.ms-office.chartcolorstyle+xml"/>
  <Override PartName="/xl/charts/style85.xml" ContentType="application/vnd.ms-office.chartstyle+xml"/>
  <Override PartName="/xl/charts/colors86.xml" ContentType="application/vnd.ms-office.chartcolorstyle+xml"/>
  <Override PartName="/xl/charts/style86.xml" ContentType="application/vnd.ms-office.chartstyle+xml"/>
  <Override PartName="/xl/charts/colors87.xml" ContentType="application/vnd.ms-office.chartcolorstyle+xml"/>
  <Override PartName="/xl/charts/style87.xml" ContentType="application/vnd.ms-office.chartstyle+xml"/>
  <Override PartName="/xl/charts/colors88.xml" ContentType="application/vnd.ms-office.chartcolorstyle+xml"/>
  <Override PartName="/xl/charts/style88.xml" ContentType="application/vnd.ms-office.chartstyle+xml"/>
  <Override PartName="/xl/charts/colors89.xml" ContentType="application/vnd.ms-office.chartcolorstyle+xml"/>
  <Override PartName="/xl/charts/style89.xml" ContentType="application/vnd.ms-office.chartstyle+xml"/>
  <Override PartName="/xl/charts/colors90.xml" ContentType="application/vnd.ms-office.chartcolorstyle+xml"/>
  <Override PartName="/xl/charts/style90.xml" ContentType="application/vnd.ms-office.chartstyle+xml"/>
  <Override PartName="/xl/charts/colors91.xml" ContentType="application/vnd.ms-office.chartcolorstyle+xml"/>
  <Override PartName="/xl/charts/style91.xml" ContentType="application/vnd.ms-office.chartstyle+xml"/>
  <Override PartName="/xl/charts/colors92.xml" ContentType="application/vnd.ms-office.chartcolorstyle+xml"/>
  <Override PartName="/xl/charts/style92.xml" ContentType="application/vnd.ms-office.chartstyle+xml"/>
  <Override PartName="/xl/charts/colors93.xml" ContentType="application/vnd.ms-office.chartcolorstyle+xml"/>
  <Override PartName="/xl/charts/style93.xml" ContentType="application/vnd.ms-office.chartstyle+xml"/>
  <Override PartName="/xl/charts/colors94.xml" ContentType="application/vnd.ms-office.chartcolorstyle+xml"/>
  <Override PartName="/xl/charts/style94.xml" ContentType="application/vnd.ms-office.chartstyle+xml"/>
  <Override PartName="/xl/charts/colors95.xml" ContentType="application/vnd.ms-office.chartcolorstyle+xml"/>
  <Override PartName="/xl/charts/style95.xml" ContentType="application/vnd.ms-office.chartstyle+xml"/>
  <Override PartName="/xl/charts/colors96.xml" ContentType="application/vnd.ms-office.chartcolorstyle+xml"/>
  <Override PartName="/xl/charts/style96.xml" ContentType="application/vnd.ms-office.chartstyle+xml"/>
  <Override PartName="/xl/charts/colors97.xml" ContentType="application/vnd.ms-office.chartcolorstyle+xml"/>
  <Override PartName="/xl/charts/style97.xml" ContentType="application/vnd.ms-office.chartstyle+xml"/>
  <Override PartName="/xl/charts/colors98.xml" ContentType="application/vnd.ms-office.chartcolorstyle+xml"/>
  <Override PartName="/xl/charts/style98.xml" ContentType="application/vnd.ms-office.chartstyle+xml"/>
  <Override PartName="/xl/charts/colors99.xml" ContentType="application/vnd.ms-office.chartcolorstyle+xml"/>
  <Override PartName="/xl/charts/style99.xml" ContentType="application/vnd.ms-office.chartstyle+xml"/>
  <Override PartName="/xl/charts/colors100.xml" ContentType="application/vnd.ms-office.chartcolorstyle+xml"/>
  <Override PartName="/xl/charts/style100.xml" ContentType="application/vnd.ms-office.chartstyle+xml"/>
  <Override PartName="/xl/charts/colors101.xml" ContentType="application/vnd.ms-office.chartcolorstyle+xml"/>
  <Override PartName="/xl/charts/style101.xml" ContentType="application/vnd.ms-office.chartstyle+xml"/>
  <Override PartName="/xl/charts/colors102.xml" ContentType="application/vnd.ms-office.chartcolorstyle+xml"/>
  <Override PartName="/xl/charts/style102.xml" ContentType="application/vnd.ms-office.chartstyle+xml"/>
  <Override PartName="/xl/charts/colors103.xml" ContentType="application/vnd.ms-office.chartcolorstyle+xml"/>
  <Override PartName="/xl/charts/style103.xml" ContentType="application/vnd.ms-office.chartstyle+xml"/>
  <Override PartName="/xl/charts/colors104.xml" ContentType="application/vnd.ms-office.chartcolorstyle+xml"/>
  <Override PartName="/xl/charts/style104.xml" ContentType="application/vnd.ms-office.chartstyle+xml"/>
  <Override PartName="/xl/charts/colors105.xml" ContentType="application/vnd.ms-office.chartcolorstyle+xml"/>
  <Override PartName="/xl/charts/style105.xml" ContentType="application/vnd.ms-office.chartstyle+xml"/>
  <Override PartName="/xl/charts/colors106.xml" ContentType="application/vnd.ms-office.chartcolorstyle+xml"/>
  <Override PartName="/xl/charts/style106.xml" ContentType="application/vnd.ms-office.chartstyle+xml"/>
  <Override PartName="/xl/charts/colors107.xml" ContentType="application/vnd.ms-office.chartcolorstyle+xml"/>
  <Override PartName="/xl/charts/style107.xml" ContentType="application/vnd.ms-office.chartstyle+xml"/>
  <Override PartName="/xl/charts/colors108.xml" ContentType="application/vnd.ms-office.chartcolorstyle+xml"/>
  <Override PartName="/xl/charts/style108.xml" ContentType="application/vnd.ms-office.chartstyle+xml"/>
  <Override PartName="/xl/charts/colors109.xml" ContentType="application/vnd.ms-office.chartcolorstyle+xml"/>
  <Override PartName="/xl/charts/style109.xml" ContentType="application/vnd.ms-office.chartstyle+xml"/>
  <Override PartName="/xl/charts/colors110.xml" ContentType="application/vnd.ms-office.chartcolorstyle+xml"/>
  <Override PartName="/xl/charts/style110.xml" ContentType="application/vnd.ms-office.chartstyle+xml"/>
  <Override PartName="/xl/charts/colors111.xml" ContentType="application/vnd.ms-office.chartcolorstyle+xml"/>
  <Override PartName="/xl/charts/style111.xml" ContentType="application/vnd.ms-office.chartstyle+xml"/>
  <Override PartName="/xl/charts/colors112.xml" ContentType="application/vnd.ms-office.chartcolorstyle+xml"/>
  <Override PartName="/xl/charts/style112.xml" ContentType="application/vnd.ms-office.chartstyle+xml"/>
  <Override PartName="/xl/charts/colors113.xml" ContentType="application/vnd.ms-office.chartcolorstyle+xml"/>
  <Override PartName="/xl/charts/style113.xml" ContentType="application/vnd.ms-office.chartstyle+xml"/>
  <Override PartName="/xl/charts/colors114.xml" ContentType="application/vnd.ms-office.chartcolorstyle+xml"/>
  <Override PartName="/xl/charts/style114.xml" ContentType="application/vnd.ms-office.chartstyle+xml"/>
  <Override PartName="/xl/charts/colors115.xml" ContentType="application/vnd.ms-office.chartcolorstyle+xml"/>
  <Override PartName="/xl/charts/style115.xml" ContentType="application/vnd.ms-office.chartstyle+xml"/>
  <Override PartName="/xl/charts/colors116.xml" ContentType="application/vnd.ms-office.chartcolorstyle+xml"/>
  <Override PartName="/xl/charts/style116.xml" ContentType="application/vnd.ms-office.chartstyle+xml"/>
  <Override PartName="/xl/charts/colors117.xml" ContentType="application/vnd.ms-office.chartcolorstyle+xml"/>
  <Override PartName="/xl/charts/style117.xml" ContentType="application/vnd.ms-office.chartstyle+xml"/>
  <Override PartName="/xl/charts/colors118.xml" ContentType="application/vnd.ms-office.chartcolorstyle+xml"/>
  <Override PartName="/xl/charts/style118.xml" ContentType="application/vnd.ms-office.chartstyle+xml"/>
  <Override PartName="/xl/charts/colors119.xml" ContentType="application/vnd.ms-office.chartcolorstyle+xml"/>
  <Override PartName="/xl/charts/style119.xml" ContentType="application/vnd.ms-office.chartstyle+xml"/>
  <Override PartName="/xl/charts/colors120.xml" ContentType="application/vnd.ms-office.chartcolorstyle+xml"/>
  <Override PartName="/xl/charts/style120.xml" ContentType="application/vnd.ms-office.chartstyle+xml"/>
  <Override PartName="/xl/charts/colors121.xml" ContentType="application/vnd.ms-office.chartcolorstyle+xml"/>
  <Override PartName="/xl/charts/style121.xml" ContentType="application/vnd.ms-office.chartstyle+xml"/>
  <Override PartName="/xl/charts/colors122.xml" ContentType="application/vnd.ms-office.chartcolorstyle+xml"/>
  <Override PartName="/xl/charts/style122.xml" ContentType="application/vnd.ms-office.chartstyle+xml"/>
  <Override PartName="/xl/charts/colors123.xml" ContentType="application/vnd.ms-office.chartcolorstyle+xml"/>
  <Override PartName="/xl/charts/style123.xml" ContentType="application/vnd.ms-office.chartstyle+xml"/>
  <Override PartName="/xl/charts/colors124.xml" ContentType="application/vnd.ms-office.chartcolorstyle+xml"/>
  <Override PartName="/xl/charts/style124.xml" ContentType="application/vnd.ms-office.chartstyle+xml"/>
  <Override PartName="/xl/charts/colors125.xml" ContentType="application/vnd.ms-office.chartcolorstyle+xml"/>
  <Override PartName="/xl/charts/style125.xml" ContentType="application/vnd.ms-office.chartstyle+xml"/>
  <Override PartName="/xl/charts/colors126.xml" ContentType="application/vnd.ms-office.chartcolorstyle+xml"/>
  <Override PartName="/xl/charts/style126.xml" ContentType="application/vnd.ms-office.chartstyle+xml"/>
  <Override PartName="/xl/charts/colors127.xml" ContentType="application/vnd.ms-office.chartcolorstyle+xml"/>
  <Override PartName="/xl/charts/style127.xml" ContentType="application/vnd.ms-office.chartstyle+xml"/>
  <Override PartName="/xl/charts/colors128.xml" ContentType="application/vnd.ms-office.chartcolorstyle+xml"/>
  <Override PartName="/xl/charts/style128.xml" ContentType="application/vnd.ms-office.chartstyle+xml"/>
  <Override PartName="/xl/charts/colors129.xml" ContentType="application/vnd.ms-office.chartcolorstyle+xml"/>
  <Override PartName="/xl/charts/style129.xml" ContentType="application/vnd.ms-office.chartstyle+xml"/>
  <Override PartName="/xl/charts/colors130.xml" ContentType="application/vnd.ms-office.chartcolorstyle+xml"/>
  <Override PartName="/xl/charts/style130.xml" ContentType="application/vnd.ms-office.chartstyle+xml"/>
  <Override PartName="/xl/charts/colors131.xml" ContentType="application/vnd.ms-office.chartcolorstyle+xml"/>
  <Override PartName="/xl/charts/style131.xml" ContentType="application/vnd.ms-office.chartstyle+xml"/>
  <Override PartName="/xl/charts/colors132.xml" ContentType="application/vnd.ms-office.chartcolorstyle+xml"/>
  <Override PartName="/xl/charts/style132.xml" ContentType="application/vnd.ms-office.chartstyle+xml"/>
  <Override PartName="/xl/charts/colors133.xml" ContentType="application/vnd.ms-office.chartcolorstyle+xml"/>
  <Override PartName="/xl/charts/style133.xml" ContentType="application/vnd.ms-office.chartstyle+xml"/>
  <Override PartName="/xl/charts/colors134.xml" ContentType="application/vnd.ms-office.chartcolorstyle+xml"/>
  <Override PartName="/xl/charts/style134.xml" ContentType="application/vnd.ms-office.chartstyle+xml"/>
  <Override PartName="/xl/charts/colors135.xml" ContentType="application/vnd.ms-office.chartcolorstyle+xml"/>
  <Override PartName="/xl/charts/style135.xml" ContentType="application/vnd.ms-office.chartstyle+xml"/>
  <Override PartName="/xl/charts/colors136.xml" ContentType="application/vnd.ms-office.chartcolorstyle+xml"/>
  <Override PartName="/xl/charts/style136.xml" ContentType="application/vnd.ms-office.chartstyle+xml"/>
  <Override PartName="/xl/charts/colors137.xml" ContentType="application/vnd.ms-office.chartcolorstyle+xml"/>
  <Override PartName="/xl/charts/style137.xml" ContentType="application/vnd.ms-office.chartstyle+xml"/>
  <Override PartName="/xl/charts/colors138.xml" ContentType="application/vnd.ms-office.chartcolorstyle+xml"/>
  <Override PartName="/xl/charts/style138.xml" ContentType="application/vnd.ms-office.chartstyle+xml"/>
  <Override PartName="/xl/charts/colors139.xml" ContentType="application/vnd.ms-office.chartcolorstyle+xml"/>
  <Override PartName="/xl/charts/style139.xml" ContentType="application/vnd.ms-office.chartstyle+xml"/>
  <Override PartName="/xl/charts/colors140.xml" ContentType="application/vnd.ms-office.chartcolorstyle+xml"/>
  <Override PartName="/xl/charts/style140.xml" ContentType="application/vnd.ms-office.chartstyle+xml"/>
  <Override PartName="/xl/charts/colors141.xml" ContentType="application/vnd.ms-office.chartcolorstyle+xml"/>
  <Override PartName="/xl/charts/style141.xml" ContentType="application/vnd.ms-office.chartstyle+xml"/>
  <Override PartName="/xl/charts/colors142.xml" ContentType="application/vnd.ms-office.chartcolorstyle+xml"/>
  <Override PartName="/xl/charts/style142.xml" ContentType="application/vnd.ms-office.chartstyle+xml"/>
  <Override PartName="/xl/charts/colors143.xml" ContentType="application/vnd.ms-office.chartcolorstyle+xml"/>
  <Override PartName="/xl/charts/style143.xml" ContentType="application/vnd.ms-office.chartstyle+xml"/>
  <Override PartName="/xl/charts/colors144.xml" ContentType="application/vnd.ms-office.chartcolorstyle+xml"/>
  <Override PartName="/xl/charts/style144.xml" ContentType="application/vnd.ms-office.chartstyle+xml"/>
  <Override PartName="/xl/charts/colors145.xml" ContentType="application/vnd.ms-office.chartcolorstyle+xml"/>
  <Override PartName="/xl/charts/style145.xml" ContentType="application/vnd.ms-office.chartstyle+xml"/>
  <Override PartName="/xl/charts/colors146.xml" ContentType="application/vnd.ms-office.chartcolorstyle+xml"/>
  <Override PartName="/xl/charts/style146.xml" ContentType="application/vnd.ms-office.chartstyle+xml"/>
  <Override PartName="/xl/charts/colors147.xml" ContentType="application/vnd.ms-office.chartcolorstyle+xml"/>
  <Override PartName="/xl/charts/style147.xml" ContentType="application/vnd.ms-office.chartstyle+xml"/>
  <Override PartName="/xl/charts/colors148.xml" ContentType="application/vnd.ms-office.chartcolorstyle+xml"/>
  <Override PartName="/xl/charts/style148.xml" ContentType="application/vnd.ms-office.chartstyle+xml"/>
  <Override PartName="/xl/charts/colors149.xml" ContentType="application/vnd.ms-office.chartcolorstyle+xml"/>
  <Override PartName="/xl/charts/style149.xml" ContentType="application/vnd.ms-office.chartstyle+xml"/>
  <Override PartName="/xl/charts/colors150.xml" ContentType="application/vnd.ms-office.chartcolorstyle+xml"/>
  <Override PartName="/xl/charts/style150.xml" ContentType="application/vnd.ms-office.chartstyle+xml"/>
  <Override PartName="/xl/charts/colors151.xml" ContentType="application/vnd.ms-office.chartcolorstyle+xml"/>
  <Override PartName="/xl/charts/style151.xml" ContentType="application/vnd.ms-office.chartstyle+xml"/>
  <Override PartName="/xl/charts/colors152.xml" ContentType="application/vnd.ms-office.chartcolorstyle+xml"/>
  <Override PartName="/xl/charts/style152.xml" ContentType="application/vnd.ms-office.chartstyle+xml"/>
  <Override PartName="/xl/charts/colors153.xml" ContentType="application/vnd.ms-office.chartcolorstyle+xml"/>
  <Override PartName="/xl/charts/style153.xml" ContentType="application/vnd.ms-office.chartstyle+xml"/>
  <Override PartName="/xl/charts/colors154.xml" ContentType="application/vnd.ms-office.chartcolorstyle+xml"/>
  <Override PartName="/xl/charts/style154.xml" ContentType="application/vnd.ms-office.chartstyle+xml"/>
  <Override PartName="/xl/charts/colors155.xml" ContentType="application/vnd.ms-office.chartcolorstyle+xml"/>
  <Override PartName="/xl/charts/style155.xml" ContentType="application/vnd.ms-office.chartstyle+xml"/>
  <Override PartName="/xl/charts/colors156.xml" ContentType="application/vnd.ms-office.chartcolorstyle+xml"/>
  <Override PartName="/xl/charts/style156.xml" ContentType="application/vnd.ms-office.chartstyle+xml"/>
  <Override PartName="/xl/charts/colors157.xml" ContentType="application/vnd.ms-office.chartcolorstyle+xml"/>
  <Override PartName="/xl/charts/style157.xml" ContentType="application/vnd.ms-office.chartstyle+xml"/>
  <Override PartName="/xl/charts/colors158.xml" ContentType="application/vnd.ms-office.chartcolorstyle+xml"/>
  <Override PartName="/xl/charts/style158.xml" ContentType="application/vnd.ms-office.chartstyle+xml"/>
  <Override PartName="/xl/charts/colors159.xml" ContentType="application/vnd.ms-office.chartcolorstyle+xml"/>
  <Override PartName="/xl/charts/style159.xml" ContentType="application/vnd.ms-office.chartstyle+xml"/>
  <Override PartName="/xl/charts/colors160.xml" ContentType="application/vnd.ms-office.chartcolorstyle+xml"/>
  <Override PartName="/xl/charts/style160.xml" ContentType="application/vnd.ms-office.chartstyle+xml"/>
  <Override PartName="/xl/charts/colors161.xml" ContentType="application/vnd.ms-office.chartcolorstyle+xml"/>
  <Override PartName="/xl/charts/style161.xml" ContentType="application/vnd.ms-office.chartstyle+xml"/>
  <Override PartName="/xl/charts/colors162.xml" ContentType="application/vnd.ms-office.chartcolorstyle+xml"/>
  <Override PartName="/xl/charts/style162.xml" ContentType="application/vnd.ms-office.chartstyle+xml"/>
  <Override PartName="/xl/charts/colors163.xml" ContentType="application/vnd.ms-office.chartcolorstyle+xml"/>
  <Override PartName="/xl/charts/style163.xml" ContentType="application/vnd.ms-office.chartstyle+xml"/>
  <Override PartName="/xl/charts/colors164.xml" ContentType="application/vnd.ms-office.chartcolorstyle+xml"/>
  <Override PartName="/xl/charts/style164.xml" ContentType="application/vnd.ms-office.chartstyle+xml"/>
  <Override PartName="/xl/charts/colors165.xml" ContentType="application/vnd.ms-office.chartcolorstyle+xml"/>
  <Override PartName="/xl/charts/style165.xml" ContentType="application/vnd.ms-office.chartstyle+xml"/>
  <Override PartName="/xl/charts/colors166.xml" ContentType="application/vnd.ms-office.chartcolorstyle+xml"/>
  <Override PartName="/xl/charts/style166.xml" ContentType="application/vnd.ms-office.chartstyle+xml"/>
  <Override PartName="/xl/charts/colors167.xml" ContentType="application/vnd.ms-office.chartcolorstyle+xml"/>
  <Override PartName="/xl/charts/style167.xml" ContentType="application/vnd.ms-office.chartstyle+xml"/>
  <Override PartName="/xl/charts/colors168.xml" ContentType="application/vnd.ms-office.chartcolorstyle+xml"/>
  <Override PartName="/xl/charts/style168.xml" ContentType="application/vnd.ms-office.chartstyle+xml"/>
  <Override PartName="/xl/charts/colors169.xml" ContentType="application/vnd.ms-office.chartcolorstyle+xml"/>
  <Override PartName="/xl/charts/style169.xml" ContentType="application/vnd.ms-office.chartstyle+xml"/>
  <Override PartName="/xl/charts/colors170.xml" ContentType="application/vnd.ms-office.chartcolorstyle+xml"/>
  <Override PartName="/xl/charts/style170.xml" ContentType="application/vnd.ms-office.chartstyle+xml"/>
  <Override PartName="/xl/charts/colors171.xml" ContentType="application/vnd.ms-office.chartcolorstyle+xml"/>
  <Override PartName="/xl/charts/style171.xml" ContentType="application/vnd.ms-office.chartstyle+xml"/>
  <Override PartName="/xl/charts/colors172.xml" ContentType="application/vnd.ms-office.chartcolorstyle+xml"/>
  <Override PartName="/xl/charts/style172.xml" ContentType="application/vnd.ms-office.chartstyle+xml"/>
  <Override PartName="/xl/charts/colors173.xml" ContentType="application/vnd.ms-office.chartcolorstyle+xml"/>
  <Override PartName="/xl/charts/style173.xml" ContentType="application/vnd.ms-office.chartstyle+xml"/>
  <Override PartName="/xl/charts/colors174.xml" ContentType="application/vnd.ms-office.chartcolorstyle+xml"/>
  <Override PartName="/xl/charts/style174.xml" ContentType="application/vnd.ms-office.chartstyle+xml"/>
  <Override PartName="/xl/charts/colors175.xml" ContentType="application/vnd.ms-office.chartcolorstyle+xml"/>
  <Override PartName="/xl/charts/style175.xml" ContentType="application/vnd.ms-office.chartstyle+xml"/>
  <Override PartName="/xl/charts/colors176.xml" ContentType="application/vnd.ms-office.chartcolorstyle+xml"/>
  <Override PartName="/xl/charts/style176.xml" ContentType="application/vnd.ms-office.chartstyle+xml"/>
  <Override PartName="/xl/charts/colors177.xml" ContentType="application/vnd.ms-office.chartcolorstyle+xml"/>
  <Override PartName="/xl/charts/style177.xml" ContentType="application/vnd.ms-office.chartstyle+xml"/>
  <Override PartName="/xl/charts/colors178.xml" ContentType="application/vnd.ms-office.chartcolorstyle+xml"/>
  <Override PartName="/xl/charts/style178.xml" ContentType="application/vnd.ms-office.chartstyle+xml"/>
  <Override PartName="/xl/charts/colors179.xml" ContentType="application/vnd.ms-office.chartcolorstyle+xml"/>
  <Override PartName="/xl/charts/style179.xml" ContentType="application/vnd.ms-office.chartstyle+xml"/>
  <Override PartName="/xl/charts/colors180.xml" ContentType="application/vnd.ms-office.chartcolorstyle+xml"/>
  <Override PartName="/xl/charts/style180.xml" ContentType="application/vnd.ms-office.chartstyle+xml"/>
  <Override PartName="/xl/charts/colors181.xml" ContentType="application/vnd.ms-office.chartcolorstyle+xml"/>
  <Override PartName="/xl/charts/style181.xml" ContentType="application/vnd.ms-office.chartstyle+xml"/>
  <Override PartName="/xl/charts/colors182.xml" ContentType="application/vnd.ms-office.chartcolorstyle+xml"/>
  <Override PartName="/xl/charts/style182.xml" ContentType="application/vnd.ms-office.chartstyle+xml"/>
  <Override PartName="/xl/charts/colors183.xml" ContentType="application/vnd.ms-office.chartcolorstyle+xml"/>
  <Override PartName="/xl/charts/style183.xml" ContentType="application/vnd.ms-office.chartstyle+xml"/>
  <Override PartName="/xl/charts/colors184.xml" ContentType="application/vnd.ms-office.chartcolorstyle+xml"/>
  <Override PartName="/xl/charts/style184.xml" ContentType="application/vnd.ms-office.chartstyle+xml"/>
  <Override PartName="/xl/charts/colors185.xml" ContentType="application/vnd.ms-office.chartcolorstyle+xml"/>
  <Override PartName="/xl/charts/style185.xml" ContentType="application/vnd.ms-office.chartstyle+xml"/>
  <Override PartName="/xl/charts/colors186.xml" ContentType="application/vnd.ms-office.chartcolorstyle+xml"/>
  <Override PartName="/xl/charts/style186.xml" ContentType="application/vnd.ms-office.chartstyle+xml"/>
  <Override PartName="/xl/charts/colors187.xml" ContentType="application/vnd.ms-office.chartcolorstyle+xml"/>
  <Override PartName="/xl/charts/style187.xml" ContentType="application/vnd.ms-office.chartstyle+xml"/>
  <Override PartName="/xl/charts/colors188.xml" ContentType="application/vnd.ms-office.chartcolorstyle+xml"/>
  <Override PartName="/xl/charts/style188.xml" ContentType="application/vnd.ms-office.chartstyle+xml"/>
  <Override PartName="/xl/charts/colors189.xml" ContentType="application/vnd.ms-office.chartcolorstyle+xml"/>
  <Override PartName="/xl/charts/style189.xml" ContentType="application/vnd.ms-office.chartstyle+xml"/>
  <Override PartName="/xl/charts/colors190.xml" ContentType="application/vnd.ms-office.chartcolorstyle+xml"/>
  <Override PartName="/xl/charts/style190.xml" ContentType="application/vnd.ms-office.chartstyle+xml"/>
  <Override PartName="/xl/charts/colors191.xml" ContentType="application/vnd.ms-office.chartcolorstyle+xml"/>
  <Override PartName="/xl/charts/style191.xml" ContentType="application/vnd.ms-office.chartstyle+xml"/>
  <Override PartName="/xl/charts/colors192.xml" ContentType="application/vnd.ms-office.chartcolorstyle+xml"/>
  <Override PartName="/xl/charts/style192.xml" ContentType="application/vnd.ms-office.chartstyle+xml"/>
  <Override PartName="/xl/charts/colors193.xml" ContentType="application/vnd.ms-office.chartcolorstyle+xml"/>
  <Override PartName="/xl/charts/style193.xml" ContentType="application/vnd.ms-office.chartstyle+xml"/>
  <Override PartName="/xl/charts/colors194.xml" ContentType="application/vnd.ms-office.chartcolorstyle+xml"/>
  <Override PartName="/xl/charts/style194.xml" ContentType="application/vnd.ms-office.chartstyle+xml"/>
  <Override PartName="/xl/charts/colors195.xml" ContentType="application/vnd.ms-office.chartcolorstyle+xml"/>
  <Override PartName="/xl/charts/style195.xml" ContentType="application/vnd.ms-office.chartstyle+xml"/>
  <Override PartName="/xl/charts/colors196.xml" ContentType="application/vnd.ms-office.chartcolorstyle+xml"/>
  <Override PartName="/xl/charts/style196.xml" ContentType="application/vnd.ms-office.chartstyle+xml"/>
  <Override PartName="/xl/charts/colors197.xml" ContentType="application/vnd.ms-office.chartcolorstyle+xml"/>
  <Override PartName="/xl/charts/style197.xml" ContentType="application/vnd.ms-office.chartstyle+xml"/>
  <Override PartName="/xl/charts/colors198.xml" ContentType="application/vnd.ms-office.chartcolorstyle+xml"/>
  <Override PartName="/xl/charts/style198.xml" ContentType="application/vnd.ms-office.chartstyle+xml"/>
  <Override PartName="/xl/charts/colors199.xml" ContentType="application/vnd.ms-office.chartcolorstyle+xml"/>
  <Override PartName="/xl/charts/style199.xml" ContentType="application/vnd.ms-office.chartstyle+xml"/>
  <Override PartName="/xl/charts/colors200.xml" ContentType="application/vnd.ms-office.chartcolorstyle+xml"/>
  <Override PartName="/xl/charts/style200.xml" ContentType="application/vnd.ms-office.chartstyle+xml"/>
  <Override PartName="/xl/charts/colors201.xml" ContentType="application/vnd.ms-office.chartcolorstyle+xml"/>
  <Override PartName="/xl/charts/style201.xml" ContentType="application/vnd.ms-office.chartstyle+xml"/>
  <Override PartName="/xl/charts/colors202.xml" ContentType="application/vnd.ms-office.chartcolorstyle+xml"/>
  <Override PartName="/xl/charts/style202.xml" ContentType="application/vnd.ms-office.chartstyle+xml"/>
  <Override PartName="/xl/charts/colors203.xml" ContentType="application/vnd.ms-office.chartcolorstyle+xml"/>
  <Override PartName="/xl/charts/style203.xml" ContentType="application/vnd.ms-office.chartstyle+xml"/>
  <Override PartName="/xl/charts/colors204.xml" ContentType="application/vnd.ms-office.chartcolorstyle+xml"/>
  <Override PartName="/xl/charts/style204.xml" ContentType="application/vnd.ms-office.chartstyle+xml"/>
  <Override PartName="/xl/charts/colors205.xml" ContentType="application/vnd.ms-office.chartcolorstyle+xml"/>
  <Override PartName="/xl/charts/style205.xml" ContentType="application/vnd.ms-office.chartstyle+xml"/>
  <Override PartName="/xl/charts/colors206.xml" ContentType="application/vnd.ms-office.chartcolorstyle+xml"/>
  <Override PartName="/xl/charts/style206.xml" ContentType="application/vnd.ms-office.chartstyle+xml"/>
  <Override PartName="/xl/charts/colors207.xml" ContentType="application/vnd.ms-office.chartcolorstyle+xml"/>
  <Override PartName="/xl/charts/style207.xml" ContentType="application/vnd.ms-office.chartstyle+xml"/>
  <Override PartName="/xl/charts/colors208.xml" ContentType="application/vnd.ms-office.chartcolorstyle+xml"/>
  <Override PartName="/xl/charts/style208.xml" ContentType="application/vnd.ms-office.chartstyle+xml"/>
  <Override PartName="/xl/charts/colors209.xml" ContentType="application/vnd.ms-office.chartcolorstyle+xml"/>
  <Override PartName="/xl/charts/style209.xml" ContentType="application/vnd.ms-office.chartstyle+xml"/>
  <Override PartName="/xl/charts/colors210.xml" ContentType="application/vnd.ms-office.chartcolorstyle+xml"/>
  <Override PartName="/xl/charts/style210.xml" ContentType="application/vnd.ms-office.chartstyle+xml"/>
  <Override PartName="/xl/charts/colors211.xml" ContentType="application/vnd.ms-office.chartcolorstyle+xml"/>
  <Override PartName="/xl/charts/style211.xml" ContentType="application/vnd.ms-office.chartstyle+xml"/>
  <Override PartName="/xl/charts/colors212.xml" ContentType="application/vnd.ms-office.chartcolorstyle+xml"/>
  <Override PartName="/xl/charts/style212.xml" ContentType="application/vnd.ms-office.chartstyle+xml"/>
  <Override PartName="/xl/charts/colors213.xml" ContentType="application/vnd.ms-office.chartcolorstyle+xml"/>
  <Override PartName="/xl/charts/style213.xml" ContentType="application/vnd.ms-office.chartstyle+xml"/>
  <Override PartName="/xl/charts/colors214.xml" ContentType="application/vnd.ms-office.chartcolorstyle+xml"/>
  <Override PartName="/xl/charts/style214.xml" ContentType="application/vnd.ms-office.chartstyle+xml"/>
  <Override PartName="/xl/charts/colors215.xml" ContentType="application/vnd.ms-office.chartcolorstyle+xml"/>
  <Override PartName="/xl/charts/style215.xml" ContentType="application/vnd.ms-office.chartstyle+xml"/>
  <Override PartName="/xl/charts/colors216.xml" ContentType="application/vnd.ms-office.chartcolorstyle+xml"/>
  <Override PartName="/xl/charts/style216.xml" ContentType="application/vnd.ms-office.chartstyle+xml"/>
  <Override PartName="/xl/charts/colors217.xml" ContentType="application/vnd.ms-office.chartcolorstyle+xml"/>
  <Override PartName="/xl/charts/style217.xml" ContentType="application/vnd.ms-office.chartstyle+xml"/>
  <Override PartName="/xl/charts/colors218.xml" ContentType="application/vnd.ms-office.chartcolorstyle+xml"/>
  <Override PartName="/xl/charts/style218.xml" ContentType="application/vnd.ms-office.chartstyle+xml"/>
  <Override PartName="/xl/charts/colors219.xml" ContentType="application/vnd.ms-office.chartcolorstyle+xml"/>
  <Override PartName="/xl/charts/style219.xml" ContentType="application/vnd.ms-office.chartstyle+xml"/>
  <Override PartName="/xl/charts/colors220.xml" ContentType="application/vnd.ms-office.chartcolorstyle+xml"/>
  <Override PartName="/xl/charts/style220.xml" ContentType="application/vnd.ms-office.chartstyle+xml"/>
  <Override PartName="/xl/charts/colors221.xml" ContentType="application/vnd.ms-office.chartcolorstyle+xml"/>
  <Override PartName="/xl/charts/style221.xml" ContentType="application/vnd.ms-office.chartstyle+xml"/>
  <Override PartName="/xl/charts/colors222.xml" ContentType="application/vnd.ms-office.chartcolorstyle+xml"/>
  <Override PartName="/xl/charts/style222.xml" ContentType="application/vnd.ms-office.chartstyle+xml"/>
  <Override PartName="/xl/charts/colors223.xml" ContentType="application/vnd.ms-office.chartcolorstyle+xml"/>
  <Override PartName="/xl/charts/style223.xml" ContentType="application/vnd.ms-office.chartstyle+xml"/>
  <Override PartName="/xl/charts/colors224.xml" ContentType="application/vnd.ms-office.chartcolorstyle+xml"/>
  <Override PartName="/xl/charts/style224.xml" ContentType="application/vnd.ms-office.chartstyle+xml"/>
  <Override PartName="/xl/charts/colors225.xml" ContentType="application/vnd.ms-office.chartcolorstyle+xml"/>
  <Override PartName="/xl/charts/style225.xml" ContentType="application/vnd.ms-office.chartstyle+xml"/>
  <Override PartName="/xl/charts/colors226.xml" ContentType="application/vnd.ms-office.chartcolorstyle+xml"/>
  <Override PartName="/xl/charts/style226.xml" ContentType="application/vnd.ms-office.chartstyle+xml"/>
  <Override PartName="/xl/charts/colors227.xml" ContentType="application/vnd.ms-office.chartcolorstyle+xml"/>
  <Override PartName="/xl/charts/style227.xml" ContentType="application/vnd.ms-office.chartstyle+xml"/>
  <Override PartName="/xl/charts/colors228.xml" ContentType="application/vnd.ms-office.chartcolorstyle+xml"/>
  <Override PartName="/xl/charts/style228.xml" ContentType="application/vnd.ms-office.chartstyle+xml"/>
  <Override PartName="/xl/charts/colors229.xml" ContentType="application/vnd.ms-office.chartcolorstyle+xml"/>
  <Override PartName="/xl/charts/style229.xml" ContentType="application/vnd.ms-office.chartstyle+xml"/>
  <Override PartName="/xl/charts/colors230.xml" ContentType="application/vnd.ms-office.chartcolorstyle+xml"/>
  <Override PartName="/xl/charts/style230.xml" ContentType="application/vnd.ms-office.chartstyle+xml"/>
  <Override PartName="/xl/charts/colors231.xml" ContentType="application/vnd.ms-office.chartcolorstyle+xml"/>
  <Override PartName="/xl/charts/style231.xml" ContentType="application/vnd.ms-office.chartstyle+xml"/>
  <Override PartName="/xl/charts/colors232.xml" ContentType="application/vnd.ms-office.chartcolorstyle+xml"/>
  <Override PartName="/xl/charts/style232.xml" ContentType="application/vnd.ms-office.chartstyle+xml"/>
  <Override PartName="/xl/charts/colors233.xml" ContentType="application/vnd.ms-office.chartcolorstyle+xml"/>
  <Override PartName="/xl/charts/style233.xml" ContentType="application/vnd.ms-office.chartstyle+xml"/>
  <Override PartName="/xl/charts/colors234.xml" ContentType="application/vnd.ms-office.chartcolorstyle+xml"/>
  <Override PartName="/xl/charts/style234.xml" ContentType="application/vnd.ms-office.chartstyle+xml"/>
  <Override PartName="/xl/charts/colors235.xml" ContentType="application/vnd.ms-office.chartcolorstyle+xml"/>
  <Override PartName="/xl/charts/style235.xml" ContentType="application/vnd.ms-office.chartstyle+xml"/>
  <Override PartName="/xl/charts/colors236.xml" ContentType="application/vnd.ms-office.chartcolorstyle+xml"/>
  <Override PartName="/xl/charts/style236.xml" ContentType="application/vnd.ms-office.chartstyle+xml"/>
  <Override PartName="/xl/charts/colors237.xml" ContentType="application/vnd.ms-office.chartcolorstyle+xml"/>
  <Override PartName="/xl/charts/style237.xml" ContentType="application/vnd.ms-office.chartstyle+xml"/>
  <Override PartName="/xl/charts/colors238.xml" ContentType="application/vnd.ms-office.chartcolorstyle+xml"/>
  <Override PartName="/xl/charts/style238.xml" ContentType="application/vnd.ms-office.chartstyle+xml"/>
  <Override PartName="/xl/charts/colors239.xml" ContentType="application/vnd.ms-office.chartcolorstyle+xml"/>
  <Override PartName="/xl/charts/style239.xml" ContentType="application/vnd.ms-office.chartstyle+xml"/>
  <Override PartName="/xl/charts/colors240.xml" ContentType="application/vnd.ms-office.chartcolorstyle+xml"/>
  <Override PartName="/xl/charts/style240.xml" ContentType="application/vnd.ms-office.chartstyle+xml"/>
  <Override PartName="/xl/charts/colors241.xml" ContentType="application/vnd.ms-office.chartcolorstyle+xml"/>
  <Override PartName="/xl/charts/style241.xml" ContentType="application/vnd.ms-office.chartstyle+xml"/>
  <Override PartName="/xl/charts/colors242.xml" ContentType="application/vnd.ms-office.chartcolorstyle+xml"/>
  <Override PartName="/xl/charts/style242.xml" ContentType="application/vnd.ms-office.chartstyle+xml"/>
  <Override PartName="/xl/charts/colors243.xml" ContentType="application/vnd.ms-office.chartcolorstyle+xml"/>
  <Override PartName="/xl/charts/style243.xml" ContentType="application/vnd.ms-office.chartstyle+xml"/>
  <Override PartName="/xl/charts/colors244.xml" ContentType="application/vnd.ms-office.chartcolorstyle+xml"/>
  <Override PartName="/xl/charts/style244.xml" ContentType="application/vnd.ms-office.chartstyle+xml"/>
  <Override PartName="/xl/charts/colors245.xml" ContentType="application/vnd.ms-office.chartcolorstyle+xml"/>
  <Override PartName="/xl/charts/style245.xml" ContentType="application/vnd.ms-office.chartstyle+xml"/>
  <Override PartName="/xl/charts/colors246.xml" ContentType="application/vnd.ms-office.chartcolorstyle+xml"/>
  <Override PartName="/xl/charts/style246.xml" ContentType="application/vnd.ms-office.chartstyle+xml"/>
  <Override PartName="/xl/charts/colors247.xml" ContentType="application/vnd.ms-office.chartcolorstyle+xml"/>
  <Override PartName="/xl/charts/style247.xml" ContentType="application/vnd.ms-office.chartstyle+xml"/>
  <Override PartName="/xl/charts/colors248.xml" ContentType="application/vnd.ms-office.chartcolorstyle+xml"/>
  <Override PartName="/xl/charts/style248.xml" ContentType="application/vnd.ms-office.chartstyle+xml"/>
  <Override PartName="/xl/charts/colors249.xml" ContentType="application/vnd.ms-office.chartcolorstyle+xml"/>
  <Override PartName="/xl/charts/style249.xml" ContentType="application/vnd.ms-office.chartstyle+xml"/>
  <Override PartName="/xl/charts/colors250.xml" ContentType="application/vnd.ms-office.chartcolorstyle+xml"/>
  <Override PartName="/xl/charts/style250.xml" ContentType="application/vnd.ms-office.chartstyle+xml"/>
  <Override PartName="/xl/charts/colors251.xml" ContentType="application/vnd.ms-office.chartcolorstyle+xml"/>
  <Override PartName="/xl/charts/style251.xml" ContentType="application/vnd.ms-office.chartstyle+xml"/>
  <Override PartName="/xl/charts/colors252.xml" ContentType="application/vnd.ms-office.chartcolorstyle+xml"/>
  <Override PartName="/xl/charts/style252.xml" ContentType="application/vnd.ms-office.chartstyle+xml"/>
  <Override PartName="/xl/charts/colors253.xml" ContentType="application/vnd.ms-office.chartcolorstyle+xml"/>
  <Override PartName="/xl/charts/style253.xml" ContentType="application/vnd.ms-office.chartstyle+xml"/>
  <Override PartName="/xl/charts/colors254.xml" ContentType="application/vnd.ms-office.chartcolorstyle+xml"/>
  <Override PartName="/xl/charts/style254.xml" ContentType="application/vnd.ms-office.chartstyle+xml"/>
  <Override PartName="/xl/charts/colors255.xml" ContentType="application/vnd.ms-office.chartcolorstyle+xml"/>
  <Override PartName="/xl/charts/style255.xml" ContentType="application/vnd.ms-office.chartstyle+xml"/>
  <Override PartName="/xl/charts/colors256.xml" ContentType="application/vnd.ms-office.chartcolorstyle+xml"/>
  <Override PartName="/xl/charts/style256.xml" ContentType="application/vnd.ms-office.chartstyle+xml"/>
  <Override PartName="/xl/charts/colors257.xml" ContentType="application/vnd.ms-office.chartcolorstyle+xml"/>
  <Override PartName="/xl/charts/style257.xml" ContentType="application/vnd.ms-office.chartstyle+xml"/>
  <Override PartName="/xl/charts/colors258.xml" ContentType="application/vnd.ms-office.chartcolorstyle+xml"/>
  <Override PartName="/xl/charts/style258.xml" ContentType="application/vnd.ms-office.chartstyle+xml"/>
  <Override PartName="/xl/charts/colors259.xml" ContentType="application/vnd.ms-office.chartcolorstyle+xml"/>
  <Override PartName="/xl/charts/style259.xml" ContentType="application/vnd.ms-office.chartstyle+xml"/>
  <Override PartName="/xl/charts/colors260.xml" ContentType="application/vnd.ms-office.chartcolorstyle+xml"/>
  <Override PartName="/xl/charts/style260.xml" ContentType="application/vnd.ms-office.chartstyle+xml"/>
  <Override PartName="/xl/charts/colors261.xml" ContentType="application/vnd.ms-office.chartcolorstyle+xml"/>
  <Override PartName="/xl/charts/style261.xml" ContentType="application/vnd.ms-office.chartstyle+xml"/>
  <Override PartName="/xl/charts/colors262.xml" ContentType="application/vnd.ms-office.chartcolorstyle+xml"/>
  <Override PartName="/xl/charts/style262.xml" ContentType="application/vnd.ms-office.chartstyle+xml"/>
  <Override PartName="/xl/charts/colors263.xml" ContentType="application/vnd.ms-office.chartcolorstyle+xml"/>
  <Override PartName="/xl/charts/style263.xml" ContentType="application/vnd.ms-office.chartstyle+xml"/>
  <Override PartName="/xl/charts/colors264.xml" ContentType="application/vnd.ms-office.chartcolorstyle+xml"/>
  <Override PartName="/xl/charts/style264.xml" ContentType="application/vnd.ms-office.chartstyle+xml"/>
  <Override PartName="/xl/charts/colors265.xml" ContentType="application/vnd.ms-office.chartcolorstyle+xml"/>
  <Override PartName="/xl/charts/style265.xml" ContentType="application/vnd.ms-office.chartstyle+xml"/>
  <Override PartName="/xl/charts/colors266.xml" ContentType="application/vnd.ms-office.chartcolorstyle+xml"/>
  <Override PartName="/xl/charts/style266.xml" ContentType="application/vnd.ms-office.chartstyle+xml"/>
  <Override PartName="/xl/charts/colors267.xml" ContentType="application/vnd.ms-office.chartcolorstyle+xml"/>
  <Override PartName="/xl/charts/style267.xml" ContentType="application/vnd.ms-office.chartstyle+xml"/>
  <Override PartName="/xl/charts/colors268.xml" ContentType="application/vnd.ms-office.chartcolorstyle+xml"/>
  <Override PartName="/xl/charts/style268.xml" ContentType="application/vnd.ms-office.chartstyle+xml"/>
  <Override PartName="/xl/charts/colors269.xml" ContentType="application/vnd.ms-office.chartcolorstyle+xml"/>
  <Override PartName="/xl/charts/style269.xml" ContentType="application/vnd.ms-office.chartstyle+xml"/>
  <Override PartName="/xl/charts/colors270.xml" ContentType="application/vnd.ms-office.chartcolorstyle+xml"/>
  <Override PartName="/xl/charts/style270.xml" ContentType="application/vnd.ms-office.chartstyle+xml"/>
  <Override PartName="/xl/charts/colors271.xml" ContentType="application/vnd.ms-office.chartcolorstyle+xml"/>
  <Override PartName="/xl/charts/style271.xml" ContentType="application/vnd.ms-office.chartstyle+xml"/>
  <Override PartName="/xl/charts/colors272.xml" ContentType="application/vnd.ms-office.chartcolorstyle+xml"/>
  <Override PartName="/xl/charts/style272.xml" ContentType="application/vnd.ms-office.chartstyle+xml"/>
  <Override PartName="/xl/charts/colors273.xml" ContentType="application/vnd.ms-office.chartcolorstyle+xml"/>
  <Override PartName="/xl/charts/style273.xml" ContentType="application/vnd.ms-office.chartstyle+xml"/>
  <Override PartName="/xl/charts/colors274.xml" ContentType="application/vnd.ms-office.chartcolorstyle+xml"/>
  <Override PartName="/xl/charts/style274.xml" ContentType="application/vnd.ms-office.chartstyle+xml"/>
  <Override PartName="/xl/charts/colors275.xml" ContentType="application/vnd.ms-office.chartcolorstyle+xml"/>
  <Override PartName="/xl/charts/style275.xml" ContentType="application/vnd.ms-office.chartstyle+xml"/>
  <Override PartName="/xl/charts/colors276.xml" ContentType="application/vnd.ms-office.chartcolorstyle+xml"/>
  <Override PartName="/xl/charts/style276.xml" ContentType="application/vnd.ms-office.chartstyle+xml"/>
  <Override PartName="/xl/charts/colors277.xml" ContentType="application/vnd.ms-office.chartcolorstyle+xml"/>
  <Override PartName="/xl/charts/style277.xml" ContentType="application/vnd.ms-office.chartstyle+xml"/>
  <Override PartName="/xl/charts/colors278.xml" ContentType="application/vnd.ms-office.chartcolorstyle+xml"/>
  <Override PartName="/xl/charts/style278.xml" ContentType="application/vnd.ms-office.chartstyle+xml"/>
  <Override PartName="/xl/charts/colors279.xml" ContentType="application/vnd.ms-office.chartcolorstyle+xml"/>
  <Override PartName="/xl/charts/style279.xml" ContentType="application/vnd.ms-office.chartstyle+xml"/>
  <Override PartName="/xl/charts/colors280.xml" ContentType="application/vnd.ms-office.chartcolorstyle+xml"/>
  <Override PartName="/xl/charts/style280.xml" ContentType="application/vnd.ms-office.chartstyle+xml"/>
  <Override PartName="/xl/charts/colors281.xml" ContentType="application/vnd.ms-office.chartcolorstyle+xml"/>
  <Override PartName="/xl/charts/style281.xml" ContentType="application/vnd.ms-office.chartstyle+xml"/>
  <Override PartName="/xl/charts/colors282.xml" ContentType="application/vnd.ms-office.chartcolorstyle+xml"/>
  <Override PartName="/xl/charts/style282.xml" ContentType="application/vnd.ms-office.chartstyle+xml"/>
  <Override PartName="/xl/charts/colors283.xml" ContentType="application/vnd.ms-office.chartcolorstyle+xml"/>
  <Override PartName="/xl/charts/style283.xml" ContentType="application/vnd.ms-office.chartstyle+xml"/>
  <Override PartName="/xl/charts/colors284.xml" ContentType="application/vnd.ms-office.chartcolorstyle+xml"/>
  <Override PartName="/xl/charts/style284.xml" ContentType="application/vnd.ms-office.chartstyle+xml"/>
  <Override PartName="/xl/charts/colors285.xml" ContentType="application/vnd.ms-office.chartcolorstyle+xml"/>
  <Override PartName="/xl/charts/style285.xml" ContentType="application/vnd.ms-office.chartstyle+xml"/>
  <Override PartName="/xl/charts/colors286.xml" ContentType="application/vnd.ms-office.chartcolorstyle+xml"/>
  <Override PartName="/xl/charts/style286.xml" ContentType="application/vnd.ms-office.chartstyle+xml"/>
  <Override PartName="/xl/charts/colors287.xml" ContentType="application/vnd.ms-office.chartcolorstyle+xml"/>
  <Override PartName="/xl/charts/style287.xml" ContentType="application/vnd.ms-office.chartstyle+xml"/>
  <Override PartName="/xl/charts/colors288.xml" ContentType="application/vnd.ms-office.chartcolorstyle+xml"/>
  <Override PartName="/xl/charts/style288.xml" ContentType="application/vnd.ms-office.chartstyle+xml"/>
  <Override PartName="/xl/charts/colors289.xml" ContentType="application/vnd.ms-office.chartcolorstyle+xml"/>
  <Override PartName="/xl/charts/style289.xml" ContentType="application/vnd.ms-office.chartstyle+xml"/>
  <Override PartName="/xl/charts/colors290.xml" ContentType="application/vnd.ms-office.chartcolorstyle+xml"/>
  <Override PartName="/xl/charts/style290.xml" ContentType="application/vnd.ms-office.chartstyle+xml"/>
  <Override PartName="/xl/charts/colors291.xml" ContentType="application/vnd.ms-office.chartcolorstyle+xml"/>
  <Override PartName="/xl/charts/style291.xml" ContentType="application/vnd.ms-office.chartstyle+xml"/>
  <Override PartName="/xl/charts/colors292.xml" ContentType="application/vnd.ms-office.chartcolorstyle+xml"/>
  <Override PartName="/xl/charts/style292.xml" ContentType="application/vnd.ms-office.chartstyle+xml"/>
  <Override PartName="/xl/charts/colors293.xml" ContentType="application/vnd.ms-office.chartcolorstyle+xml"/>
  <Override PartName="/xl/charts/style293.xml" ContentType="application/vnd.ms-office.chartstyle+xml"/>
  <Override PartName="/xl/charts/colors294.xml" ContentType="application/vnd.ms-office.chartcolorstyle+xml"/>
  <Override PartName="/xl/charts/style294.xml" ContentType="application/vnd.ms-office.chartstyle+xml"/>
  <Override PartName="/xl/charts/colors295.xml" ContentType="application/vnd.ms-office.chartcolorstyle+xml"/>
  <Override PartName="/xl/charts/style295.xml" ContentType="application/vnd.ms-office.chartstyle+xml"/>
  <Override PartName="/xl/charts/colors296.xml" ContentType="application/vnd.ms-office.chartcolorstyle+xml"/>
  <Override PartName="/xl/charts/style296.xml" ContentType="application/vnd.ms-office.chartstyle+xml"/>
  <Override PartName="/xl/charts/colors297.xml" ContentType="application/vnd.ms-office.chartcolorstyle+xml"/>
  <Override PartName="/xl/charts/style297.xml" ContentType="application/vnd.ms-office.chartstyle+xml"/>
  <Override PartName="/xl/charts/colors298.xml" ContentType="application/vnd.ms-office.chartcolorstyle+xml"/>
  <Override PartName="/xl/charts/style298.xml" ContentType="application/vnd.ms-office.chartstyle+xml"/>
  <Override PartName="/xl/charts/colors299.xml" ContentType="application/vnd.ms-office.chartcolorstyle+xml"/>
  <Override PartName="/xl/charts/style299.xml" ContentType="application/vnd.ms-office.chartstyle+xml"/>
  <Override PartName="/xl/charts/colors300.xml" ContentType="application/vnd.ms-office.chartcolorstyle+xml"/>
  <Override PartName="/xl/charts/style300.xml" ContentType="application/vnd.ms-office.chartstyle+xml"/>
  <Override PartName="/xl/charts/colors301.xml" ContentType="application/vnd.ms-office.chartcolorstyle+xml"/>
  <Override PartName="/xl/charts/style301.xml" ContentType="application/vnd.ms-office.chartstyle+xml"/>
  <Override PartName="/xl/charts/colors302.xml" ContentType="application/vnd.ms-office.chartcolorstyle+xml"/>
  <Override PartName="/xl/charts/style302.xml" ContentType="application/vnd.ms-office.chartstyle+xml"/>
  <Override PartName="/xl/charts/colors303.xml" ContentType="application/vnd.ms-office.chartcolorstyle+xml"/>
  <Override PartName="/xl/charts/style303.xml" ContentType="application/vnd.ms-office.chartstyle+xml"/>
  <Override PartName="/xl/charts/colors304.xml" ContentType="application/vnd.ms-office.chartcolorstyle+xml"/>
  <Override PartName="/xl/charts/style304.xml" ContentType="application/vnd.ms-office.chartstyle+xml"/>
  <Override PartName="/xl/charts/colors305.xml" ContentType="application/vnd.ms-office.chartcolorstyle+xml"/>
  <Override PartName="/xl/charts/style305.xml" ContentType="application/vnd.ms-office.chartstyle+xml"/>
  <Override PartName="/xl/charts/colors306.xml" ContentType="application/vnd.ms-office.chartcolorstyle+xml"/>
  <Override PartName="/xl/charts/style306.xml" ContentType="application/vnd.ms-office.chartstyle+xml"/>
  <Override PartName="/xl/charts/colors307.xml" ContentType="application/vnd.ms-office.chartcolorstyle+xml"/>
  <Override PartName="/xl/charts/style307.xml" ContentType="application/vnd.ms-office.chartstyle+xml"/>
  <Override PartName="/xl/charts/colors308.xml" ContentType="application/vnd.ms-office.chartcolorstyle+xml"/>
  <Override PartName="/xl/charts/style308.xml" ContentType="application/vnd.ms-office.chartstyle+xml"/>
  <Override PartName="/xl/charts/colors309.xml" ContentType="application/vnd.ms-office.chartcolorstyle+xml"/>
  <Override PartName="/xl/charts/style309.xml" ContentType="application/vnd.ms-office.chartstyle+xml"/>
  <Override PartName="/xl/charts/colors310.xml" ContentType="application/vnd.ms-office.chartcolorstyle+xml"/>
  <Override PartName="/xl/charts/style310.xml" ContentType="application/vnd.ms-office.chartstyle+xml"/>
  <Override PartName="/xl/charts/colors311.xml" ContentType="application/vnd.ms-office.chartcolorstyle+xml"/>
  <Override PartName="/xl/charts/style311.xml" ContentType="application/vnd.ms-office.chartstyle+xml"/>
  <Override PartName="/xl/charts/colors312.xml" ContentType="application/vnd.ms-office.chartcolorstyle+xml"/>
  <Override PartName="/xl/charts/style312.xml" ContentType="application/vnd.ms-office.chartstyle+xml"/>
  <Override PartName="/xl/charts/colors313.xml" ContentType="application/vnd.ms-office.chartcolorstyle+xml"/>
  <Override PartName="/xl/charts/style313.xml" ContentType="application/vnd.ms-office.chartstyle+xml"/>
  <Override PartName="/xl/charts/colors314.xml" ContentType="application/vnd.ms-office.chartcolorstyle+xml"/>
  <Override PartName="/xl/charts/style314.xml" ContentType="application/vnd.ms-office.chartstyle+xml"/>
  <Override PartName="/xl/charts/colors315.xml" ContentType="application/vnd.ms-office.chartcolorstyle+xml"/>
  <Override PartName="/xl/charts/style315.xml" ContentType="application/vnd.ms-office.chartstyle+xml"/>
  <Override PartName="/xl/charts/colors316.xml" ContentType="application/vnd.ms-office.chartcolorstyle+xml"/>
  <Override PartName="/xl/charts/style316.xml" ContentType="application/vnd.ms-office.chartstyle+xml"/>
  <Override PartName="/xl/charts/colors317.xml" ContentType="application/vnd.ms-office.chartcolorstyle+xml"/>
  <Override PartName="/xl/charts/style317.xml" ContentType="application/vnd.ms-office.chartstyle+xml"/>
  <Override PartName="/xl/charts/colors318.xml" ContentType="application/vnd.ms-office.chartcolorstyle+xml"/>
  <Override PartName="/xl/charts/style318.xml" ContentType="application/vnd.ms-office.chartstyle+xml"/>
  <Override PartName="/xl/charts/colors319.xml" ContentType="application/vnd.ms-office.chartcolorstyle+xml"/>
  <Override PartName="/xl/charts/style319.xml" ContentType="application/vnd.ms-office.chartstyle+xml"/>
  <Override PartName="/xl/charts/colors320.xml" ContentType="application/vnd.ms-office.chartcolorstyle+xml"/>
  <Override PartName="/xl/charts/style320.xml" ContentType="application/vnd.ms-office.chartstyle+xml"/>
  <Override PartName="/xl/charts/colors321.xml" ContentType="application/vnd.ms-office.chartcolorstyle+xml"/>
  <Override PartName="/xl/charts/style321.xml" ContentType="application/vnd.ms-office.chartstyle+xml"/>
  <Override PartName="/xl/charts/colors322.xml" ContentType="application/vnd.ms-office.chartcolorstyle+xml"/>
  <Override PartName="/xl/charts/style322.xml" ContentType="application/vnd.ms-office.chartstyle+xml"/>
  <Override PartName="/xl/charts/colors323.xml" ContentType="application/vnd.ms-office.chartcolorstyle+xml"/>
  <Override PartName="/xl/charts/style323.xml" ContentType="application/vnd.ms-office.chartstyle+xml"/>
  <Override PartName="/xl/charts/colors324.xml" ContentType="application/vnd.ms-office.chartcolorstyle+xml"/>
  <Override PartName="/xl/charts/style324.xml" ContentType="application/vnd.ms-office.chartstyle+xml"/>
  <Override PartName="/xl/charts/colors325.xml" ContentType="application/vnd.ms-office.chartcolorstyle+xml"/>
  <Override PartName="/xl/charts/style325.xml" ContentType="application/vnd.ms-office.chartstyle+xml"/>
  <Override PartName="/xl/charts/colors326.xml" ContentType="application/vnd.ms-office.chartcolorstyle+xml"/>
  <Override PartName="/xl/charts/style326.xml" ContentType="application/vnd.ms-office.chartstyle+xml"/>
  <Override PartName="/xl/charts/colors327.xml" ContentType="application/vnd.ms-office.chartcolorstyle+xml"/>
  <Override PartName="/xl/charts/style327.xml" ContentType="application/vnd.ms-office.chartstyle+xml"/>
  <Override PartName="/xl/charts/colors328.xml" ContentType="application/vnd.ms-office.chartcolorstyle+xml"/>
  <Override PartName="/xl/charts/style328.xml" ContentType="application/vnd.ms-office.chartstyle+xml"/>
  <Override PartName="/xl/charts/colors329.xml" ContentType="application/vnd.ms-office.chartcolorstyle+xml"/>
  <Override PartName="/xl/charts/style329.xml" ContentType="application/vnd.ms-office.chartstyle+xml"/>
  <Override PartName="/xl/charts/colors330.xml" ContentType="application/vnd.ms-office.chartcolorstyle+xml"/>
  <Override PartName="/xl/charts/style330.xml" ContentType="application/vnd.ms-office.chartstyle+xml"/>
  <Override PartName="/xl/charts/colors331.xml" ContentType="application/vnd.ms-office.chartcolorstyle+xml"/>
  <Override PartName="/xl/charts/style331.xml" ContentType="application/vnd.ms-office.chartstyle+xml"/>
  <Override PartName="/xl/charts/colors332.xml" ContentType="application/vnd.ms-office.chartcolorstyle+xml"/>
  <Override PartName="/xl/charts/style332.xml" ContentType="application/vnd.ms-office.chartstyle+xml"/>
  <Override PartName="/xl/charts/colors333.xml" ContentType="application/vnd.ms-office.chartcolorstyle+xml"/>
  <Override PartName="/xl/charts/style333.xml" ContentType="application/vnd.ms-office.chartstyle+xml"/>
  <Override PartName="/xl/charts/colors334.xml" ContentType="application/vnd.ms-office.chartcolorstyle+xml"/>
  <Override PartName="/xl/charts/style334.xml" ContentType="application/vnd.ms-office.chartstyle+xml"/>
  <Override PartName="/xl/charts/colors335.xml" ContentType="application/vnd.ms-office.chartcolorstyle+xml"/>
  <Override PartName="/xl/charts/style335.xml" ContentType="application/vnd.ms-office.chartstyle+xml"/>
  <Override PartName="/xl/charts/colors336.xml" ContentType="application/vnd.ms-office.chartcolorstyle+xml"/>
  <Override PartName="/xl/charts/style336.xml" ContentType="application/vnd.ms-office.chartstyle+xml"/>
  <Override PartName="/xl/charts/colors337.xml" ContentType="application/vnd.ms-office.chartcolorstyle+xml"/>
  <Override PartName="/xl/charts/style337.xml" ContentType="application/vnd.ms-office.chartstyle+xml"/>
  <Override PartName="/xl/charts/colors338.xml" ContentType="application/vnd.ms-office.chartcolorstyle+xml"/>
  <Override PartName="/xl/charts/style338.xml" ContentType="application/vnd.ms-office.chartstyle+xml"/>
  <Override PartName="/xl/charts/colors339.xml" ContentType="application/vnd.ms-office.chartcolorstyle+xml"/>
  <Override PartName="/xl/charts/style339.xml" ContentType="application/vnd.ms-office.chartstyle+xml"/>
  <Override PartName="/xl/charts/colors340.xml" ContentType="application/vnd.ms-office.chartcolorstyle+xml"/>
  <Override PartName="/xl/charts/style340.xml" ContentType="application/vnd.ms-office.chartstyle+xml"/>
  <Override PartName="/xl/charts/colors341.xml" ContentType="application/vnd.ms-office.chartcolorstyle+xml"/>
  <Override PartName="/xl/charts/style341.xml" ContentType="application/vnd.ms-office.chartstyle+xml"/>
  <Override PartName="/xl/charts/colors342.xml" ContentType="application/vnd.ms-office.chartcolorstyle+xml"/>
  <Override PartName="/xl/charts/style342.xml" ContentType="application/vnd.ms-office.chartstyle+xml"/>
  <Override PartName="/xl/charts/colors343.xml" ContentType="application/vnd.ms-office.chartcolorstyle+xml"/>
  <Override PartName="/xl/charts/style343.xml" ContentType="application/vnd.ms-office.chartstyle+xml"/>
  <Override PartName="/xl/charts/colors344.xml" ContentType="application/vnd.ms-office.chartcolorstyle+xml"/>
  <Override PartName="/xl/charts/style344.xml" ContentType="application/vnd.ms-office.chartstyle+xml"/>
  <Override PartName="/xl/charts/colors345.xml" ContentType="application/vnd.ms-office.chartcolorstyle+xml"/>
  <Override PartName="/xl/charts/style345.xml" ContentType="application/vnd.ms-office.chartstyle+xml"/>
  <Override PartName="/xl/charts/colors346.xml" ContentType="application/vnd.ms-office.chartcolorstyle+xml"/>
  <Override PartName="/xl/charts/style346.xml" ContentType="application/vnd.ms-office.chartstyle+xml"/>
  <Override PartName="/xl/charts/colors347.xml" ContentType="application/vnd.ms-office.chartcolorstyle+xml"/>
  <Override PartName="/xl/charts/style347.xml" ContentType="application/vnd.ms-office.chartstyle+xml"/>
  <Override PartName="/xl/charts/colors348.xml" ContentType="application/vnd.ms-office.chartcolorstyle+xml"/>
  <Override PartName="/xl/charts/style348.xml" ContentType="application/vnd.ms-office.chartstyle+xml"/>
  <Override PartName="/xl/charts/colors349.xml" ContentType="application/vnd.ms-office.chartcolorstyle+xml"/>
  <Override PartName="/xl/charts/style349.xml" ContentType="application/vnd.ms-office.chartstyle+xml"/>
  <Override PartName="/xl/charts/colors350.xml" ContentType="application/vnd.ms-office.chartcolorstyle+xml"/>
  <Override PartName="/xl/charts/style350.xml" ContentType="application/vnd.ms-office.chartstyle+xml"/>
  <Override PartName="/xl/charts/colors351.xml" ContentType="application/vnd.ms-office.chartcolorstyle+xml"/>
  <Override PartName="/xl/charts/style351.xml" ContentType="application/vnd.ms-office.chartstyle+xml"/>
  <Override PartName="/xl/charts/colors352.xml" ContentType="application/vnd.ms-office.chartcolorstyle+xml"/>
  <Override PartName="/xl/charts/style352.xml" ContentType="application/vnd.ms-office.chartstyle+xml"/>
  <Override PartName="/xl/charts/colors353.xml" ContentType="application/vnd.ms-office.chartcolorstyle+xml"/>
  <Override PartName="/xl/charts/style353.xml" ContentType="application/vnd.ms-office.chartstyle+xml"/>
  <Override PartName="/xl/charts/colors354.xml" ContentType="application/vnd.ms-office.chartcolorstyle+xml"/>
  <Override PartName="/xl/charts/style354.xml" ContentType="application/vnd.ms-office.chartstyle+xml"/>
  <Override PartName="/xl/charts/colors355.xml" ContentType="application/vnd.ms-office.chartcolorstyle+xml"/>
  <Override PartName="/xl/charts/style355.xml" ContentType="application/vnd.ms-office.chartstyle+xml"/>
  <Override PartName="/xl/charts/colors356.xml" ContentType="application/vnd.ms-office.chartcolorstyle+xml"/>
  <Override PartName="/xl/charts/style356.xml" ContentType="application/vnd.ms-office.chartstyle+xml"/>
  <Override PartName="/xl/charts/colors357.xml" ContentType="application/vnd.ms-office.chartcolorstyle+xml"/>
  <Override PartName="/xl/charts/style357.xml" ContentType="application/vnd.ms-office.chartstyle+xml"/>
  <Override PartName="/xl/charts/colors358.xml" ContentType="application/vnd.ms-office.chartcolorstyle+xml"/>
  <Override PartName="/xl/charts/style358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/>
  <bookViews>
    <workbookView xWindow="24600" yWindow="375" windowWidth="20730" windowHeight="11760" tabRatio="905"/>
  </bookViews>
  <sheets>
    <sheet name="OrientaçõesInformações" sheetId="131" r:id="rId1"/>
    <sheet name="Eixo 4" sheetId="1" r:id="rId2"/>
    <sheet name="TítuloQuestões" sheetId="2" r:id="rId3"/>
    <sheet name="QTPA" sheetId="132" r:id="rId4"/>
    <sheet name="QTPB" sheetId="133" r:id="rId5"/>
    <sheet name="QTPC" sheetId="134" r:id="rId6"/>
    <sheet name="Q4.01" sheetId="6" r:id="rId7"/>
    <sheet name="Q4.02" sheetId="5" r:id="rId8"/>
    <sheet name="Q4.03" sheetId="7" r:id="rId9"/>
    <sheet name="Q4.04" sheetId="8" r:id="rId10"/>
    <sheet name="Q4.05" sheetId="9" r:id="rId11"/>
    <sheet name="Q4.06" sheetId="10" r:id="rId12"/>
    <sheet name="Q4.07" sheetId="11" r:id="rId13"/>
    <sheet name="Q4.08" sheetId="12" r:id="rId14"/>
    <sheet name="Q4.09" sheetId="13" r:id="rId15"/>
    <sheet name="Q4.10" sheetId="14" r:id="rId16"/>
    <sheet name="Q4.11" sheetId="15" r:id="rId17"/>
    <sheet name="Q4.12" sheetId="16" r:id="rId18"/>
    <sheet name="Q4.13" sheetId="17" r:id="rId19"/>
    <sheet name="Q4.14" sheetId="18" r:id="rId20"/>
    <sheet name="Q4.15" sheetId="19" r:id="rId21"/>
    <sheet name="Q4.16" sheetId="20" r:id="rId22"/>
    <sheet name="Q4.17" sheetId="21" r:id="rId23"/>
    <sheet name="Q4.19" sheetId="22" r:id="rId24"/>
    <sheet name="Q4.20" sheetId="23" r:id="rId25"/>
    <sheet name="Q4.21" sheetId="24" r:id="rId26"/>
    <sheet name="Q4.22" sheetId="25" r:id="rId27"/>
    <sheet name="Q4.23" sheetId="26" r:id="rId28"/>
    <sheet name="Q4.24" sheetId="27" r:id="rId29"/>
    <sheet name="Q4.25" sheetId="28" r:id="rId30"/>
    <sheet name="Q4.26" sheetId="29" r:id="rId31"/>
    <sheet name="Q4.27" sheetId="30" r:id="rId32"/>
    <sheet name="Q4.28" sheetId="31" r:id="rId33"/>
    <sheet name="Q4.29" sheetId="32" r:id="rId34"/>
    <sheet name="Q4.30" sheetId="33" r:id="rId35"/>
    <sheet name="Q4.31" sheetId="34" r:id="rId36"/>
    <sheet name="Q4.32" sheetId="35" r:id="rId37"/>
    <sheet name="Q4.33" sheetId="36" r:id="rId38"/>
    <sheet name="Q4.34" sheetId="37" r:id="rId39"/>
    <sheet name="Q4.35" sheetId="38" r:id="rId40"/>
    <sheet name="Q4.36" sheetId="39" r:id="rId41"/>
    <sheet name="Q4.38" sheetId="40" r:id="rId42"/>
    <sheet name="Q4.39" sheetId="41" r:id="rId43"/>
    <sheet name="Q4.40" sheetId="42" r:id="rId44"/>
    <sheet name="Q4.41" sheetId="43" r:id="rId45"/>
    <sheet name="Q4.42" sheetId="44" r:id="rId46"/>
    <sheet name="Q4.43" sheetId="45" r:id="rId47"/>
    <sheet name="Q4.44" sheetId="46" r:id="rId48"/>
    <sheet name="Q4.45" sheetId="47" r:id="rId49"/>
    <sheet name="Q4.46" sheetId="48" r:id="rId50"/>
    <sheet name="Q4.47" sheetId="49" r:id="rId51"/>
    <sheet name="Q4.48" sheetId="50" r:id="rId52"/>
    <sheet name="Q4.50" sheetId="51" r:id="rId53"/>
    <sheet name="Q4.51" sheetId="52" r:id="rId54"/>
    <sheet name="Q4.52" sheetId="53" r:id="rId55"/>
    <sheet name="Q4.53" sheetId="54" r:id="rId56"/>
    <sheet name="Q4.54" sheetId="55" r:id="rId57"/>
    <sheet name="Q4.55" sheetId="56" r:id="rId58"/>
    <sheet name="Q4.56" sheetId="57" r:id="rId59"/>
    <sheet name="Q4.57" sheetId="58" r:id="rId60"/>
    <sheet name="Q4.58" sheetId="59" r:id="rId61"/>
    <sheet name="Q4.59" sheetId="60" r:id="rId62"/>
    <sheet name="Q4.60" sheetId="61" r:id="rId63"/>
    <sheet name="Q4.61" sheetId="62" r:id="rId64"/>
    <sheet name="Q4.62" sheetId="63" r:id="rId65"/>
    <sheet name="Q4.63" sheetId="64" r:id="rId66"/>
    <sheet name="Q4.64" sheetId="65" r:id="rId67"/>
    <sheet name="Q4.65" sheetId="66" r:id="rId68"/>
    <sheet name="Q4.66" sheetId="67" r:id="rId69"/>
    <sheet name="Q4.67" sheetId="68" r:id="rId70"/>
    <sheet name="Q4.68" sheetId="69" r:id="rId71"/>
    <sheet name="Q4.69" sheetId="70" r:id="rId72"/>
    <sheet name="Q4.71" sheetId="71" r:id="rId73"/>
    <sheet name="Q4.72" sheetId="72" r:id="rId74"/>
    <sheet name="Q4.73" sheetId="73" r:id="rId75"/>
    <sheet name="Q4.74" sheetId="3" r:id="rId76"/>
    <sheet name="Q4.75" sheetId="75" r:id="rId77"/>
    <sheet name="Q4.76" sheetId="76" r:id="rId78"/>
    <sheet name="Q4.77" sheetId="77" r:id="rId79"/>
    <sheet name="Q4.79" sheetId="78" r:id="rId80"/>
    <sheet name="Q4.81" sheetId="79" r:id="rId81"/>
    <sheet name="Q4.85" sheetId="80" r:id="rId82"/>
    <sheet name="Q4.86" sheetId="81" r:id="rId83"/>
    <sheet name="Q4.87" sheetId="82" r:id="rId84"/>
    <sheet name="Q4.88" sheetId="83" r:id="rId85"/>
    <sheet name="Q4.89" sheetId="84" r:id="rId86"/>
    <sheet name="Q4.90" sheetId="85" r:id="rId87"/>
    <sheet name="Q4.91" sheetId="86" r:id="rId88"/>
    <sheet name="Q4.92" sheetId="87" r:id="rId89"/>
    <sheet name="Q4.93" sheetId="88" r:id="rId90"/>
    <sheet name="Q4.94" sheetId="89" r:id="rId91"/>
    <sheet name="Q4.95" sheetId="90" r:id="rId92"/>
    <sheet name="Q4.96" sheetId="91" r:id="rId93"/>
    <sheet name="Q4.97" sheetId="92" r:id="rId94"/>
    <sheet name="Q4.98" sheetId="93" r:id="rId95"/>
    <sheet name="Q4.99" sheetId="94" r:id="rId96"/>
    <sheet name="Q4.100" sheetId="95" r:id="rId97"/>
    <sheet name="Q4.101" sheetId="96" r:id="rId98"/>
    <sheet name="Q4.102" sheetId="97" r:id="rId99"/>
    <sheet name="Q4.103" sheetId="98" r:id="rId100"/>
    <sheet name="Q4.104" sheetId="99" r:id="rId101"/>
    <sheet name="Q4.105" sheetId="100" r:id="rId102"/>
    <sheet name="Q4.106" sheetId="101" r:id="rId103"/>
    <sheet name="Q4.107" sheetId="102" r:id="rId104"/>
    <sheet name="Q4.108" sheetId="103" r:id="rId105"/>
    <sheet name="Q4.109" sheetId="104" r:id="rId106"/>
    <sheet name="Q4.110" sheetId="105" r:id="rId107"/>
    <sheet name="Q4.111" sheetId="106" r:id="rId108"/>
    <sheet name="Q4.112" sheetId="107" r:id="rId109"/>
    <sheet name="Q4.114" sheetId="108" r:id="rId110"/>
    <sheet name="Q4.115" sheetId="109" r:id="rId111"/>
    <sheet name="Q4.116" sheetId="110" r:id="rId112"/>
    <sheet name="Q4.117" sheetId="111" r:id="rId113"/>
    <sheet name="Q4.118" sheetId="112" r:id="rId114"/>
    <sheet name="Q4.119" sheetId="113" r:id="rId115"/>
    <sheet name="Q4.120" sheetId="114" r:id="rId116"/>
    <sheet name="Q4.121" sheetId="115" r:id="rId117"/>
    <sheet name="Q4.122" sheetId="116" r:id="rId118"/>
    <sheet name="Q4.123" sheetId="117" r:id="rId119"/>
    <sheet name="Q4.124" sheetId="118" r:id="rId120"/>
    <sheet name="Q4.125" sheetId="119" r:id="rId121"/>
    <sheet name="Q4.126" sheetId="120" r:id="rId122"/>
    <sheet name="Q4.127" sheetId="121" r:id="rId123"/>
    <sheet name="Q4.128" sheetId="122" r:id="rId124"/>
    <sheet name="Q4.130" sheetId="123" r:id="rId125"/>
    <sheet name="Q4.131" sheetId="124" r:id="rId126"/>
    <sheet name="Q4.132" sheetId="125" r:id="rId127"/>
    <sheet name="Q4.133" sheetId="126" r:id="rId128"/>
    <sheet name="Q4.134" sheetId="127" r:id="rId129"/>
    <sheet name="Q4.135" sheetId="128" r:id="rId130"/>
    <sheet name="Q4.136" sheetId="129" r:id="rId131"/>
  </sheet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81" l="1"/>
  <c r="E12" i="134"/>
  <c r="D12" i="134"/>
  <c r="C12" i="134"/>
  <c r="E11" i="134"/>
  <c r="D11" i="134"/>
  <c r="D28" i="134" s="1"/>
  <c r="C11" i="134"/>
  <c r="D21" i="134" s="1"/>
  <c r="E10" i="134"/>
  <c r="D10" i="134"/>
  <c r="D27" i="134" s="1"/>
  <c r="C10" i="134"/>
  <c r="D20" i="134" s="1"/>
  <c r="E9" i="134"/>
  <c r="D9" i="134"/>
  <c r="C9" i="134"/>
  <c r="E8" i="134"/>
  <c r="D8" i="134"/>
  <c r="D25" i="134" s="1"/>
  <c r="C8" i="134"/>
  <c r="D18" i="134" s="1"/>
  <c r="E7" i="134"/>
  <c r="D7" i="134"/>
  <c r="D26" i="134" s="1"/>
  <c r="E26" i="134" s="1"/>
  <c r="C7" i="134"/>
  <c r="D19" i="134" s="1"/>
  <c r="E19" i="134" s="1"/>
  <c r="D6" i="134"/>
  <c r="D13" i="134" s="1"/>
  <c r="C6" i="134"/>
  <c r="C13" i="134" s="1"/>
  <c r="E13" i="134" s="1"/>
  <c r="E6" i="134" s="1"/>
  <c r="F6" i="134" s="1"/>
  <c r="A2" i="134"/>
  <c r="E8" i="133"/>
  <c r="D8" i="133"/>
  <c r="C8" i="133"/>
  <c r="E7" i="133"/>
  <c r="D7" i="133"/>
  <c r="C7" i="133"/>
  <c r="D6" i="133"/>
  <c r="D9" i="133" s="1"/>
  <c r="C6" i="133"/>
  <c r="C9" i="133" s="1"/>
  <c r="E9" i="133" s="1"/>
  <c r="E6" i="133" s="1"/>
  <c r="F6" i="133" s="1"/>
  <c r="A2" i="133"/>
  <c r="E12" i="132"/>
  <c r="D12" i="132"/>
  <c r="C12" i="132"/>
  <c r="E11" i="132"/>
  <c r="D11" i="132"/>
  <c r="D28" i="132" s="1"/>
  <c r="C11" i="132"/>
  <c r="D21" i="132" s="1"/>
  <c r="E10" i="132"/>
  <c r="D10" i="132"/>
  <c r="D27" i="132" s="1"/>
  <c r="C10" i="132"/>
  <c r="D20" i="132" s="1"/>
  <c r="E9" i="132"/>
  <c r="D9" i="132"/>
  <c r="C9" i="132"/>
  <c r="E8" i="132"/>
  <c r="D8" i="132"/>
  <c r="D25" i="132" s="1"/>
  <c r="C8" i="132"/>
  <c r="D18" i="132" s="1"/>
  <c r="E7" i="132"/>
  <c r="D7" i="132"/>
  <c r="D26" i="132" s="1"/>
  <c r="C7" i="132"/>
  <c r="D19" i="132" s="1"/>
  <c r="D6" i="132"/>
  <c r="D13" i="132" s="1"/>
  <c r="C6" i="132"/>
  <c r="C13" i="132" s="1"/>
  <c r="E13" i="132" s="1"/>
  <c r="A2" i="132"/>
  <c r="C8" i="7"/>
  <c r="D8" i="7"/>
  <c r="E8" i="7"/>
  <c r="C9" i="7"/>
  <c r="D9" i="7"/>
  <c r="E9" i="7"/>
  <c r="C10" i="7"/>
  <c r="D10" i="7"/>
  <c r="E10" i="7"/>
  <c r="C11" i="7"/>
  <c r="D11" i="7"/>
  <c r="E11" i="7"/>
  <c r="C12" i="7"/>
  <c r="D12" i="7"/>
  <c r="E12" i="7"/>
  <c r="E7" i="7"/>
  <c r="D7" i="7"/>
  <c r="C7" i="7"/>
  <c r="C6" i="7"/>
  <c r="D18" i="7"/>
  <c r="E7" i="107"/>
  <c r="C7" i="78"/>
  <c r="E7" i="28"/>
  <c r="E7" i="102"/>
  <c r="B16" i="131"/>
  <c r="D16" i="131" s="1"/>
  <c r="B15" i="131"/>
  <c r="D15" i="131" s="1"/>
  <c r="C17" i="131"/>
  <c r="E18" i="132" l="1"/>
  <c r="E25" i="132"/>
  <c r="B3" i="134"/>
  <c r="B2" i="134"/>
  <c r="G7" i="134"/>
  <c r="F7" i="134"/>
  <c r="E18" i="134"/>
  <c r="E25" i="134"/>
  <c r="G8" i="134"/>
  <c r="F8" i="134"/>
  <c r="G9" i="134"/>
  <c r="F9" i="134"/>
  <c r="E20" i="134"/>
  <c r="E27" i="134"/>
  <c r="G10" i="134"/>
  <c r="F10" i="134"/>
  <c r="E21" i="134"/>
  <c r="E28" i="134"/>
  <c r="G11" i="134"/>
  <c r="F11" i="134"/>
  <c r="G12" i="134"/>
  <c r="F12" i="134"/>
  <c r="B3" i="133"/>
  <c r="B2" i="133"/>
  <c r="G7" i="133"/>
  <c r="F7" i="133"/>
  <c r="G8" i="133"/>
  <c r="F8" i="133"/>
  <c r="E19" i="132"/>
  <c r="E20" i="132"/>
  <c r="E21" i="132"/>
  <c r="E26" i="132"/>
  <c r="E27" i="132"/>
  <c r="E28" i="132"/>
  <c r="F13" i="132"/>
  <c r="E6" i="132"/>
  <c r="F6" i="132" s="1"/>
  <c r="G7" i="132"/>
  <c r="F7" i="132"/>
  <c r="G8" i="132"/>
  <c r="F8" i="132"/>
  <c r="G9" i="132"/>
  <c r="F9" i="132"/>
  <c r="G10" i="132"/>
  <c r="F10" i="132"/>
  <c r="G11" i="132"/>
  <c r="F11" i="132"/>
  <c r="G12" i="132"/>
  <c r="F12" i="132"/>
  <c r="B3" i="132"/>
  <c r="B2" i="132"/>
  <c r="B17" i="131"/>
  <c r="D17" i="131" s="1"/>
  <c r="A2" i="17"/>
  <c r="C8" i="129"/>
  <c r="D8" i="129"/>
  <c r="E8" i="129"/>
  <c r="C9" i="129"/>
  <c r="D9" i="129"/>
  <c r="E9" i="129"/>
  <c r="C10" i="129"/>
  <c r="D20" i="129" s="1"/>
  <c r="D10" i="129"/>
  <c r="D27" i="129" s="1"/>
  <c r="E10" i="129"/>
  <c r="C11" i="129"/>
  <c r="D11" i="129"/>
  <c r="E11" i="129"/>
  <c r="C12" i="129"/>
  <c r="D12" i="129"/>
  <c r="E12" i="129"/>
  <c r="E7" i="129"/>
  <c r="D7" i="129"/>
  <c r="D26" i="129" s="1"/>
  <c r="C7" i="129"/>
  <c r="D19" i="129" s="1"/>
  <c r="A2" i="129"/>
  <c r="C8" i="128"/>
  <c r="D8" i="128"/>
  <c r="E8" i="128"/>
  <c r="C9" i="128"/>
  <c r="D9" i="128"/>
  <c r="E9" i="128"/>
  <c r="C10" i="128"/>
  <c r="D20" i="128" s="1"/>
  <c r="D10" i="128"/>
  <c r="D27" i="128" s="1"/>
  <c r="E10" i="128"/>
  <c r="C11" i="128"/>
  <c r="D11" i="128"/>
  <c r="E11" i="128"/>
  <c r="C12" i="128"/>
  <c r="D12" i="128"/>
  <c r="E12" i="128"/>
  <c r="E7" i="128"/>
  <c r="D7" i="128"/>
  <c r="D26" i="128" s="1"/>
  <c r="C7" i="128"/>
  <c r="D19" i="128" s="1"/>
  <c r="A2" i="128"/>
  <c r="C8" i="127"/>
  <c r="D8" i="127"/>
  <c r="E8" i="127"/>
  <c r="C9" i="127"/>
  <c r="D9" i="127"/>
  <c r="E9" i="127"/>
  <c r="C10" i="127"/>
  <c r="D20" i="127" s="1"/>
  <c r="D10" i="127"/>
  <c r="D27" i="127" s="1"/>
  <c r="E10" i="127"/>
  <c r="C11" i="127"/>
  <c r="D11" i="127"/>
  <c r="E11" i="127"/>
  <c r="C12" i="127"/>
  <c r="D12" i="127"/>
  <c r="E12" i="127"/>
  <c r="E7" i="127"/>
  <c r="D7" i="127"/>
  <c r="D26" i="127" s="1"/>
  <c r="C7" i="127"/>
  <c r="D19" i="127" s="1"/>
  <c r="A2" i="127"/>
  <c r="C8" i="126"/>
  <c r="D8" i="126"/>
  <c r="E8" i="126"/>
  <c r="C9" i="126"/>
  <c r="D9" i="126"/>
  <c r="E9" i="126"/>
  <c r="C10" i="126"/>
  <c r="D20" i="126" s="1"/>
  <c r="D10" i="126"/>
  <c r="D27" i="126" s="1"/>
  <c r="E10" i="126"/>
  <c r="C11" i="126"/>
  <c r="D11" i="126"/>
  <c r="E11" i="126"/>
  <c r="C12" i="126"/>
  <c r="D12" i="126"/>
  <c r="E12" i="126"/>
  <c r="E7" i="126"/>
  <c r="D7" i="126"/>
  <c r="D26" i="126" s="1"/>
  <c r="C7" i="126"/>
  <c r="D19" i="126" s="1"/>
  <c r="A2" i="126"/>
  <c r="C8" i="125"/>
  <c r="D8" i="125"/>
  <c r="E8" i="125"/>
  <c r="C9" i="125"/>
  <c r="D9" i="125"/>
  <c r="E9" i="125"/>
  <c r="C10" i="125"/>
  <c r="D20" i="125" s="1"/>
  <c r="D10" i="125"/>
  <c r="D27" i="125" s="1"/>
  <c r="E10" i="125"/>
  <c r="C11" i="125"/>
  <c r="D11" i="125"/>
  <c r="E11" i="125"/>
  <c r="C12" i="125"/>
  <c r="D12" i="125"/>
  <c r="E12" i="125"/>
  <c r="E7" i="125"/>
  <c r="D7" i="125"/>
  <c r="D26" i="125" s="1"/>
  <c r="C7" i="125"/>
  <c r="D19" i="125" s="1"/>
  <c r="A2" i="125"/>
  <c r="C8" i="124"/>
  <c r="D8" i="124"/>
  <c r="E8" i="124"/>
  <c r="C9" i="124"/>
  <c r="D9" i="124"/>
  <c r="E9" i="124"/>
  <c r="C10" i="124"/>
  <c r="D20" i="124" s="1"/>
  <c r="D10" i="124"/>
  <c r="D27" i="124" s="1"/>
  <c r="E10" i="124"/>
  <c r="C11" i="124"/>
  <c r="D11" i="124"/>
  <c r="E11" i="124"/>
  <c r="C12" i="124"/>
  <c r="D12" i="124"/>
  <c r="E12" i="124"/>
  <c r="E7" i="124"/>
  <c r="D7" i="124"/>
  <c r="D26" i="124" s="1"/>
  <c r="C7" i="124"/>
  <c r="D19" i="124" s="1"/>
  <c r="A2" i="124"/>
  <c r="C8" i="123"/>
  <c r="D8" i="123"/>
  <c r="E8" i="123"/>
  <c r="E7" i="123"/>
  <c r="D7" i="123"/>
  <c r="C7" i="123"/>
  <c r="A2" i="123"/>
  <c r="C8" i="122"/>
  <c r="D8" i="122"/>
  <c r="E8" i="122"/>
  <c r="C9" i="122"/>
  <c r="D9" i="122"/>
  <c r="E9" i="122"/>
  <c r="C10" i="122"/>
  <c r="D20" i="122" s="1"/>
  <c r="D10" i="122"/>
  <c r="D27" i="122" s="1"/>
  <c r="E10" i="122"/>
  <c r="C11" i="122"/>
  <c r="D11" i="122"/>
  <c r="E11" i="122"/>
  <c r="C12" i="122"/>
  <c r="D12" i="122"/>
  <c r="E12" i="122"/>
  <c r="E7" i="122"/>
  <c r="D7" i="122"/>
  <c r="D26" i="122" s="1"/>
  <c r="C7" i="122"/>
  <c r="D19" i="122" s="1"/>
  <c r="A2" i="122"/>
  <c r="C8" i="121"/>
  <c r="D8" i="121"/>
  <c r="E8" i="121"/>
  <c r="C9" i="121"/>
  <c r="D9" i="121"/>
  <c r="E9" i="121"/>
  <c r="C10" i="121"/>
  <c r="D20" i="121" s="1"/>
  <c r="D10" i="121"/>
  <c r="D27" i="121" s="1"/>
  <c r="E10" i="121"/>
  <c r="C11" i="121"/>
  <c r="D11" i="121"/>
  <c r="E11" i="121"/>
  <c r="C12" i="121"/>
  <c r="D12" i="121"/>
  <c r="E12" i="121"/>
  <c r="E7" i="121"/>
  <c r="D7" i="121"/>
  <c r="D26" i="121" s="1"/>
  <c r="C7" i="121"/>
  <c r="D19" i="121" s="1"/>
  <c r="A2" i="121"/>
  <c r="C8" i="120"/>
  <c r="D8" i="120"/>
  <c r="E8" i="120"/>
  <c r="C9" i="120"/>
  <c r="D9" i="120"/>
  <c r="E9" i="120"/>
  <c r="C10" i="120"/>
  <c r="D20" i="120" s="1"/>
  <c r="D10" i="120"/>
  <c r="D27" i="120" s="1"/>
  <c r="E10" i="120"/>
  <c r="C11" i="120"/>
  <c r="D11" i="120"/>
  <c r="E11" i="120"/>
  <c r="C12" i="120"/>
  <c r="D12" i="120"/>
  <c r="E12" i="120"/>
  <c r="E7" i="120"/>
  <c r="D7" i="120"/>
  <c r="D26" i="120" s="1"/>
  <c r="C7" i="120"/>
  <c r="D19" i="120" s="1"/>
  <c r="A2" i="120"/>
  <c r="C8" i="119"/>
  <c r="D8" i="119"/>
  <c r="E8" i="119"/>
  <c r="C9" i="119"/>
  <c r="D9" i="119"/>
  <c r="E9" i="119"/>
  <c r="C10" i="119"/>
  <c r="D20" i="119" s="1"/>
  <c r="D10" i="119"/>
  <c r="D27" i="119" s="1"/>
  <c r="E10" i="119"/>
  <c r="C11" i="119"/>
  <c r="D11" i="119"/>
  <c r="E11" i="119"/>
  <c r="C12" i="119"/>
  <c r="D12" i="119"/>
  <c r="E12" i="119"/>
  <c r="E7" i="119"/>
  <c r="D7" i="119"/>
  <c r="D26" i="119" s="1"/>
  <c r="C7" i="119"/>
  <c r="D19" i="119" s="1"/>
  <c r="A2" i="119"/>
  <c r="C8" i="118"/>
  <c r="D8" i="118"/>
  <c r="E8" i="118"/>
  <c r="C9" i="118"/>
  <c r="D9" i="118"/>
  <c r="E9" i="118"/>
  <c r="C10" i="118"/>
  <c r="D20" i="118" s="1"/>
  <c r="D10" i="118"/>
  <c r="D27" i="118" s="1"/>
  <c r="E10" i="118"/>
  <c r="C11" i="118"/>
  <c r="D11" i="118"/>
  <c r="E11" i="118"/>
  <c r="C12" i="118"/>
  <c r="D12" i="118"/>
  <c r="E12" i="118"/>
  <c r="E7" i="118"/>
  <c r="D7" i="118"/>
  <c r="D26" i="118" s="1"/>
  <c r="C7" i="118"/>
  <c r="D19" i="118" s="1"/>
  <c r="A2" i="118"/>
  <c r="C8" i="117"/>
  <c r="D8" i="117"/>
  <c r="E8" i="117"/>
  <c r="C9" i="117"/>
  <c r="D9" i="117"/>
  <c r="E9" i="117"/>
  <c r="C10" i="117"/>
  <c r="D20" i="117" s="1"/>
  <c r="D10" i="117"/>
  <c r="D27" i="117" s="1"/>
  <c r="E10" i="117"/>
  <c r="C11" i="117"/>
  <c r="D11" i="117"/>
  <c r="E11" i="117"/>
  <c r="C12" i="117"/>
  <c r="D12" i="117"/>
  <c r="E12" i="117"/>
  <c r="E7" i="117"/>
  <c r="D7" i="117"/>
  <c r="D26" i="117" s="1"/>
  <c r="C7" i="117"/>
  <c r="D19" i="117" s="1"/>
  <c r="A2" i="117"/>
  <c r="C8" i="116"/>
  <c r="D8" i="116"/>
  <c r="E8" i="116"/>
  <c r="C9" i="116"/>
  <c r="D9" i="116"/>
  <c r="E9" i="116"/>
  <c r="C10" i="116"/>
  <c r="D20" i="116" s="1"/>
  <c r="D10" i="116"/>
  <c r="D27" i="116" s="1"/>
  <c r="E10" i="116"/>
  <c r="C11" i="116"/>
  <c r="D11" i="116"/>
  <c r="E11" i="116"/>
  <c r="C12" i="116"/>
  <c r="D12" i="116"/>
  <c r="E12" i="116"/>
  <c r="E7" i="116"/>
  <c r="D7" i="116"/>
  <c r="D26" i="116" s="1"/>
  <c r="C7" i="116"/>
  <c r="D19" i="116" s="1"/>
  <c r="A2" i="116"/>
  <c r="C8" i="115"/>
  <c r="D8" i="115"/>
  <c r="E8" i="115"/>
  <c r="C9" i="115"/>
  <c r="D9" i="115"/>
  <c r="E9" i="115"/>
  <c r="C10" i="115"/>
  <c r="D20" i="115" s="1"/>
  <c r="D10" i="115"/>
  <c r="D27" i="115" s="1"/>
  <c r="E10" i="115"/>
  <c r="C11" i="115"/>
  <c r="D11" i="115"/>
  <c r="E11" i="115"/>
  <c r="C12" i="115"/>
  <c r="D12" i="115"/>
  <c r="E12" i="115"/>
  <c r="E7" i="115"/>
  <c r="D7" i="115"/>
  <c r="D26" i="115" s="1"/>
  <c r="C7" i="115"/>
  <c r="D19" i="115" s="1"/>
  <c r="A2" i="115"/>
  <c r="C8" i="114"/>
  <c r="D8" i="114"/>
  <c r="E8" i="114"/>
  <c r="C9" i="114"/>
  <c r="D9" i="114"/>
  <c r="E9" i="114"/>
  <c r="C10" i="114"/>
  <c r="D20" i="114" s="1"/>
  <c r="D10" i="114"/>
  <c r="D27" i="114" s="1"/>
  <c r="E10" i="114"/>
  <c r="C11" i="114"/>
  <c r="D11" i="114"/>
  <c r="E11" i="114"/>
  <c r="C12" i="114"/>
  <c r="D12" i="114"/>
  <c r="E12" i="114"/>
  <c r="E7" i="114"/>
  <c r="D7" i="114"/>
  <c r="D26" i="114" s="1"/>
  <c r="C7" i="114"/>
  <c r="D19" i="114" s="1"/>
  <c r="A2" i="114"/>
  <c r="C8" i="113"/>
  <c r="D8" i="113"/>
  <c r="E8" i="113"/>
  <c r="C9" i="113"/>
  <c r="D9" i="113"/>
  <c r="E9" i="113"/>
  <c r="C10" i="113"/>
  <c r="D20" i="113" s="1"/>
  <c r="D10" i="113"/>
  <c r="D27" i="113" s="1"/>
  <c r="E10" i="113"/>
  <c r="C11" i="113"/>
  <c r="D11" i="113"/>
  <c r="E11" i="113"/>
  <c r="C12" i="113"/>
  <c r="D12" i="113"/>
  <c r="E12" i="113"/>
  <c r="E7" i="113"/>
  <c r="D7" i="113"/>
  <c r="D26" i="113" s="1"/>
  <c r="C7" i="113"/>
  <c r="D19" i="113" s="1"/>
  <c r="A2" i="113"/>
  <c r="C8" i="112"/>
  <c r="D8" i="112"/>
  <c r="E8" i="112"/>
  <c r="C9" i="112"/>
  <c r="D9" i="112"/>
  <c r="E9" i="112"/>
  <c r="C10" i="112"/>
  <c r="D20" i="112" s="1"/>
  <c r="D10" i="112"/>
  <c r="D27" i="112" s="1"/>
  <c r="E10" i="112"/>
  <c r="C11" i="112"/>
  <c r="D11" i="112"/>
  <c r="E11" i="112"/>
  <c r="C12" i="112"/>
  <c r="D12" i="112"/>
  <c r="E12" i="112"/>
  <c r="E7" i="112"/>
  <c r="D7" i="112"/>
  <c r="D26" i="112" s="1"/>
  <c r="C7" i="112"/>
  <c r="D19" i="112" s="1"/>
  <c r="A2" i="112"/>
  <c r="C8" i="111"/>
  <c r="D8" i="111"/>
  <c r="E8" i="111"/>
  <c r="C9" i="111"/>
  <c r="D9" i="111"/>
  <c r="E9" i="111"/>
  <c r="C10" i="111"/>
  <c r="D20" i="111" s="1"/>
  <c r="D10" i="111"/>
  <c r="D27" i="111" s="1"/>
  <c r="E10" i="111"/>
  <c r="C11" i="111"/>
  <c r="D11" i="111"/>
  <c r="E11" i="111"/>
  <c r="C12" i="111"/>
  <c r="D12" i="111"/>
  <c r="E12" i="111"/>
  <c r="E7" i="111"/>
  <c r="D7" i="111"/>
  <c r="D26" i="111" s="1"/>
  <c r="C7" i="111"/>
  <c r="D19" i="111" s="1"/>
  <c r="A2" i="111"/>
  <c r="C8" i="110"/>
  <c r="D8" i="110"/>
  <c r="E8" i="110"/>
  <c r="C9" i="110"/>
  <c r="D9" i="110"/>
  <c r="E9" i="110"/>
  <c r="C10" i="110"/>
  <c r="D20" i="110" s="1"/>
  <c r="D10" i="110"/>
  <c r="D27" i="110" s="1"/>
  <c r="E10" i="110"/>
  <c r="C11" i="110"/>
  <c r="D11" i="110"/>
  <c r="E11" i="110"/>
  <c r="C12" i="110"/>
  <c r="D12" i="110"/>
  <c r="E12" i="110"/>
  <c r="E7" i="110"/>
  <c r="D7" i="110"/>
  <c r="D26" i="110" s="1"/>
  <c r="C7" i="110"/>
  <c r="D19" i="110" s="1"/>
  <c r="A2" i="110"/>
  <c r="C8" i="109"/>
  <c r="D8" i="109"/>
  <c r="E8" i="109"/>
  <c r="C9" i="109"/>
  <c r="D9" i="109"/>
  <c r="E9" i="109"/>
  <c r="C10" i="109"/>
  <c r="D20" i="109" s="1"/>
  <c r="D10" i="109"/>
  <c r="D27" i="109" s="1"/>
  <c r="E10" i="109"/>
  <c r="C11" i="109"/>
  <c r="D11" i="109"/>
  <c r="E11" i="109"/>
  <c r="C12" i="109"/>
  <c r="D12" i="109"/>
  <c r="E12" i="109"/>
  <c r="E7" i="109"/>
  <c r="D7" i="109"/>
  <c r="D26" i="109" s="1"/>
  <c r="C7" i="109"/>
  <c r="D19" i="109" s="1"/>
  <c r="A2" i="109"/>
  <c r="C8" i="108"/>
  <c r="D8" i="108"/>
  <c r="E8" i="108"/>
  <c r="E7" i="108"/>
  <c r="D7" i="108"/>
  <c r="C7" i="108"/>
  <c r="A2" i="108"/>
  <c r="C8" i="107"/>
  <c r="D8" i="107"/>
  <c r="E8" i="107"/>
  <c r="C9" i="107"/>
  <c r="D9" i="107"/>
  <c r="E9" i="107"/>
  <c r="C10" i="107"/>
  <c r="D20" i="107" s="1"/>
  <c r="D10" i="107"/>
  <c r="D27" i="107" s="1"/>
  <c r="E10" i="107"/>
  <c r="C11" i="107"/>
  <c r="D11" i="107"/>
  <c r="E11" i="107"/>
  <c r="C12" i="107"/>
  <c r="D12" i="107"/>
  <c r="E12" i="107"/>
  <c r="D7" i="107"/>
  <c r="D26" i="107" s="1"/>
  <c r="C7" i="107"/>
  <c r="D19" i="107" s="1"/>
  <c r="A2" i="107"/>
  <c r="C8" i="106"/>
  <c r="D8" i="106"/>
  <c r="E8" i="106"/>
  <c r="C9" i="106"/>
  <c r="D9" i="106"/>
  <c r="E9" i="106"/>
  <c r="C10" i="106"/>
  <c r="D20" i="106" s="1"/>
  <c r="D10" i="106"/>
  <c r="D27" i="106" s="1"/>
  <c r="E10" i="106"/>
  <c r="C11" i="106"/>
  <c r="D11" i="106"/>
  <c r="E11" i="106"/>
  <c r="C12" i="106"/>
  <c r="D12" i="106"/>
  <c r="E12" i="106"/>
  <c r="E7" i="106"/>
  <c r="D7" i="106"/>
  <c r="D26" i="106" s="1"/>
  <c r="C7" i="106"/>
  <c r="D19" i="106" s="1"/>
  <c r="A2" i="106"/>
  <c r="C8" i="105"/>
  <c r="D8" i="105"/>
  <c r="E8" i="105"/>
  <c r="C9" i="105"/>
  <c r="D9" i="105"/>
  <c r="E9" i="105"/>
  <c r="C10" i="105"/>
  <c r="D20" i="105" s="1"/>
  <c r="D10" i="105"/>
  <c r="D27" i="105" s="1"/>
  <c r="E10" i="105"/>
  <c r="C11" i="105"/>
  <c r="D11" i="105"/>
  <c r="E11" i="105"/>
  <c r="C12" i="105"/>
  <c r="D12" i="105"/>
  <c r="E12" i="105"/>
  <c r="E7" i="105"/>
  <c r="D7" i="105"/>
  <c r="D26" i="105" s="1"/>
  <c r="C7" i="105"/>
  <c r="D19" i="105" s="1"/>
  <c r="A2" i="105"/>
  <c r="C8" i="104"/>
  <c r="D8" i="104"/>
  <c r="E8" i="104"/>
  <c r="C9" i="104"/>
  <c r="D9" i="104"/>
  <c r="E9" i="104"/>
  <c r="C10" i="104"/>
  <c r="D20" i="104" s="1"/>
  <c r="D10" i="104"/>
  <c r="D27" i="104" s="1"/>
  <c r="E10" i="104"/>
  <c r="C11" i="104"/>
  <c r="D11" i="104"/>
  <c r="E11" i="104"/>
  <c r="C12" i="104"/>
  <c r="D12" i="104"/>
  <c r="E12" i="104"/>
  <c r="E7" i="104"/>
  <c r="D7" i="104"/>
  <c r="D26" i="104" s="1"/>
  <c r="C7" i="104"/>
  <c r="D19" i="104" s="1"/>
  <c r="A2" i="104"/>
  <c r="C8" i="103"/>
  <c r="D8" i="103"/>
  <c r="E8" i="103"/>
  <c r="C9" i="103"/>
  <c r="D9" i="103"/>
  <c r="E9" i="103"/>
  <c r="C10" i="103"/>
  <c r="D20" i="103" s="1"/>
  <c r="D10" i="103"/>
  <c r="D27" i="103" s="1"/>
  <c r="E10" i="103"/>
  <c r="C11" i="103"/>
  <c r="D11" i="103"/>
  <c r="E11" i="103"/>
  <c r="C12" i="103"/>
  <c r="D12" i="103"/>
  <c r="E12" i="103"/>
  <c r="E7" i="103"/>
  <c r="D7" i="103"/>
  <c r="D26" i="103" s="1"/>
  <c r="C7" i="103"/>
  <c r="D19" i="103" s="1"/>
  <c r="A2" i="103"/>
  <c r="C8" i="102"/>
  <c r="D8" i="102"/>
  <c r="E8" i="102"/>
  <c r="C9" i="102"/>
  <c r="D9" i="102"/>
  <c r="E9" i="102"/>
  <c r="C10" i="102"/>
  <c r="D20" i="102" s="1"/>
  <c r="D10" i="102"/>
  <c r="D27" i="102" s="1"/>
  <c r="E10" i="102"/>
  <c r="C11" i="102"/>
  <c r="D11" i="102"/>
  <c r="E11" i="102"/>
  <c r="C12" i="102"/>
  <c r="D12" i="102"/>
  <c r="E12" i="102"/>
  <c r="D7" i="102"/>
  <c r="C7" i="102"/>
  <c r="D19" i="102" s="1"/>
  <c r="A2" i="102"/>
  <c r="C8" i="101"/>
  <c r="D8" i="101"/>
  <c r="E8" i="101"/>
  <c r="C9" i="101"/>
  <c r="D9" i="101"/>
  <c r="E9" i="101"/>
  <c r="C10" i="101"/>
  <c r="D20" i="101" s="1"/>
  <c r="D10" i="101"/>
  <c r="D27" i="101" s="1"/>
  <c r="E10" i="101"/>
  <c r="C11" i="101"/>
  <c r="D11" i="101"/>
  <c r="E11" i="101"/>
  <c r="C12" i="101"/>
  <c r="D12" i="101"/>
  <c r="E12" i="101"/>
  <c r="E7" i="101"/>
  <c r="D7" i="101"/>
  <c r="D26" i="101" s="1"/>
  <c r="C7" i="101"/>
  <c r="D19" i="101" s="1"/>
  <c r="A2" i="101"/>
  <c r="C8" i="100"/>
  <c r="D8" i="100"/>
  <c r="E8" i="100"/>
  <c r="C9" i="100"/>
  <c r="D9" i="100"/>
  <c r="E9" i="100"/>
  <c r="C10" i="100"/>
  <c r="D20" i="100" s="1"/>
  <c r="D10" i="100"/>
  <c r="D27" i="100" s="1"/>
  <c r="E10" i="100"/>
  <c r="C11" i="100"/>
  <c r="D11" i="100"/>
  <c r="E11" i="100"/>
  <c r="C12" i="100"/>
  <c r="D12" i="100"/>
  <c r="E12" i="100"/>
  <c r="E7" i="100"/>
  <c r="D7" i="100"/>
  <c r="D26" i="100" s="1"/>
  <c r="C7" i="100"/>
  <c r="D19" i="100" s="1"/>
  <c r="A2" i="100"/>
  <c r="C8" i="99"/>
  <c r="D8" i="99"/>
  <c r="E8" i="99"/>
  <c r="C9" i="99"/>
  <c r="D9" i="99"/>
  <c r="E9" i="99"/>
  <c r="C10" i="99"/>
  <c r="D20" i="99" s="1"/>
  <c r="D10" i="99"/>
  <c r="D27" i="99" s="1"/>
  <c r="E10" i="99"/>
  <c r="C11" i="99"/>
  <c r="D11" i="99"/>
  <c r="E11" i="99"/>
  <c r="C12" i="99"/>
  <c r="D12" i="99"/>
  <c r="E12" i="99"/>
  <c r="E7" i="99"/>
  <c r="D7" i="99"/>
  <c r="D26" i="99" s="1"/>
  <c r="C7" i="99"/>
  <c r="D19" i="99" s="1"/>
  <c r="A2" i="99"/>
  <c r="E12" i="98"/>
  <c r="D12" i="98"/>
  <c r="C12" i="98"/>
  <c r="E11" i="98"/>
  <c r="D11" i="98"/>
  <c r="D28" i="98" s="1"/>
  <c r="C11" i="98"/>
  <c r="D21" i="98" s="1"/>
  <c r="E10" i="98"/>
  <c r="D10" i="98"/>
  <c r="D27" i="98" s="1"/>
  <c r="C10" i="98"/>
  <c r="D20" i="98" s="1"/>
  <c r="E9" i="98"/>
  <c r="D9" i="98"/>
  <c r="C9" i="98"/>
  <c r="E8" i="98"/>
  <c r="D8" i="98"/>
  <c r="D25" i="98" s="1"/>
  <c r="C8" i="98"/>
  <c r="D18" i="98" s="1"/>
  <c r="E7" i="98"/>
  <c r="D7" i="98"/>
  <c r="D26" i="98" s="1"/>
  <c r="E26" i="98" s="1"/>
  <c r="C7" i="98"/>
  <c r="D19" i="98" s="1"/>
  <c r="E19" i="98" s="1"/>
  <c r="A2" i="98"/>
  <c r="C8" i="97"/>
  <c r="D8" i="97"/>
  <c r="E8" i="97"/>
  <c r="C9" i="97"/>
  <c r="D9" i="97"/>
  <c r="E9" i="97"/>
  <c r="C10" i="97"/>
  <c r="D20" i="97" s="1"/>
  <c r="D10" i="97"/>
  <c r="D27" i="97" s="1"/>
  <c r="E10" i="97"/>
  <c r="C11" i="97"/>
  <c r="D11" i="97"/>
  <c r="E11" i="97"/>
  <c r="C12" i="97"/>
  <c r="D12" i="97"/>
  <c r="E12" i="97"/>
  <c r="E7" i="97"/>
  <c r="D7" i="97"/>
  <c r="D26" i="97" s="1"/>
  <c r="C7" i="97"/>
  <c r="D19" i="97" s="1"/>
  <c r="A2" i="97"/>
  <c r="C8" i="96"/>
  <c r="D8" i="96"/>
  <c r="E8" i="96"/>
  <c r="C9" i="96"/>
  <c r="D9" i="96"/>
  <c r="E9" i="96"/>
  <c r="C10" i="96"/>
  <c r="D20" i="96" s="1"/>
  <c r="D10" i="96"/>
  <c r="D27" i="96" s="1"/>
  <c r="E10" i="96"/>
  <c r="C11" i="96"/>
  <c r="D11" i="96"/>
  <c r="E11" i="96"/>
  <c r="C12" i="96"/>
  <c r="D12" i="96"/>
  <c r="E12" i="96"/>
  <c r="E7" i="96"/>
  <c r="D7" i="96"/>
  <c r="D26" i="96" s="1"/>
  <c r="C7" i="96"/>
  <c r="D19" i="96" s="1"/>
  <c r="A2" i="96"/>
  <c r="C8" i="95"/>
  <c r="D8" i="95"/>
  <c r="E8" i="95"/>
  <c r="C9" i="95"/>
  <c r="D9" i="95"/>
  <c r="E9" i="95"/>
  <c r="C10" i="95"/>
  <c r="D20" i="95" s="1"/>
  <c r="D10" i="95"/>
  <c r="D27" i="95" s="1"/>
  <c r="E10" i="95"/>
  <c r="C11" i="95"/>
  <c r="D11" i="95"/>
  <c r="E11" i="95"/>
  <c r="C12" i="95"/>
  <c r="D12" i="95"/>
  <c r="E12" i="95"/>
  <c r="E7" i="95"/>
  <c r="D7" i="95"/>
  <c r="D26" i="95" s="1"/>
  <c r="C7" i="95"/>
  <c r="D19" i="95" s="1"/>
  <c r="A2" i="95"/>
  <c r="C8" i="94"/>
  <c r="D8" i="94"/>
  <c r="E8" i="94"/>
  <c r="C9" i="94"/>
  <c r="D9" i="94"/>
  <c r="E9" i="94"/>
  <c r="C10" i="94"/>
  <c r="D20" i="94" s="1"/>
  <c r="D10" i="94"/>
  <c r="D27" i="94" s="1"/>
  <c r="E10" i="94"/>
  <c r="C11" i="94"/>
  <c r="D11" i="94"/>
  <c r="E11" i="94"/>
  <c r="C12" i="94"/>
  <c r="D12" i="94"/>
  <c r="E12" i="94"/>
  <c r="E7" i="94"/>
  <c r="D7" i="94"/>
  <c r="D26" i="94" s="1"/>
  <c r="C7" i="94"/>
  <c r="D19" i="94" s="1"/>
  <c r="A2" i="94"/>
  <c r="C8" i="93"/>
  <c r="D8" i="93"/>
  <c r="E8" i="93"/>
  <c r="C9" i="93"/>
  <c r="D9" i="93"/>
  <c r="E9" i="93"/>
  <c r="C10" i="93"/>
  <c r="D20" i="93" s="1"/>
  <c r="D10" i="93"/>
  <c r="D27" i="93" s="1"/>
  <c r="E10" i="93"/>
  <c r="C11" i="93"/>
  <c r="D11" i="93"/>
  <c r="E11" i="93"/>
  <c r="C12" i="93"/>
  <c r="D12" i="93"/>
  <c r="E12" i="93"/>
  <c r="E7" i="93"/>
  <c r="D7" i="93"/>
  <c r="D26" i="93" s="1"/>
  <c r="C7" i="93"/>
  <c r="D19" i="93" s="1"/>
  <c r="A2" i="93"/>
  <c r="C8" i="92"/>
  <c r="D8" i="92"/>
  <c r="E8" i="92"/>
  <c r="C9" i="92"/>
  <c r="D9" i="92"/>
  <c r="E9" i="92"/>
  <c r="C10" i="92"/>
  <c r="D20" i="92" s="1"/>
  <c r="D10" i="92"/>
  <c r="D27" i="92" s="1"/>
  <c r="E10" i="92"/>
  <c r="C11" i="92"/>
  <c r="D11" i="92"/>
  <c r="E11" i="92"/>
  <c r="C12" i="92"/>
  <c r="D12" i="92"/>
  <c r="E12" i="92"/>
  <c r="E7" i="92"/>
  <c r="D7" i="92"/>
  <c r="D26" i="92" s="1"/>
  <c r="C7" i="92"/>
  <c r="D19" i="92" s="1"/>
  <c r="A2" i="92"/>
  <c r="C8" i="91"/>
  <c r="D8" i="91"/>
  <c r="E8" i="91"/>
  <c r="C9" i="91"/>
  <c r="D9" i="91"/>
  <c r="E9" i="91"/>
  <c r="C10" i="91"/>
  <c r="D20" i="91" s="1"/>
  <c r="D10" i="91"/>
  <c r="D27" i="91" s="1"/>
  <c r="E10" i="91"/>
  <c r="C11" i="91"/>
  <c r="D11" i="91"/>
  <c r="E11" i="91"/>
  <c r="C12" i="91"/>
  <c r="D12" i="91"/>
  <c r="E12" i="91"/>
  <c r="E7" i="91"/>
  <c r="D7" i="91"/>
  <c r="D26" i="91" s="1"/>
  <c r="C7" i="91"/>
  <c r="D19" i="91" s="1"/>
  <c r="A2" i="91"/>
  <c r="C8" i="90"/>
  <c r="D8" i="90"/>
  <c r="E8" i="90"/>
  <c r="C9" i="90"/>
  <c r="D9" i="90"/>
  <c r="E9" i="90"/>
  <c r="C10" i="90"/>
  <c r="D20" i="90" s="1"/>
  <c r="D10" i="90"/>
  <c r="D27" i="90" s="1"/>
  <c r="E10" i="90"/>
  <c r="C11" i="90"/>
  <c r="D11" i="90"/>
  <c r="E11" i="90"/>
  <c r="C12" i="90"/>
  <c r="D12" i="90"/>
  <c r="E12" i="90"/>
  <c r="E7" i="90"/>
  <c r="D7" i="90"/>
  <c r="D26" i="90" s="1"/>
  <c r="C7" i="90"/>
  <c r="D19" i="90" s="1"/>
  <c r="A2" i="90"/>
  <c r="C8" i="89"/>
  <c r="D8" i="89"/>
  <c r="E8" i="89"/>
  <c r="C9" i="89"/>
  <c r="D9" i="89"/>
  <c r="E9" i="89"/>
  <c r="C10" i="89"/>
  <c r="D20" i="89" s="1"/>
  <c r="D10" i="89"/>
  <c r="D27" i="89" s="1"/>
  <c r="E10" i="89"/>
  <c r="C11" i="89"/>
  <c r="D11" i="89"/>
  <c r="E11" i="89"/>
  <c r="C12" i="89"/>
  <c r="D12" i="89"/>
  <c r="E12" i="89"/>
  <c r="E7" i="89"/>
  <c r="D7" i="89"/>
  <c r="D26" i="89" s="1"/>
  <c r="C7" i="89"/>
  <c r="D19" i="89" s="1"/>
  <c r="A2" i="89"/>
  <c r="C8" i="88"/>
  <c r="D8" i="88"/>
  <c r="E8" i="88"/>
  <c r="C9" i="88"/>
  <c r="D9" i="88"/>
  <c r="E9" i="88"/>
  <c r="C10" i="88"/>
  <c r="D20" i="88" s="1"/>
  <c r="D10" i="88"/>
  <c r="D27" i="88" s="1"/>
  <c r="E10" i="88"/>
  <c r="C11" i="88"/>
  <c r="D11" i="88"/>
  <c r="E11" i="88"/>
  <c r="C12" i="88"/>
  <c r="D12" i="88"/>
  <c r="E12" i="88"/>
  <c r="E7" i="88"/>
  <c r="D7" i="88"/>
  <c r="D26" i="88" s="1"/>
  <c r="C7" i="88"/>
  <c r="D19" i="88" s="1"/>
  <c r="A2" i="88"/>
  <c r="C7" i="87"/>
  <c r="D19" i="87" s="1"/>
  <c r="D7" i="87"/>
  <c r="D26" i="87" s="1"/>
  <c r="E7" i="87"/>
  <c r="C8" i="87"/>
  <c r="D8" i="87"/>
  <c r="E8" i="87"/>
  <c r="C9" i="87"/>
  <c r="D9" i="87"/>
  <c r="E9" i="87"/>
  <c r="C10" i="87"/>
  <c r="D20" i="87" s="1"/>
  <c r="D10" i="87"/>
  <c r="D27" i="87" s="1"/>
  <c r="E10" i="87"/>
  <c r="C11" i="87"/>
  <c r="D11" i="87"/>
  <c r="E11" i="87"/>
  <c r="C12" i="87"/>
  <c r="D12" i="87"/>
  <c r="E12" i="87"/>
  <c r="A2" i="87"/>
  <c r="C8" i="86"/>
  <c r="D8" i="86"/>
  <c r="E8" i="86"/>
  <c r="C9" i="86"/>
  <c r="D9" i="86"/>
  <c r="E9" i="86"/>
  <c r="C10" i="86"/>
  <c r="D20" i="86" s="1"/>
  <c r="D10" i="86"/>
  <c r="D27" i="86" s="1"/>
  <c r="E10" i="86"/>
  <c r="C11" i="86"/>
  <c r="D11" i="86"/>
  <c r="E11" i="86"/>
  <c r="C12" i="86"/>
  <c r="D12" i="86"/>
  <c r="E12" i="86"/>
  <c r="E7" i="86"/>
  <c r="D7" i="86"/>
  <c r="D26" i="86" s="1"/>
  <c r="C7" i="86"/>
  <c r="D19" i="86" s="1"/>
  <c r="A2" i="86"/>
  <c r="C8" i="85"/>
  <c r="D8" i="85"/>
  <c r="E8" i="85"/>
  <c r="C9" i="85"/>
  <c r="D9" i="85"/>
  <c r="E9" i="85"/>
  <c r="C10" i="85"/>
  <c r="D20" i="85" s="1"/>
  <c r="D10" i="85"/>
  <c r="D27" i="85" s="1"/>
  <c r="E10" i="85"/>
  <c r="C11" i="85"/>
  <c r="D11" i="85"/>
  <c r="E11" i="85"/>
  <c r="C12" i="85"/>
  <c r="D12" i="85"/>
  <c r="E12" i="85"/>
  <c r="E7" i="85"/>
  <c r="D7" i="85"/>
  <c r="D26" i="85" s="1"/>
  <c r="C7" i="85"/>
  <c r="D19" i="85" s="1"/>
  <c r="A2" i="85"/>
  <c r="C8" i="84"/>
  <c r="D8" i="84"/>
  <c r="E8" i="84"/>
  <c r="C9" i="84"/>
  <c r="D9" i="84"/>
  <c r="E9" i="84"/>
  <c r="C10" i="84"/>
  <c r="D20" i="84" s="1"/>
  <c r="D10" i="84"/>
  <c r="D27" i="84" s="1"/>
  <c r="E10" i="84"/>
  <c r="C11" i="84"/>
  <c r="D11" i="84"/>
  <c r="E11" i="84"/>
  <c r="C12" i="84"/>
  <c r="D12" i="84"/>
  <c r="E12" i="84"/>
  <c r="E7" i="84"/>
  <c r="D7" i="84"/>
  <c r="D26" i="84" s="1"/>
  <c r="C7" i="84"/>
  <c r="D19" i="84" s="1"/>
  <c r="A2" i="84"/>
  <c r="C8" i="83"/>
  <c r="D8" i="83"/>
  <c r="E8" i="83"/>
  <c r="C9" i="83"/>
  <c r="D9" i="83"/>
  <c r="E9" i="83"/>
  <c r="C10" i="83"/>
  <c r="D20" i="83" s="1"/>
  <c r="D10" i="83"/>
  <c r="D27" i="83" s="1"/>
  <c r="E10" i="83"/>
  <c r="C11" i="83"/>
  <c r="D11" i="83"/>
  <c r="E11" i="83"/>
  <c r="C12" i="83"/>
  <c r="D12" i="83"/>
  <c r="E12" i="83"/>
  <c r="E7" i="83"/>
  <c r="D7" i="83"/>
  <c r="D26" i="83" s="1"/>
  <c r="C7" i="83"/>
  <c r="D19" i="83" s="1"/>
  <c r="A2" i="83"/>
  <c r="C8" i="82"/>
  <c r="D8" i="82"/>
  <c r="E8" i="82"/>
  <c r="C9" i="82"/>
  <c r="D9" i="82"/>
  <c r="E9" i="82"/>
  <c r="C10" i="82"/>
  <c r="D20" i="82" s="1"/>
  <c r="D10" i="82"/>
  <c r="D27" i="82" s="1"/>
  <c r="E10" i="82"/>
  <c r="C11" i="82"/>
  <c r="D11" i="82"/>
  <c r="E11" i="82"/>
  <c r="C12" i="82"/>
  <c r="D12" i="82"/>
  <c r="E12" i="82"/>
  <c r="E7" i="82"/>
  <c r="D7" i="82"/>
  <c r="D26" i="82" s="1"/>
  <c r="C7" i="82"/>
  <c r="D19" i="82" s="1"/>
  <c r="A2" i="82"/>
  <c r="C8" i="81"/>
  <c r="D8" i="81"/>
  <c r="E8" i="81"/>
  <c r="C9" i="81"/>
  <c r="D9" i="81"/>
  <c r="E9" i="81"/>
  <c r="C10" i="81"/>
  <c r="D20" i="81" s="1"/>
  <c r="D10" i="81"/>
  <c r="D27" i="81" s="1"/>
  <c r="C11" i="81"/>
  <c r="D11" i="81"/>
  <c r="E11" i="81"/>
  <c r="C12" i="81"/>
  <c r="D12" i="81"/>
  <c r="E12" i="81"/>
  <c r="E7" i="81"/>
  <c r="D7" i="81"/>
  <c r="D26" i="81" s="1"/>
  <c r="C7" i="81"/>
  <c r="D19" i="81" s="1"/>
  <c r="A2" i="81"/>
  <c r="C8" i="80"/>
  <c r="D8" i="80"/>
  <c r="E8" i="80"/>
  <c r="E7" i="80"/>
  <c r="D7" i="80"/>
  <c r="C7" i="80"/>
  <c r="A2" i="80"/>
  <c r="E8" i="79"/>
  <c r="E7" i="79"/>
  <c r="C8" i="79"/>
  <c r="D8" i="79"/>
  <c r="D7" i="79"/>
  <c r="C7" i="79"/>
  <c r="C6" i="79" s="1"/>
  <c r="A2" i="79"/>
  <c r="E10" i="78"/>
  <c r="D10" i="78"/>
  <c r="C10" i="78"/>
  <c r="C8" i="78"/>
  <c r="D8" i="78"/>
  <c r="E8" i="78"/>
  <c r="C9" i="78"/>
  <c r="D9" i="78"/>
  <c r="E9" i="78"/>
  <c r="E7" i="78"/>
  <c r="D7" i="78"/>
  <c r="A2" i="78"/>
  <c r="E12" i="77"/>
  <c r="D12" i="77"/>
  <c r="C12" i="77"/>
  <c r="E11" i="77"/>
  <c r="D11" i="77"/>
  <c r="C11" i="77"/>
  <c r="E10" i="77"/>
  <c r="D10" i="77"/>
  <c r="D27" i="77" s="1"/>
  <c r="C10" i="77"/>
  <c r="D20" i="77" s="1"/>
  <c r="E9" i="77"/>
  <c r="D9" i="77"/>
  <c r="C9" i="77"/>
  <c r="E8" i="77"/>
  <c r="D8" i="77"/>
  <c r="C8" i="77"/>
  <c r="E7" i="77"/>
  <c r="D7" i="77"/>
  <c r="D26" i="77" s="1"/>
  <c r="C7" i="77"/>
  <c r="D19" i="77" s="1"/>
  <c r="A2" i="77"/>
  <c r="C8" i="76"/>
  <c r="D8" i="76"/>
  <c r="E8" i="76"/>
  <c r="C9" i="76"/>
  <c r="D9" i="76"/>
  <c r="E9" i="76"/>
  <c r="C10" i="76"/>
  <c r="D20" i="76" s="1"/>
  <c r="D10" i="76"/>
  <c r="D27" i="76" s="1"/>
  <c r="E10" i="76"/>
  <c r="C11" i="76"/>
  <c r="D11" i="76"/>
  <c r="E11" i="76"/>
  <c r="C12" i="76"/>
  <c r="D12" i="76"/>
  <c r="E12" i="76"/>
  <c r="E7" i="76"/>
  <c r="D7" i="76"/>
  <c r="D26" i="76" s="1"/>
  <c r="C7" i="76"/>
  <c r="D19" i="76" s="1"/>
  <c r="A2" i="76"/>
  <c r="C8" i="75"/>
  <c r="D8" i="75"/>
  <c r="E8" i="75"/>
  <c r="C9" i="75"/>
  <c r="D9" i="75"/>
  <c r="E9" i="75"/>
  <c r="C10" i="75"/>
  <c r="D20" i="75" s="1"/>
  <c r="D10" i="75"/>
  <c r="D27" i="75" s="1"/>
  <c r="E10" i="75"/>
  <c r="C11" i="75"/>
  <c r="D11" i="75"/>
  <c r="E11" i="75"/>
  <c r="C12" i="75"/>
  <c r="D12" i="75"/>
  <c r="E12" i="75"/>
  <c r="E7" i="75"/>
  <c r="D7" i="75"/>
  <c r="D26" i="75" s="1"/>
  <c r="C7" i="75"/>
  <c r="D19" i="75" s="1"/>
  <c r="A2" i="75"/>
  <c r="C8" i="3"/>
  <c r="D8" i="3"/>
  <c r="E8" i="3"/>
  <c r="C9" i="3"/>
  <c r="D9" i="3"/>
  <c r="E9" i="3"/>
  <c r="C10" i="3"/>
  <c r="D20" i="3" s="1"/>
  <c r="D10" i="3"/>
  <c r="D27" i="3" s="1"/>
  <c r="E10" i="3"/>
  <c r="C11" i="3"/>
  <c r="D11" i="3"/>
  <c r="E11" i="3"/>
  <c r="C12" i="3"/>
  <c r="D12" i="3"/>
  <c r="E12" i="3"/>
  <c r="E7" i="3"/>
  <c r="D7" i="3"/>
  <c r="D26" i="3" s="1"/>
  <c r="C7" i="3"/>
  <c r="D19" i="3" s="1"/>
  <c r="C8" i="73"/>
  <c r="D8" i="73"/>
  <c r="E8" i="73"/>
  <c r="C9" i="73"/>
  <c r="D9" i="73"/>
  <c r="E9" i="73"/>
  <c r="C10" i="73"/>
  <c r="D20" i="73" s="1"/>
  <c r="D10" i="73"/>
  <c r="D27" i="73" s="1"/>
  <c r="E10" i="73"/>
  <c r="C11" i="73"/>
  <c r="D11" i="73"/>
  <c r="E11" i="73"/>
  <c r="C12" i="73"/>
  <c r="D12" i="73"/>
  <c r="E12" i="73"/>
  <c r="E7" i="73"/>
  <c r="D7" i="73"/>
  <c r="D26" i="73" s="1"/>
  <c r="C7" i="73"/>
  <c r="D19" i="73" s="1"/>
  <c r="A2" i="73"/>
  <c r="C8" i="72"/>
  <c r="D8" i="72"/>
  <c r="E8" i="72"/>
  <c r="C9" i="72"/>
  <c r="D9" i="72"/>
  <c r="E9" i="72"/>
  <c r="C10" i="72"/>
  <c r="D20" i="72" s="1"/>
  <c r="D10" i="72"/>
  <c r="D27" i="72" s="1"/>
  <c r="E10" i="72"/>
  <c r="C11" i="72"/>
  <c r="D11" i="72"/>
  <c r="E11" i="72"/>
  <c r="C12" i="72"/>
  <c r="D12" i="72"/>
  <c r="E12" i="72"/>
  <c r="E7" i="72"/>
  <c r="D7" i="72"/>
  <c r="D26" i="72" s="1"/>
  <c r="C7" i="72"/>
  <c r="D19" i="72" s="1"/>
  <c r="A2" i="72"/>
  <c r="C8" i="71"/>
  <c r="D8" i="71"/>
  <c r="E8" i="71"/>
  <c r="C9" i="71"/>
  <c r="D9" i="71"/>
  <c r="E9" i="71"/>
  <c r="C10" i="71"/>
  <c r="D20" i="71" s="1"/>
  <c r="D10" i="71"/>
  <c r="D27" i="71" s="1"/>
  <c r="E10" i="71"/>
  <c r="C11" i="71"/>
  <c r="D11" i="71"/>
  <c r="E11" i="71"/>
  <c r="C12" i="71"/>
  <c r="D12" i="71"/>
  <c r="E12" i="71"/>
  <c r="E7" i="71"/>
  <c r="D7" i="71"/>
  <c r="D26" i="71" s="1"/>
  <c r="C7" i="71"/>
  <c r="D19" i="71" s="1"/>
  <c r="A2" i="71"/>
  <c r="C8" i="70"/>
  <c r="D8" i="70"/>
  <c r="E8" i="70"/>
  <c r="C9" i="70"/>
  <c r="D9" i="70"/>
  <c r="E9" i="70"/>
  <c r="C10" i="70"/>
  <c r="D20" i="70" s="1"/>
  <c r="D10" i="70"/>
  <c r="D27" i="70" s="1"/>
  <c r="E10" i="70"/>
  <c r="C11" i="70"/>
  <c r="D11" i="70"/>
  <c r="E11" i="70"/>
  <c r="C12" i="70"/>
  <c r="D12" i="70"/>
  <c r="E12" i="70"/>
  <c r="E7" i="70"/>
  <c r="D7" i="70"/>
  <c r="D26" i="70" s="1"/>
  <c r="C7" i="70"/>
  <c r="D19" i="70" s="1"/>
  <c r="A2" i="70"/>
  <c r="C8" i="69"/>
  <c r="D8" i="69"/>
  <c r="E8" i="69"/>
  <c r="C9" i="69"/>
  <c r="D9" i="69"/>
  <c r="E9" i="69"/>
  <c r="C10" i="69"/>
  <c r="D20" i="69" s="1"/>
  <c r="D10" i="69"/>
  <c r="D27" i="69" s="1"/>
  <c r="E10" i="69"/>
  <c r="C11" i="69"/>
  <c r="D11" i="69"/>
  <c r="E11" i="69"/>
  <c r="C12" i="69"/>
  <c r="D12" i="69"/>
  <c r="E12" i="69"/>
  <c r="E7" i="69"/>
  <c r="D7" i="69"/>
  <c r="D26" i="69" s="1"/>
  <c r="C7" i="69"/>
  <c r="D19" i="69" s="1"/>
  <c r="A2" i="69"/>
  <c r="C8" i="68"/>
  <c r="D8" i="68"/>
  <c r="E8" i="68"/>
  <c r="C9" i="68"/>
  <c r="D9" i="68"/>
  <c r="E9" i="68"/>
  <c r="C10" i="68"/>
  <c r="D20" i="68" s="1"/>
  <c r="D10" i="68"/>
  <c r="D27" i="68" s="1"/>
  <c r="E10" i="68"/>
  <c r="C11" i="68"/>
  <c r="D11" i="68"/>
  <c r="E11" i="68"/>
  <c r="C12" i="68"/>
  <c r="D12" i="68"/>
  <c r="E12" i="68"/>
  <c r="E7" i="68"/>
  <c r="D7" i="68"/>
  <c r="D26" i="68" s="1"/>
  <c r="C7" i="68"/>
  <c r="D19" i="68" s="1"/>
  <c r="A2" i="68"/>
  <c r="C8" i="67"/>
  <c r="D8" i="67"/>
  <c r="E8" i="67"/>
  <c r="C9" i="67"/>
  <c r="D9" i="67"/>
  <c r="E9" i="67"/>
  <c r="C10" i="67"/>
  <c r="D20" i="67" s="1"/>
  <c r="D10" i="67"/>
  <c r="D27" i="67" s="1"/>
  <c r="E10" i="67"/>
  <c r="C11" i="67"/>
  <c r="D11" i="67"/>
  <c r="E11" i="67"/>
  <c r="C12" i="67"/>
  <c r="D12" i="67"/>
  <c r="E12" i="67"/>
  <c r="E7" i="67"/>
  <c r="D7" i="67"/>
  <c r="D26" i="67" s="1"/>
  <c r="C7" i="67"/>
  <c r="D19" i="67" s="1"/>
  <c r="A2" i="67"/>
  <c r="C8" i="66"/>
  <c r="D8" i="66"/>
  <c r="E8" i="66"/>
  <c r="C9" i="66"/>
  <c r="D9" i="66"/>
  <c r="E9" i="66"/>
  <c r="C10" i="66"/>
  <c r="D20" i="66" s="1"/>
  <c r="D10" i="66"/>
  <c r="D27" i="66" s="1"/>
  <c r="E10" i="66"/>
  <c r="C11" i="66"/>
  <c r="D11" i="66"/>
  <c r="E11" i="66"/>
  <c r="C12" i="66"/>
  <c r="D12" i="66"/>
  <c r="E12" i="66"/>
  <c r="E7" i="66"/>
  <c r="D7" i="66"/>
  <c r="D26" i="66" s="1"/>
  <c r="C7" i="66"/>
  <c r="D19" i="66" s="1"/>
  <c r="A2" i="66"/>
  <c r="C8" i="65"/>
  <c r="D8" i="65"/>
  <c r="E8" i="65"/>
  <c r="C9" i="65"/>
  <c r="D9" i="65"/>
  <c r="E9" i="65"/>
  <c r="C10" i="65"/>
  <c r="D20" i="65" s="1"/>
  <c r="D10" i="65"/>
  <c r="D27" i="65" s="1"/>
  <c r="E10" i="65"/>
  <c r="C11" i="65"/>
  <c r="D11" i="65"/>
  <c r="E11" i="65"/>
  <c r="C12" i="65"/>
  <c r="D12" i="65"/>
  <c r="E12" i="65"/>
  <c r="E7" i="65"/>
  <c r="D7" i="65"/>
  <c r="D26" i="65" s="1"/>
  <c r="C7" i="65"/>
  <c r="D19" i="65" s="1"/>
  <c r="A2" i="65"/>
  <c r="C8" i="64"/>
  <c r="D8" i="64"/>
  <c r="E8" i="64"/>
  <c r="C9" i="64"/>
  <c r="D9" i="64"/>
  <c r="E9" i="64"/>
  <c r="C10" i="64"/>
  <c r="D20" i="64" s="1"/>
  <c r="D10" i="64"/>
  <c r="D27" i="64" s="1"/>
  <c r="E10" i="64"/>
  <c r="C11" i="64"/>
  <c r="D11" i="64"/>
  <c r="E11" i="64"/>
  <c r="C12" i="64"/>
  <c r="D12" i="64"/>
  <c r="E12" i="64"/>
  <c r="E7" i="64"/>
  <c r="D7" i="64"/>
  <c r="D26" i="64" s="1"/>
  <c r="C7" i="64"/>
  <c r="D19" i="64" s="1"/>
  <c r="A2" i="64"/>
  <c r="C8" i="63"/>
  <c r="D8" i="63"/>
  <c r="E8" i="63"/>
  <c r="C9" i="63"/>
  <c r="D9" i="63"/>
  <c r="E9" i="63"/>
  <c r="C10" i="63"/>
  <c r="D20" i="63" s="1"/>
  <c r="D10" i="63"/>
  <c r="D27" i="63" s="1"/>
  <c r="E10" i="63"/>
  <c r="C11" i="63"/>
  <c r="D11" i="63"/>
  <c r="E11" i="63"/>
  <c r="C12" i="63"/>
  <c r="D12" i="63"/>
  <c r="E12" i="63"/>
  <c r="E7" i="63"/>
  <c r="D7" i="63"/>
  <c r="D26" i="63" s="1"/>
  <c r="C7" i="63"/>
  <c r="D19" i="63" s="1"/>
  <c r="A2" i="63"/>
  <c r="C8" i="62"/>
  <c r="D8" i="62"/>
  <c r="E8" i="62"/>
  <c r="C9" i="62"/>
  <c r="D9" i="62"/>
  <c r="E9" i="62"/>
  <c r="C10" i="62"/>
  <c r="D20" i="62" s="1"/>
  <c r="D10" i="62"/>
  <c r="D27" i="62" s="1"/>
  <c r="E10" i="62"/>
  <c r="C11" i="62"/>
  <c r="D11" i="62"/>
  <c r="E11" i="62"/>
  <c r="C12" i="62"/>
  <c r="D12" i="62"/>
  <c r="E12" i="62"/>
  <c r="E7" i="62"/>
  <c r="D7" i="62"/>
  <c r="D26" i="62" s="1"/>
  <c r="C7" i="62"/>
  <c r="D19" i="62" s="1"/>
  <c r="A2" i="62"/>
  <c r="C8" i="61"/>
  <c r="D8" i="61"/>
  <c r="E8" i="61"/>
  <c r="C9" i="61"/>
  <c r="D9" i="61"/>
  <c r="E9" i="61"/>
  <c r="C10" i="61"/>
  <c r="D20" i="61" s="1"/>
  <c r="D10" i="61"/>
  <c r="D27" i="61" s="1"/>
  <c r="E10" i="61"/>
  <c r="C11" i="61"/>
  <c r="D11" i="61"/>
  <c r="E11" i="61"/>
  <c r="C12" i="61"/>
  <c r="D12" i="61"/>
  <c r="E12" i="61"/>
  <c r="E7" i="61"/>
  <c r="D7" i="61"/>
  <c r="D26" i="61" s="1"/>
  <c r="C7" i="61"/>
  <c r="D19" i="61" s="1"/>
  <c r="A2" i="61"/>
  <c r="C8" i="60"/>
  <c r="D8" i="60"/>
  <c r="E8" i="60"/>
  <c r="C9" i="60"/>
  <c r="D9" i="60"/>
  <c r="E9" i="60"/>
  <c r="C10" i="60"/>
  <c r="D20" i="60" s="1"/>
  <c r="D10" i="60"/>
  <c r="D27" i="60" s="1"/>
  <c r="E10" i="60"/>
  <c r="C11" i="60"/>
  <c r="D11" i="60"/>
  <c r="E11" i="60"/>
  <c r="C12" i="60"/>
  <c r="D12" i="60"/>
  <c r="E12" i="60"/>
  <c r="E7" i="60"/>
  <c r="D7" i="60"/>
  <c r="D26" i="60" s="1"/>
  <c r="C7" i="60"/>
  <c r="D19" i="60" s="1"/>
  <c r="A2" i="60"/>
  <c r="C8" i="59"/>
  <c r="D8" i="59"/>
  <c r="E8" i="59"/>
  <c r="C9" i="59"/>
  <c r="D9" i="59"/>
  <c r="E9" i="59"/>
  <c r="C10" i="59"/>
  <c r="D20" i="59" s="1"/>
  <c r="D10" i="59"/>
  <c r="D27" i="59" s="1"/>
  <c r="E10" i="59"/>
  <c r="C11" i="59"/>
  <c r="D11" i="59"/>
  <c r="E11" i="59"/>
  <c r="C12" i="59"/>
  <c r="D12" i="59"/>
  <c r="E12" i="59"/>
  <c r="E7" i="59"/>
  <c r="D7" i="59"/>
  <c r="D26" i="59" s="1"/>
  <c r="C7" i="59"/>
  <c r="D19" i="59" s="1"/>
  <c r="A2" i="59"/>
  <c r="C8" i="58"/>
  <c r="D8" i="58"/>
  <c r="E8" i="58"/>
  <c r="C9" i="58"/>
  <c r="D9" i="58"/>
  <c r="E9" i="58"/>
  <c r="C10" i="58"/>
  <c r="D20" i="58" s="1"/>
  <c r="D10" i="58"/>
  <c r="D27" i="58" s="1"/>
  <c r="E10" i="58"/>
  <c r="C11" i="58"/>
  <c r="D11" i="58"/>
  <c r="E11" i="58"/>
  <c r="C12" i="58"/>
  <c r="D12" i="58"/>
  <c r="E12" i="58"/>
  <c r="E7" i="58"/>
  <c r="D7" i="58"/>
  <c r="D26" i="58" s="1"/>
  <c r="C7" i="58"/>
  <c r="D19" i="58" s="1"/>
  <c r="A2" i="58"/>
  <c r="C8" i="57"/>
  <c r="D8" i="57"/>
  <c r="E8" i="57"/>
  <c r="C9" i="57"/>
  <c r="D9" i="57"/>
  <c r="E9" i="57"/>
  <c r="C10" i="57"/>
  <c r="D20" i="57" s="1"/>
  <c r="D10" i="57"/>
  <c r="D27" i="57" s="1"/>
  <c r="E10" i="57"/>
  <c r="C11" i="57"/>
  <c r="D11" i="57"/>
  <c r="E11" i="57"/>
  <c r="C12" i="57"/>
  <c r="D12" i="57"/>
  <c r="E12" i="57"/>
  <c r="E7" i="57"/>
  <c r="D7" i="57"/>
  <c r="D26" i="57" s="1"/>
  <c r="C7" i="57"/>
  <c r="D19" i="57" s="1"/>
  <c r="A2" i="57"/>
  <c r="C8" i="56"/>
  <c r="D8" i="56"/>
  <c r="E8" i="56"/>
  <c r="C9" i="56"/>
  <c r="D9" i="56"/>
  <c r="E9" i="56"/>
  <c r="C10" i="56"/>
  <c r="D20" i="56" s="1"/>
  <c r="D10" i="56"/>
  <c r="D27" i="56" s="1"/>
  <c r="E10" i="56"/>
  <c r="C11" i="56"/>
  <c r="D11" i="56"/>
  <c r="E11" i="56"/>
  <c r="C12" i="56"/>
  <c r="D12" i="56"/>
  <c r="E12" i="56"/>
  <c r="E7" i="56"/>
  <c r="D7" i="56"/>
  <c r="D26" i="56" s="1"/>
  <c r="C7" i="56"/>
  <c r="D19" i="56" s="1"/>
  <c r="A2" i="56"/>
  <c r="C7" i="55"/>
  <c r="D19" i="55" s="1"/>
  <c r="D7" i="55"/>
  <c r="D26" i="55" s="1"/>
  <c r="E7" i="55"/>
  <c r="C9" i="55"/>
  <c r="D9" i="55"/>
  <c r="E9" i="55"/>
  <c r="C10" i="55"/>
  <c r="D20" i="55" s="1"/>
  <c r="D10" i="55"/>
  <c r="D27" i="55" s="1"/>
  <c r="E10" i="55"/>
  <c r="C11" i="55"/>
  <c r="D11" i="55"/>
  <c r="E11" i="55"/>
  <c r="C12" i="55"/>
  <c r="D12" i="55"/>
  <c r="E12" i="55"/>
  <c r="E8" i="55"/>
  <c r="D8" i="55"/>
  <c r="D25" i="55" s="1"/>
  <c r="C8" i="55"/>
  <c r="A2" i="55"/>
  <c r="C8" i="54"/>
  <c r="D8" i="54"/>
  <c r="E8" i="54"/>
  <c r="C9" i="54"/>
  <c r="D9" i="54"/>
  <c r="E9" i="54"/>
  <c r="C10" i="54"/>
  <c r="D20" i="54" s="1"/>
  <c r="D10" i="54"/>
  <c r="D27" i="54" s="1"/>
  <c r="E10" i="54"/>
  <c r="C11" i="54"/>
  <c r="D11" i="54"/>
  <c r="E11" i="54"/>
  <c r="C12" i="54"/>
  <c r="D12" i="54"/>
  <c r="E12" i="54"/>
  <c r="E7" i="54"/>
  <c r="D7" i="54"/>
  <c r="D26" i="54" s="1"/>
  <c r="C7" i="54"/>
  <c r="D19" i="54" s="1"/>
  <c r="A2" i="54"/>
  <c r="C8" i="53"/>
  <c r="D8" i="53"/>
  <c r="E8" i="53"/>
  <c r="C9" i="53"/>
  <c r="D9" i="53"/>
  <c r="E9" i="53"/>
  <c r="C10" i="53"/>
  <c r="D20" i="53" s="1"/>
  <c r="D10" i="53"/>
  <c r="D27" i="53" s="1"/>
  <c r="E10" i="53"/>
  <c r="C11" i="53"/>
  <c r="D11" i="53"/>
  <c r="E11" i="53"/>
  <c r="C12" i="53"/>
  <c r="D12" i="53"/>
  <c r="E12" i="53"/>
  <c r="E7" i="53"/>
  <c r="D7" i="53"/>
  <c r="D26" i="53" s="1"/>
  <c r="C7" i="53"/>
  <c r="D19" i="53" s="1"/>
  <c r="A2" i="53"/>
  <c r="E8" i="51"/>
  <c r="E7" i="51"/>
  <c r="E8" i="50"/>
  <c r="E9" i="50"/>
  <c r="E10" i="50"/>
  <c r="E11" i="50"/>
  <c r="E12" i="50"/>
  <c r="E7" i="50"/>
  <c r="E8" i="49"/>
  <c r="E9" i="49"/>
  <c r="E10" i="49"/>
  <c r="E11" i="49"/>
  <c r="E12" i="49"/>
  <c r="E7" i="49"/>
  <c r="E8" i="48"/>
  <c r="E9" i="48"/>
  <c r="E10" i="48"/>
  <c r="E11" i="48"/>
  <c r="E12" i="48"/>
  <c r="E7" i="48"/>
  <c r="E8" i="47"/>
  <c r="E9" i="47"/>
  <c r="E10" i="47"/>
  <c r="E11" i="47"/>
  <c r="E12" i="47"/>
  <c r="E7" i="47"/>
  <c r="E8" i="46"/>
  <c r="E9" i="46"/>
  <c r="E10" i="46"/>
  <c r="E11" i="46"/>
  <c r="E12" i="46"/>
  <c r="E7" i="46"/>
  <c r="E8" i="45"/>
  <c r="E9" i="45"/>
  <c r="E10" i="45"/>
  <c r="E11" i="45"/>
  <c r="E12" i="45"/>
  <c r="E7" i="45"/>
  <c r="E8" i="44"/>
  <c r="E9" i="44"/>
  <c r="E10" i="44"/>
  <c r="E11" i="44"/>
  <c r="E12" i="44"/>
  <c r="E7" i="44"/>
  <c r="E8" i="43"/>
  <c r="E9" i="43"/>
  <c r="E10" i="43"/>
  <c r="E11" i="43"/>
  <c r="E12" i="43"/>
  <c r="E7" i="43"/>
  <c r="E8" i="42"/>
  <c r="E9" i="42"/>
  <c r="E10" i="42"/>
  <c r="E11" i="42"/>
  <c r="E12" i="42"/>
  <c r="E7" i="42"/>
  <c r="E8" i="41"/>
  <c r="E9" i="41"/>
  <c r="E10" i="41"/>
  <c r="E11" i="41"/>
  <c r="E12" i="41"/>
  <c r="E7" i="41"/>
  <c r="E8" i="40"/>
  <c r="E7" i="40"/>
  <c r="E8" i="39"/>
  <c r="E9" i="39"/>
  <c r="E10" i="39"/>
  <c r="E11" i="39"/>
  <c r="E12" i="39"/>
  <c r="E7" i="39"/>
  <c r="E8" i="38"/>
  <c r="E9" i="38"/>
  <c r="E10" i="38"/>
  <c r="E11" i="38"/>
  <c r="E12" i="38"/>
  <c r="E7" i="38"/>
  <c r="E8" i="37"/>
  <c r="E9" i="37"/>
  <c r="E10" i="37"/>
  <c r="E11" i="37"/>
  <c r="E12" i="37"/>
  <c r="E7" i="37"/>
  <c r="E8" i="36"/>
  <c r="E7" i="36"/>
  <c r="E8" i="35"/>
  <c r="E9" i="35"/>
  <c r="E10" i="35"/>
  <c r="E11" i="35"/>
  <c r="E12" i="35"/>
  <c r="E7" i="35"/>
  <c r="E8" i="34"/>
  <c r="E9" i="34"/>
  <c r="E10" i="34"/>
  <c r="E11" i="34"/>
  <c r="E12" i="34"/>
  <c r="E7" i="34"/>
  <c r="E8" i="33"/>
  <c r="E9" i="33"/>
  <c r="E10" i="33"/>
  <c r="E11" i="33"/>
  <c r="E12" i="33"/>
  <c r="E7" i="33"/>
  <c r="E8" i="32"/>
  <c r="E9" i="32"/>
  <c r="E10" i="32"/>
  <c r="E11" i="32"/>
  <c r="E12" i="32"/>
  <c r="E7" i="32"/>
  <c r="E12" i="31"/>
  <c r="E8" i="31"/>
  <c r="E9" i="31"/>
  <c r="E10" i="31"/>
  <c r="E11" i="31"/>
  <c r="E7" i="31"/>
  <c r="E8" i="30"/>
  <c r="E9" i="30"/>
  <c r="E10" i="30"/>
  <c r="E11" i="30"/>
  <c r="E12" i="30"/>
  <c r="E7" i="30"/>
  <c r="E8" i="29"/>
  <c r="E9" i="29"/>
  <c r="E10" i="29"/>
  <c r="E11" i="29"/>
  <c r="E12" i="29"/>
  <c r="E7" i="29"/>
  <c r="E8" i="28"/>
  <c r="E9" i="28"/>
  <c r="E10" i="28"/>
  <c r="E11" i="28"/>
  <c r="E12" i="28"/>
  <c r="E8" i="26"/>
  <c r="E9" i="26"/>
  <c r="E10" i="26"/>
  <c r="E11" i="26"/>
  <c r="E12" i="26"/>
  <c r="E7" i="26"/>
  <c r="E8" i="25"/>
  <c r="E9" i="25"/>
  <c r="E10" i="25"/>
  <c r="E11" i="25"/>
  <c r="E12" i="25"/>
  <c r="E7" i="25"/>
  <c r="E8" i="24"/>
  <c r="E9" i="24"/>
  <c r="E10" i="24"/>
  <c r="E11" i="24"/>
  <c r="E12" i="24"/>
  <c r="E7" i="24"/>
  <c r="E8" i="23"/>
  <c r="E9" i="23"/>
  <c r="E10" i="23"/>
  <c r="E11" i="23"/>
  <c r="E12" i="23"/>
  <c r="E7" i="23"/>
  <c r="E8" i="22"/>
  <c r="E7" i="22"/>
  <c r="E8" i="21"/>
  <c r="E9" i="21"/>
  <c r="E10" i="21"/>
  <c r="E11" i="21"/>
  <c r="E12" i="21"/>
  <c r="E7" i="21"/>
  <c r="E8" i="20"/>
  <c r="E9" i="20"/>
  <c r="E10" i="20"/>
  <c r="E11" i="20"/>
  <c r="E12" i="20"/>
  <c r="E7" i="20"/>
  <c r="E8" i="19"/>
  <c r="E9" i="19"/>
  <c r="E10" i="19"/>
  <c r="E11" i="19"/>
  <c r="E12" i="19"/>
  <c r="E7" i="19"/>
  <c r="E8" i="18"/>
  <c r="E9" i="18"/>
  <c r="E10" i="18"/>
  <c r="E11" i="18"/>
  <c r="E12" i="18"/>
  <c r="E7" i="18"/>
  <c r="E8" i="17"/>
  <c r="E9" i="17"/>
  <c r="E10" i="17"/>
  <c r="E11" i="17"/>
  <c r="E12" i="17"/>
  <c r="E7" i="17"/>
  <c r="E8" i="16"/>
  <c r="E9" i="16"/>
  <c r="E10" i="16"/>
  <c r="E11" i="16"/>
  <c r="E12" i="16"/>
  <c r="E7" i="16"/>
  <c r="E8" i="15"/>
  <c r="E9" i="15"/>
  <c r="E10" i="15"/>
  <c r="E11" i="15"/>
  <c r="E12" i="15"/>
  <c r="E7" i="15"/>
  <c r="E8" i="13"/>
  <c r="E9" i="13"/>
  <c r="E10" i="13"/>
  <c r="E11" i="13"/>
  <c r="E12" i="13"/>
  <c r="E7" i="13"/>
  <c r="E8" i="12"/>
  <c r="E9" i="12"/>
  <c r="E10" i="12"/>
  <c r="E11" i="12"/>
  <c r="E12" i="12"/>
  <c r="E7" i="12"/>
  <c r="E8" i="11"/>
  <c r="E9" i="11"/>
  <c r="E10" i="11"/>
  <c r="E11" i="11"/>
  <c r="E12" i="11"/>
  <c r="E7" i="11"/>
  <c r="E8" i="10"/>
  <c r="E9" i="10"/>
  <c r="E10" i="10"/>
  <c r="E11" i="10"/>
  <c r="E12" i="10"/>
  <c r="E7" i="10"/>
  <c r="E8" i="9"/>
  <c r="E9" i="9"/>
  <c r="E10" i="9"/>
  <c r="E11" i="9"/>
  <c r="E12" i="9"/>
  <c r="E7" i="9"/>
  <c r="E8" i="8"/>
  <c r="E9" i="8"/>
  <c r="E10" i="8"/>
  <c r="E11" i="8"/>
  <c r="E12" i="8"/>
  <c r="E7" i="8"/>
  <c r="E8" i="14"/>
  <c r="E9" i="14"/>
  <c r="E10" i="14"/>
  <c r="E11" i="14"/>
  <c r="E12" i="14"/>
  <c r="E7" i="14"/>
  <c r="E8" i="52"/>
  <c r="E7" i="52"/>
  <c r="C8" i="52"/>
  <c r="D8" i="52"/>
  <c r="D7" i="52"/>
  <c r="C7" i="52"/>
  <c r="A2" i="52"/>
  <c r="C8" i="51"/>
  <c r="D8" i="51"/>
  <c r="D7" i="51"/>
  <c r="C7" i="51"/>
  <c r="A2" i="51"/>
  <c r="C8" i="50"/>
  <c r="D8" i="50"/>
  <c r="C9" i="50"/>
  <c r="D9" i="50"/>
  <c r="C10" i="50"/>
  <c r="D20" i="50" s="1"/>
  <c r="D10" i="50"/>
  <c r="D27" i="50" s="1"/>
  <c r="C11" i="50"/>
  <c r="D11" i="50"/>
  <c r="C12" i="50"/>
  <c r="D12" i="50"/>
  <c r="D7" i="50"/>
  <c r="D26" i="50" s="1"/>
  <c r="C7" i="50"/>
  <c r="D19" i="50" s="1"/>
  <c r="A2" i="50"/>
  <c r="C8" i="49"/>
  <c r="D8" i="49"/>
  <c r="C9" i="49"/>
  <c r="D9" i="49"/>
  <c r="C10" i="49"/>
  <c r="D20" i="49" s="1"/>
  <c r="D10" i="49"/>
  <c r="D27" i="49" s="1"/>
  <c r="C11" i="49"/>
  <c r="D11" i="49"/>
  <c r="C12" i="49"/>
  <c r="D12" i="49"/>
  <c r="D7" i="49"/>
  <c r="D26" i="49" s="1"/>
  <c r="C7" i="49"/>
  <c r="D19" i="49" s="1"/>
  <c r="A2" i="49"/>
  <c r="C8" i="48"/>
  <c r="D8" i="48"/>
  <c r="C9" i="48"/>
  <c r="D9" i="48"/>
  <c r="C10" i="48"/>
  <c r="D20" i="48" s="1"/>
  <c r="D10" i="48"/>
  <c r="D27" i="48" s="1"/>
  <c r="C11" i="48"/>
  <c r="D11" i="48"/>
  <c r="C12" i="48"/>
  <c r="D12" i="48"/>
  <c r="D7" i="48"/>
  <c r="D26" i="48" s="1"/>
  <c r="C7" i="48"/>
  <c r="D19" i="48" s="1"/>
  <c r="A2" i="48"/>
  <c r="C8" i="47"/>
  <c r="D8" i="47"/>
  <c r="C9" i="47"/>
  <c r="D9" i="47"/>
  <c r="C10" i="47"/>
  <c r="D20" i="47" s="1"/>
  <c r="D10" i="47"/>
  <c r="D27" i="47" s="1"/>
  <c r="C11" i="47"/>
  <c r="D11" i="47"/>
  <c r="C12" i="47"/>
  <c r="D12" i="47"/>
  <c r="D7" i="47"/>
  <c r="D26" i="47" s="1"/>
  <c r="C7" i="47"/>
  <c r="D19" i="47" s="1"/>
  <c r="A2" i="47"/>
  <c r="C8" i="46"/>
  <c r="D8" i="46"/>
  <c r="C9" i="46"/>
  <c r="D9" i="46"/>
  <c r="C10" i="46"/>
  <c r="D20" i="46" s="1"/>
  <c r="D10" i="46"/>
  <c r="D27" i="46" s="1"/>
  <c r="C11" i="46"/>
  <c r="D11" i="46"/>
  <c r="C12" i="46"/>
  <c r="D12" i="46"/>
  <c r="D7" i="46"/>
  <c r="D26" i="46" s="1"/>
  <c r="C7" i="46"/>
  <c r="D19" i="46" s="1"/>
  <c r="A2" i="46"/>
  <c r="C8" i="45"/>
  <c r="D8" i="45"/>
  <c r="C9" i="45"/>
  <c r="D9" i="45"/>
  <c r="C10" i="45"/>
  <c r="D20" i="45" s="1"/>
  <c r="D10" i="45"/>
  <c r="D27" i="45" s="1"/>
  <c r="C11" i="45"/>
  <c r="D11" i="45"/>
  <c r="C12" i="45"/>
  <c r="D12" i="45"/>
  <c r="D7" i="45"/>
  <c r="D26" i="45" s="1"/>
  <c r="C7" i="45"/>
  <c r="D19" i="45" s="1"/>
  <c r="A2" i="45"/>
  <c r="C8" i="44"/>
  <c r="D8" i="44"/>
  <c r="C9" i="44"/>
  <c r="D9" i="44"/>
  <c r="C10" i="44"/>
  <c r="D20" i="44" s="1"/>
  <c r="D10" i="44"/>
  <c r="D27" i="44" s="1"/>
  <c r="C11" i="44"/>
  <c r="D11" i="44"/>
  <c r="C12" i="44"/>
  <c r="D12" i="44"/>
  <c r="D7" i="44"/>
  <c r="D26" i="44" s="1"/>
  <c r="C7" i="44"/>
  <c r="D19" i="44" s="1"/>
  <c r="A2" i="44"/>
  <c r="C8" i="43"/>
  <c r="D8" i="43"/>
  <c r="C9" i="43"/>
  <c r="D9" i="43"/>
  <c r="C10" i="43"/>
  <c r="D20" i="43" s="1"/>
  <c r="D10" i="43"/>
  <c r="D27" i="43" s="1"/>
  <c r="C11" i="43"/>
  <c r="D11" i="43"/>
  <c r="C12" i="43"/>
  <c r="D12" i="43"/>
  <c r="D7" i="43"/>
  <c r="D26" i="43" s="1"/>
  <c r="C7" i="43"/>
  <c r="D19" i="43" s="1"/>
  <c r="A2" i="43"/>
  <c r="C8" i="42"/>
  <c r="D8" i="42"/>
  <c r="C9" i="42"/>
  <c r="D9" i="42"/>
  <c r="C10" i="42"/>
  <c r="D20" i="42" s="1"/>
  <c r="D10" i="42"/>
  <c r="D27" i="42" s="1"/>
  <c r="C11" i="42"/>
  <c r="D11" i="42"/>
  <c r="C12" i="42"/>
  <c r="D12" i="42"/>
  <c r="D7" i="42"/>
  <c r="D26" i="42" s="1"/>
  <c r="C7" i="42"/>
  <c r="D19" i="42" s="1"/>
  <c r="A2" i="42"/>
  <c r="C8" i="41"/>
  <c r="D8" i="41"/>
  <c r="C9" i="41"/>
  <c r="D9" i="41"/>
  <c r="C10" i="41"/>
  <c r="D20" i="41" s="1"/>
  <c r="D10" i="41"/>
  <c r="D27" i="41" s="1"/>
  <c r="C11" i="41"/>
  <c r="D11" i="41"/>
  <c r="C12" i="41"/>
  <c r="D12" i="41"/>
  <c r="D7" i="41"/>
  <c r="D26" i="41" s="1"/>
  <c r="C7" i="41"/>
  <c r="D19" i="41" s="1"/>
  <c r="A2" i="41"/>
  <c r="D8" i="40"/>
  <c r="D7" i="40"/>
  <c r="C8" i="40"/>
  <c r="C7" i="40"/>
  <c r="A2" i="40"/>
  <c r="C8" i="39"/>
  <c r="D8" i="39"/>
  <c r="C9" i="39"/>
  <c r="D9" i="39"/>
  <c r="C10" i="39"/>
  <c r="D20" i="39" s="1"/>
  <c r="D10" i="39"/>
  <c r="D27" i="39" s="1"/>
  <c r="C11" i="39"/>
  <c r="D11" i="39"/>
  <c r="C12" i="39"/>
  <c r="D12" i="39"/>
  <c r="D7" i="39"/>
  <c r="D26" i="39" s="1"/>
  <c r="C7" i="39"/>
  <c r="D19" i="39" s="1"/>
  <c r="A2" i="39"/>
  <c r="C8" i="38"/>
  <c r="D8" i="38"/>
  <c r="C9" i="38"/>
  <c r="D9" i="38"/>
  <c r="C10" i="38"/>
  <c r="D20" i="38" s="1"/>
  <c r="D10" i="38"/>
  <c r="D27" i="38" s="1"/>
  <c r="C11" i="38"/>
  <c r="D11" i="38"/>
  <c r="C12" i="38"/>
  <c r="D12" i="38"/>
  <c r="D7" i="38"/>
  <c r="D26" i="38" s="1"/>
  <c r="C7" i="38"/>
  <c r="D19" i="38" s="1"/>
  <c r="A2" i="38"/>
  <c r="C8" i="37"/>
  <c r="D8" i="37"/>
  <c r="C9" i="37"/>
  <c r="D9" i="37"/>
  <c r="C10" i="37"/>
  <c r="D20" i="37" s="1"/>
  <c r="D10" i="37"/>
  <c r="D27" i="37" s="1"/>
  <c r="C11" i="37"/>
  <c r="D11" i="37"/>
  <c r="C12" i="37"/>
  <c r="D12" i="37"/>
  <c r="D7" i="37"/>
  <c r="D26" i="37" s="1"/>
  <c r="C7" i="37"/>
  <c r="D19" i="37" s="1"/>
  <c r="A2" i="37"/>
  <c r="C8" i="36"/>
  <c r="D8" i="36"/>
  <c r="D7" i="36"/>
  <c r="C7" i="36"/>
  <c r="A2" i="36"/>
  <c r="C8" i="35"/>
  <c r="D8" i="35"/>
  <c r="C9" i="35"/>
  <c r="D9" i="35"/>
  <c r="C10" i="35"/>
  <c r="D20" i="35" s="1"/>
  <c r="D10" i="35"/>
  <c r="D27" i="35" s="1"/>
  <c r="C11" i="35"/>
  <c r="D11" i="35"/>
  <c r="C12" i="35"/>
  <c r="D12" i="35"/>
  <c r="D7" i="35"/>
  <c r="D26" i="35" s="1"/>
  <c r="C7" i="35"/>
  <c r="D19" i="35" s="1"/>
  <c r="A2" i="35"/>
  <c r="C8" i="34"/>
  <c r="D8" i="34"/>
  <c r="C9" i="34"/>
  <c r="D9" i="34"/>
  <c r="C10" i="34"/>
  <c r="D20" i="34" s="1"/>
  <c r="D10" i="34"/>
  <c r="D27" i="34" s="1"/>
  <c r="C11" i="34"/>
  <c r="D11" i="34"/>
  <c r="C12" i="34"/>
  <c r="D12" i="34"/>
  <c r="D7" i="34"/>
  <c r="D26" i="34" s="1"/>
  <c r="C7" i="34"/>
  <c r="D19" i="34" s="1"/>
  <c r="A2" i="34"/>
  <c r="C8" i="33"/>
  <c r="D8" i="33"/>
  <c r="C9" i="33"/>
  <c r="D9" i="33"/>
  <c r="C10" i="33"/>
  <c r="D20" i="33" s="1"/>
  <c r="D10" i="33"/>
  <c r="D27" i="33" s="1"/>
  <c r="C11" i="33"/>
  <c r="D11" i="33"/>
  <c r="C12" i="33"/>
  <c r="D12" i="33"/>
  <c r="D7" i="33"/>
  <c r="D26" i="33" s="1"/>
  <c r="C7" i="33"/>
  <c r="D19" i="33" s="1"/>
  <c r="A2" i="33"/>
  <c r="C8" i="32"/>
  <c r="D8" i="32"/>
  <c r="C9" i="32"/>
  <c r="D9" i="32"/>
  <c r="C10" i="32"/>
  <c r="D20" i="32" s="1"/>
  <c r="D10" i="32"/>
  <c r="D27" i="32" s="1"/>
  <c r="C11" i="32"/>
  <c r="D11" i="32"/>
  <c r="C12" i="32"/>
  <c r="D12" i="32"/>
  <c r="D7" i="32"/>
  <c r="D26" i="32" s="1"/>
  <c r="C7" i="32"/>
  <c r="D19" i="32" s="1"/>
  <c r="A2" i="32"/>
  <c r="C8" i="31"/>
  <c r="D8" i="31"/>
  <c r="C9" i="31"/>
  <c r="D9" i="31"/>
  <c r="C10" i="31"/>
  <c r="D20" i="31" s="1"/>
  <c r="D10" i="31"/>
  <c r="D27" i="31" s="1"/>
  <c r="C11" i="31"/>
  <c r="D11" i="31"/>
  <c r="C12" i="31"/>
  <c r="D12" i="31"/>
  <c r="D7" i="31"/>
  <c r="D26" i="31" s="1"/>
  <c r="C7" i="31"/>
  <c r="D19" i="31" s="1"/>
  <c r="A2" i="31"/>
  <c r="C8" i="30"/>
  <c r="D8" i="30"/>
  <c r="C9" i="30"/>
  <c r="D9" i="30"/>
  <c r="C10" i="30"/>
  <c r="D20" i="30" s="1"/>
  <c r="D10" i="30"/>
  <c r="D27" i="30" s="1"/>
  <c r="C11" i="30"/>
  <c r="D11" i="30"/>
  <c r="C12" i="30"/>
  <c r="D12" i="30"/>
  <c r="D7" i="30"/>
  <c r="D26" i="30" s="1"/>
  <c r="C7" i="30"/>
  <c r="D19" i="30" s="1"/>
  <c r="A2" i="30"/>
  <c r="C8" i="29"/>
  <c r="D8" i="29"/>
  <c r="C9" i="29"/>
  <c r="D9" i="29"/>
  <c r="C10" i="29"/>
  <c r="D20" i="29" s="1"/>
  <c r="D10" i="29"/>
  <c r="D27" i="29" s="1"/>
  <c r="C11" i="29"/>
  <c r="D11" i="29"/>
  <c r="C12" i="29"/>
  <c r="D12" i="29"/>
  <c r="D7" i="29"/>
  <c r="D26" i="29" s="1"/>
  <c r="C7" i="29"/>
  <c r="D19" i="29" s="1"/>
  <c r="A2" i="29"/>
  <c r="C8" i="28"/>
  <c r="D8" i="28"/>
  <c r="C9" i="28"/>
  <c r="D9" i="28"/>
  <c r="C10" i="28"/>
  <c r="D20" i="28" s="1"/>
  <c r="D10" i="28"/>
  <c r="D27" i="28" s="1"/>
  <c r="C11" i="28"/>
  <c r="D11" i="28"/>
  <c r="C12" i="28"/>
  <c r="D12" i="28"/>
  <c r="D7" i="28"/>
  <c r="D26" i="28" s="1"/>
  <c r="C7" i="28"/>
  <c r="D19" i="28" s="1"/>
  <c r="A2" i="28"/>
  <c r="E8" i="27"/>
  <c r="E7" i="27"/>
  <c r="D8" i="27"/>
  <c r="D7" i="27"/>
  <c r="C8" i="27"/>
  <c r="C7" i="27"/>
  <c r="A2" i="27"/>
  <c r="C8" i="26"/>
  <c r="D8" i="26"/>
  <c r="C9" i="26"/>
  <c r="D9" i="26"/>
  <c r="C10" i="26"/>
  <c r="D20" i="26" s="1"/>
  <c r="D10" i="26"/>
  <c r="D27" i="26" s="1"/>
  <c r="C11" i="26"/>
  <c r="D11" i="26"/>
  <c r="C12" i="26"/>
  <c r="D12" i="26"/>
  <c r="D7" i="26"/>
  <c r="D26" i="26" s="1"/>
  <c r="C7" i="26"/>
  <c r="D19" i="26" s="1"/>
  <c r="A2" i="26"/>
  <c r="C8" i="25"/>
  <c r="D8" i="25"/>
  <c r="C9" i="25"/>
  <c r="D9" i="25"/>
  <c r="C10" i="25"/>
  <c r="D20" i="25" s="1"/>
  <c r="D10" i="25"/>
  <c r="D27" i="25" s="1"/>
  <c r="C11" i="25"/>
  <c r="D11" i="25"/>
  <c r="C12" i="25"/>
  <c r="D12" i="25"/>
  <c r="D7" i="25"/>
  <c r="D26" i="25" s="1"/>
  <c r="C7" i="25"/>
  <c r="D19" i="25" s="1"/>
  <c r="A2" i="25"/>
  <c r="C8" i="24"/>
  <c r="D8" i="24"/>
  <c r="C9" i="24"/>
  <c r="D9" i="24"/>
  <c r="C10" i="24"/>
  <c r="D20" i="24" s="1"/>
  <c r="D10" i="24"/>
  <c r="D27" i="24" s="1"/>
  <c r="C11" i="24"/>
  <c r="D11" i="24"/>
  <c r="C12" i="24"/>
  <c r="D12" i="24"/>
  <c r="D7" i="24"/>
  <c r="D26" i="24" s="1"/>
  <c r="C7" i="24"/>
  <c r="D19" i="24" s="1"/>
  <c r="A2" i="24"/>
  <c r="C8" i="23"/>
  <c r="D8" i="23"/>
  <c r="C9" i="23"/>
  <c r="D9" i="23"/>
  <c r="C10" i="23"/>
  <c r="D20" i="23" s="1"/>
  <c r="D10" i="23"/>
  <c r="D27" i="23" s="1"/>
  <c r="C11" i="23"/>
  <c r="D11" i="23"/>
  <c r="C12" i="23"/>
  <c r="D12" i="23"/>
  <c r="D7" i="23"/>
  <c r="D26" i="23" s="1"/>
  <c r="C7" i="23"/>
  <c r="D19" i="23" s="1"/>
  <c r="A2" i="3"/>
  <c r="A2" i="23"/>
  <c r="C8" i="22"/>
  <c r="D8" i="22"/>
  <c r="D7" i="22"/>
  <c r="C7" i="22"/>
  <c r="A2" i="22"/>
  <c r="C7" i="6"/>
  <c r="C8" i="21"/>
  <c r="D8" i="21"/>
  <c r="C9" i="21"/>
  <c r="D9" i="21"/>
  <c r="C10" i="21"/>
  <c r="D20" i="21" s="1"/>
  <c r="D10" i="21"/>
  <c r="D27" i="21" s="1"/>
  <c r="C11" i="21"/>
  <c r="D11" i="21"/>
  <c r="C12" i="21"/>
  <c r="D12" i="21"/>
  <c r="D7" i="21"/>
  <c r="D26" i="21" s="1"/>
  <c r="C7" i="21"/>
  <c r="D19" i="21" s="1"/>
  <c r="A2" i="21"/>
  <c r="C8" i="20"/>
  <c r="D8" i="20"/>
  <c r="C9" i="20"/>
  <c r="D9" i="20"/>
  <c r="C10" i="20"/>
  <c r="D20" i="20" s="1"/>
  <c r="D10" i="20"/>
  <c r="D27" i="20" s="1"/>
  <c r="C11" i="20"/>
  <c r="D11" i="20"/>
  <c r="C12" i="20"/>
  <c r="D12" i="20"/>
  <c r="D7" i="20"/>
  <c r="D26" i="20" s="1"/>
  <c r="C7" i="20"/>
  <c r="D19" i="20" s="1"/>
  <c r="A2" i="20"/>
  <c r="C8" i="19"/>
  <c r="D8" i="19"/>
  <c r="C9" i="19"/>
  <c r="D9" i="19"/>
  <c r="C10" i="19"/>
  <c r="D20" i="19" s="1"/>
  <c r="D10" i="19"/>
  <c r="D27" i="19" s="1"/>
  <c r="C11" i="19"/>
  <c r="D11" i="19"/>
  <c r="C12" i="19"/>
  <c r="D12" i="19"/>
  <c r="D7" i="19"/>
  <c r="D26" i="19" s="1"/>
  <c r="C7" i="19"/>
  <c r="D19" i="19" s="1"/>
  <c r="A2" i="19"/>
  <c r="C8" i="18"/>
  <c r="D8" i="18"/>
  <c r="C9" i="18"/>
  <c r="D9" i="18"/>
  <c r="C10" i="18"/>
  <c r="D20" i="18" s="1"/>
  <c r="D10" i="18"/>
  <c r="D27" i="18" s="1"/>
  <c r="C11" i="18"/>
  <c r="D11" i="18"/>
  <c r="C12" i="18"/>
  <c r="D12" i="18"/>
  <c r="D7" i="18"/>
  <c r="D26" i="18" s="1"/>
  <c r="C7" i="18"/>
  <c r="D19" i="18" s="1"/>
  <c r="A2" i="18"/>
  <c r="C8" i="17"/>
  <c r="D8" i="17"/>
  <c r="C9" i="17"/>
  <c r="D9" i="17"/>
  <c r="C10" i="17"/>
  <c r="D20" i="17" s="1"/>
  <c r="D10" i="17"/>
  <c r="D27" i="17" s="1"/>
  <c r="C11" i="17"/>
  <c r="D11" i="17"/>
  <c r="C12" i="17"/>
  <c r="D12" i="17"/>
  <c r="D7" i="17"/>
  <c r="D26" i="17" s="1"/>
  <c r="C7" i="17"/>
  <c r="D19" i="17" s="1"/>
  <c r="C8" i="16"/>
  <c r="D8" i="16"/>
  <c r="C9" i="16"/>
  <c r="D9" i="16"/>
  <c r="C10" i="16"/>
  <c r="D20" i="16" s="1"/>
  <c r="D10" i="16"/>
  <c r="D27" i="16" s="1"/>
  <c r="C11" i="16"/>
  <c r="D11" i="16"/>
  <c r="C12" i="16"/>
  <c r="D12" i="16"/>
  <c r="D7" i="16"/>
  <c r="D26" i="16" s="1"/>
  <c r="C7" i="16"/>
  <c r="D19" i="16" s="1"/>
  <c r="A2" i="16"/>
  <c r="C8" i="15"/>
  <c r="D8" i="15"/>
  <c r="C9" i="15"/>
  <c r="D9" i="15"/>
  <c r="C10" i="15"/>
  <c r="D20" i="15" s="1"/>
  <c r="D10" i="15"/>
  <c r="D27" i="15" s="1"/>
  <c r="C11" i="15"/>
  <c r="D11" i="15"/>
  <c r="C12" i="15"/>
  <c r="D12" i="15"/>
  <c r="D7" i="15"/>
  <c r="D26" i="15" s="1"/>
  <c r="C7" i="15"/>
  <c r="D19" i="15" s="1"/>
  <c r="A2" i="15"/>
  <c r="C8" i="14"/>
  <c r="D8" i="14"/>
  <c r="C9" i="14"/>
  <c r="D9" i="14"/>
  <c r="C10" i="14"/>
  <c r="D20" i="14" s="1"/>
  <c r="D10" i="14"/>
  <c r="D27" i="14" s="1"/>
  <c r="C11" i="14"/>
  <c r="D11" i="14"/>
  <c r="C12" i="14"/>
  <c r="D12" i="14"/>
  <c r="D7" i="14"/>
  <c r="D26" i="14" s="1"/>
  <c r="C7" i="14"/>
  <c r="D19" i="14" s="1"/>
  <c r="A2" i="14"/>
  <c r="C8" i="13"/>
  <c r="D8" i="13"/>
  <c r="C9" i="13"/>
  <c r="D9" i="13"/>
  <c r="C10" i="13"/>
  <c r="D20" i="13" s="1"/>
  <c r="D10" i="13"/>
  <c r="D27" i="13" s="1"/>
  <c r="C11" i="13"/>
  <c r="D11" i="13"/>
  <c r="C12" i="13"/>
  <c r="D12" i="13"/>
  <c r="D7" i="13"/>
  <c r="D26" i="13" s="1"/>
  <c r="C7" i="13"/>
  <c r="D19" i="13" s="1"/>
  <c r="A2" i="13"/>
  <c r="D8" i="12"/>
  <c r="D9" i="12"/>
  <c r="D10" i="12"/>
  <c r="D27" i="12" s="1"/>
  <c r="D11" i="12"/>
  <c r="D12" i="12"/>
  <c r="D7" i="12"/>
  <c r="D26" i="12" s="1"/>
  <c r="C8" i="12"/>
  <c r="C9" i="12"/>
  <c r="C10" i="12"/>
  <c r="D20" i="12" s="1"/>
  <c r="C11" i="12"/>
  <c r="C12" i="12"/>
  <c r="C7" i="12"/>
  <c r="D19" i="12" s="1"/>
  <c r="A2" i="12"/>
  <c r="D8" i="11"/>
  <c r="D9" i="11"/>
  <c r="D10" i="11"/>
  <c r="D27" i="11" s="1"/>
  <c r="D11" i="11"/>
  <c r="D12" i="11"/>
  <c r="C8" i="11"/>
  <c r="C9" i="11"/>
  <c r="C10" i="11"/>
  <c r="D20" i="11" s="1"/>
  <c r="C11" i="11"/>
  <c r="C12" i="11"/>
  <c r="D7" i="11"/>
  <c r="D26" i="11" s="1"/>
  <c r="C7" i="11"/>
  <c r="D19" i="11" s="1"/>
  <c r="A2" i="11"/>
  <c r="D8" i="10"/>
  <c r="D9" i="10"/>
  <c r="D10" i="10"/>
  <c r="D27" i="10" s="1"/>
  <c r="D11" i="10"/>
  <c r="D12" i="10"/>
  <c r="D7" i="10"/>
  <c r="D26" i="10" s="1"/>
  <c r="C8" i="10"/>
  <c r="C9" i="10"/>
  <c r="C10" i="10"/>
  <c r="D20" i="10" s="1"/>
  <c r="C11" i="10"/>
  <c r="C12" i="10"/>
  <c r="C7" i="10"/>
  <c r="D19" i="10" s="1"/>
  <c r="A2" i="10"/>
  <c r="D8" i="9"/>
  <c r="D9" i="9"/>
  <c r="D10" i="9"/>
  <c r="D27" i="9" s="1"/>
  <c r="D11" i="9"/>
  <c r="D12" i="9"/>
  <c r="D7" i="9"/>
  <c r="D26" i="9" s="1"/>
  <c r="C8" i="9"/>
  <c r="C9" i="9"/>
  <c r="C10" i="9"/>
  <c r="D20" i="9" s="1"/>
  <c r="C11" i="9"/>
  <c r="C12" i="9"/>
  <c r="C7" i="9"/>
  <c r="D19" i="9" s="1"/>
  <c r="A2" i="9"/>
  <c r="D8" i="8"/>
  <c r="D9" i="8"/>
  <c r="D10" i="8"/>
  <c r="D27" i="8" s="1"/>
  <c r="D11" i="8"/>
  <c r="D12" i="8"/>
  <c r="D7" i="8"/>
  <c r="D26" i="8" s="1"/>
  <c r="C8" i="8"/>
  <c r="C9" i="8"/>
  <c r="C10" i="8"/>
  <c r="D20" i="8" s="1"/>
  <c r="C11" i="8"/>
  <c r="C12" i="8"/>
  <c r="C7" i="8"/>
  <c r="D19" i="8" s="1"/>
  <c r="A2" i="8"/>
  <c r="D27" i="7"/>
  <c r="D26" i="7"/>
  <c r="D20" i="7"/>
  <c r="D19" i="7"/>
  <c r="A2" i="7"/>
  <c r="E8" i="6"/>
  <c r="D8" i="6"/>
  <c r="C8" i="6"/>
  <c r="E7" i="6"/>
  <c r="D7" i="6"/>
  <c r="A2" i="6"/>
  <c r="E12" i="5"/>
  <c r="D12" i="5"/>
  <c r="C12" i="5"/>
  <c r="E11" i="5"/>
  <c r="D11" i="5"/>
  <c r="C11" i="5"/>
  <c r="E10" i="5"/>
  <c r="D10" i="5"/>
  <c r="D27" i="5" s="1"/>
  <c r="C10" i="5"/>
  <c r="D20" i="5" s="1"/>
  <c r="E9" i="5"/>
  <c r="D9" i="5"/>
  <c r="C9" i="5"/>
  <c r="E8" i="5"/>
  <c r="D8" i="5"/>
  <c r="C8" i="5"/>
  <c r="E7" i="5"/>
  <c r="D7" i="5"/>
  <c r="D26" i="5" s="1"/>
  <c r="C7" i="5"/>
  <c r="A2" i="5"/>
  <c r="G12" i="45" l="1"/>
  <c r="F13" i="134"/>
  <c r="G13" i="134"/>
  <c r="F9" i="133"/>
  <c r="G9" i="133"/>
  <c r="G13" i="132"/>
  <c r="D19" i="5"/>
  <c r="C6" i="5"/>
  <c r="D21" i="44"/>
  <c r="D25" i="44"/>
  <c r="D18" i="44"/>
  <c r="C6" i="78"/>
  <c r="G7" i="80"/>
  <c r="G8" i="80"/>
  <c r="D26" i="102"/>
  <c r="D6" i="102"/>
  <c r="D28" i="81"/>
  <c r="D21" i="81"/>
  <c r="D25" i="81"/>
  <c r="D18" i="81"/>
  <c r="D28" i="82"/>
  <c r="D21" i="82"/>
  <c r="D25" i="82"/>
  <c r="D18" i="82"/>
  <c r="D28" i="83"/>
  <c r="D21" i="83"/>
  <c r="D25" i="83"/>
  <c r="D18" i="83"/>
  <c r="D28" i="84"/>
  <c r="D21" i="84"/>
  <c r="D25" i="84"/>
  <c r="D18" i="84"/>
  <c r="D28" i="85"/>
  <c r="D21" i="85"/>
  <c r="D25" i="85"/>
  <c r="D18" i="85"/>
  <c r="D28" i="86"/>
  <c r="D21" i="86"/>
  <c r="D25" i="86"/>
  <c r="D18" i="86"/>
  <c r="D28" i="87"/>
  <c r="D21" i="87"/>
  <c r="D25" i="87"/>
  <c r="D18" i="87"/>
  <c r="D28" i="88"/>
  <c r="D21" i="88"/>
  <c r="D25" i="88"/>
  <c r="D18" i="88"/>
  <c r="D28" i="89"/>
  <c r="D21" i="89"/>
  <c r="D25" i="89"/>
  <c r="D18" i="89"/>
  <c r="D28" i="90"/>
  <c r="D21" i="90"/>
  <c r="D25" i="90"/>
  <c r="D18" i="90"/>
  <c r="D28" i="91"/>
  <c r="D21" i="91"/>
  <c r="D25" i="91"/>
  <c r="D18" i="91"/>
  <c r="D28" i="92"/>
  <c r="D21" i="92"/>
  <c r="D25" i="92"/>
  <c r="D18" i="92"/>
  <c r="D28" i="93"/>
  <c r="D21" i="93"/>
  <c r="D25" i="93"/>
  <c r="D18" i="93"/>
  <c r="D28" i="94"/>
  <c r="D21" i="94"/>
  <c r="D25" i="94"/>
  <c r="D18" i="94"/>
  <c r="D28" i="95"/>
  <c r="D21" i="95"/>
  <c r="D25" i="95"/>
  <c r="D18" i="95"/>
  <c r="D28" i="96"/>
  <c r="D21" i="96"/>
  <c r="D25" i="96"/>
  <c r="D18" i="96"/>
  <c r="D28" i="97"/>
  <c r="D21" i="97"/>
  <c r="D25" i="97"/>
  <c r="D18" i="97"/>
  <c r="E18" i="98"/>
  <c r="E25" i="98"/>
  <c r="E20" i="98"/>
  <c r="E27" i="98"/>
  <c r="E21" i="98"/>
  <c r="E28" i="98"/>
  <c r="D28" i="99"/>
  <c r="D21" i="99"/>
  <c r="D25" i="99"/>
  <c r="D18" i="99"/>
  <c r="D28" i="100"/>
  <c r="D21" i="100"/>
  <c r="D25" i="100"/>
  <c r="D18" i="100"/>
  <c r="D28" i="101"/>
  <c r="D21" i="101"/>
  <c r="D25" i="101"/>
  <c r="D18" i="101"/>
  <c r="D28" i="102"/>
  <c r="D21" i="102"/>
  <c r="D25" i="102"/>
  <c r="D18" i="102"/>
  <c r="D28" i="103"/>
  <c r="D21" i="103"/>
  <c r="D25" i="103"/>
  <c r="D18" i="103"/>
  <c r="D28" i="104"/>
  <c r="D21" i="104"/>
  <c r="D25" i="104"/>
  <c r="D18" i="104"/>
  <c r="D28" i="105"/>
  <c r="D21" i="105"/>
  <c r="D25" i="105"/>
  <c r="D18" i="105"/>
  <c r="D28" i="106"/>
  <c r="D21" i="106"/>
  <c r="D25" i="106"/>
  <c r="D18" i="106"/>
  <c r="D28" i="107"/>
  <c r="D21" i="107"/>
  <c r="D25" i="107"/>
  <c r="D18" i="107"/>
  <c r="D28" i="109"/>
  <c r="D21" i="109"/>
  <c r="D25" i="109"/>
  <c r="D18" i="109"/>
  <c r="D28" i="110"/>
  <c r="D21" i="110"/>
  <c r="D25" i="110"/>
  <c r="D18" i="110"/>
  <c r="D28" i="111"/>
  <c r="D21" i="111"/>
  <c r="D25" i="111"/>
  <c r="D18" i="111"/>
  <c r="D28" i="112"/>
  <c r="D21" i="112"/>
  <c r="D25" i="112"/>
  <c r="D18" i="112"/>
  <c r="D28" i="113"/>
  <c r="D21" i="113"/>
  <c r="D25" i="113"/>
  <c r="D18" i="113"/>
  <c r="D28" i="114"/>
  <c r="D21" i="114"/>
  <c r="D25" i="114"/>
  <c r="D18" i="114"/>
  <c r="D28" i="115"/>
  <c r="D21" i="115"/>
  <c r="D25" i="115"/>
  <c r="D18" i="115"/>
  <c r="D28" i="116"/>
  <c r="D21" i="116"/>
  <c r="D25" i="116"/>
  <c r="D18" i="116"/>
  <c r="D28" i="117"/>
  <c r="D21" i="117"/>
  <c r="D25" i="117"/>
  <c r="D18" i="117"/>
  <c r="D28" i="118"/>
  <c r="D21" i="118"/>
  <c r="D25" i="118"/>
  <c r="D18" i="118"/>
  <c r="D28" i="119"/>
  <c r="D21" i="119"/>
  <c r="D25" i="119"/>
  <c r="D18" i="119"/>
  <c r="D28" i="120"/>
  <c r="D21" i="120"/>
  <c r="D25" i="120"/>
  <c r="D18" i="120"/>
  <c r="D28" i="121"/>
  <c r="D21" i="121"/>
  <c r="D25" i="121"/>
  <c r="D18" i="121"/>
  <c r="D28" i="122"/>
  <c r="D21" i="122"/>
  <c r="D25" i="122"/>
  <c r="D18" i="122"/>
  <c r="D28" i="124"/>
  <c r="D21" i="124"/>
  <c r="D25" i="124"/>
  <c r="D18" i="124"/>
  <c r="D28" i="125"/>
  <c r="D21" i="125"/>
  <c r="D25" i="125"/>
  <c r="D18" i="125"/>
  <c r="D28" i="126"/>
  <c r="D21" i="126"/>
  <c r="D25" i="126"/>
  <c r="D18" i="126"/>
  <c r="D28" i="127"/>
  <c r="D21" i="127"/>
  <c r="D25" i="127"/>
  <c r="D18" i="127"/>
  <c r="D28" i="128"/>
  <c r="D21" i="128"/>
  <c r="D25" i="128"/>
  <c r="D18" i="128"/>
  <c r="D28" i="129"/>
  <c r="D21" i="129"/>
  <c r="D25" i="129"/>
  <c r="D18" i="129"/>
  <c r="D28" i="56"/>
  <c r="D21" i="57"/>
  <c r="D25" i="57"/>
  <c r="D18" i="58"/>
  <c r="D28" i="60"/>
  <c r="D21" i="61"/>
  <c r="D25" i="61"/>
  <c r="D18" i="62"/>
  <c r="D28" i="64"/>
  <c r="D21" i="65"/>
  <c r="D25" i="65"/>
  <c r="D18" i="66"/>
  <c r="D28" i="68"/>
  <c r="D21" i="69"/>
  <c r="D25" i="69"/>
  <c r="D18" i="70"/>
  <c r="D18" i="33"/>
  <c r="D21" i="53"/>
  <c r="D25" i="53"/>
  <c r="D18" i="54"/>
  <c r="D25" i="33"/>
  <c r="D28" i="38"/>
  <c r="D18" i="39"/>
  <c r="D21" i="41"/>
  <c r="D18" i="43"/>
  <c r="D21" i="45"/>
  <c r="D18" i="47"/>
  <c r="D25" i="48"/>
  <c r="D21" i="49"/>
  <c r="D28" i="42"/>
  <c r="D28" i="46"/>
  <c r="D28" i="50"/>
  <c r="D18" i="38"/>
  <c r="D25" i="39"/>
  <c r="D18" i="42"/>
  <c r="D25" i="43"/>
  <c r="D28" i="45"/>
  <c r="D18" i="46"/>
  <c r="D25" i="47"/>
  <c r="D21" i="48"/>
  <c r="D28" i="49"/>
  <c r="D18" i="50"/>
  <c r="D18" i="55"/>
  <c r="D28" i="53"/>
  <c r="D21" i="54"/>
  <c r="D25" i="54"/>
  <c r="D28" i="57"/>
  <c r="E27" i="57" s="1"/>
  <c r="D21" i="58"/>
  <c r="D25" i="58"/>
  <c r="D18" i="59"/>
  <c r="D28" i="61"/>
  <c r="D21" i="62"/>
  <c r="D25" i="62"/>
  <c r="D18" i="63"/>
  <c r="D28" i="65"/>
  <c r="D21" i="66"/>
  <c r="D25" i="66"/>
  <c r="D18" i="67"/>
  <c r="D28" i="69"/>
  <c r="D21" i="70"/>
  <c r="D25" i="70"/>
  <c r="D21" i="77"/>
  <c r="D18" i="77"/>
  <c r="C6" i="3"/>
  <c r="C13" i="3" s="1"/>
  <c r="D25" i="77"/>
  <c r="D28" i="73"/>
  <c r="D18" i="3"/>
  <c r="D28" i="76"/>
  <c r="D28" i="72"/>
  <c r="D21" i="73"/>
  <c r="D25" i="73"/>
  <c r="D28" i="75"/>
  <c r="D21" i="76"/>
  <c r="D25" i="76"/>
  <c r="D18" i="71"/>
  <c r="D28" i="32"/>
  <c r="D21" i="38"/>
  <c r="D28" i="39"/>
  <c r="D25" i="41"/>
  <c r="D21" i="42"/>
  <c r="D28" i="43"/>
  <c r="E18" i="44"/>
  <c r="D25" i="45"/>
  <c r="D21" i="46"/>
  <c r="D28" i="47"/>
  <c r="D18" i="48"/>
  <c r="D25" i="49"/>
  <c r="D21" i="50"/>
  <c r="D28" i="77"/>
  <c r="D28" i="33"/>
  <c r="D25" i="38"/>
  <c r="D21" i="39"/>
  <c r="E21" i="39" s="1"/>
  <c r="D18" i="41"/>
  <c r="D25" i="42"/>
  <c r="D21" i="43"/>
  <c r="D28" i="44"/>
  <c r="E28" i="44" s="1"/>
  <c r="D18" i="45"/>
  <c r="D25" i="46"/>
  <c r="D21" i="47"/>
  <c r="D28" i="48"/>
  <c r="D18" i="49"/>
  <c r="E18" i="49" s="1"/>
  <c r="D25" i="50"/>
  <c r="D18" i="53"/>
  <c r="D28" i="55"/>
  <c r="E28" i="55" s="1"/>
  <c r="D21" i="56"/>
  <c r="D25" i="56"/>
  <c r="E25" i="56" s="1"/>
  <c r="D18" i="57"/>
  <c r="E18" i="57" s="1"/>
  <c r="D28" i="59"/>
  <c r="D21" i="60"/>
  <c r="D25" i="60"/>
  <c r="E25" i="60" s="1"/>
  <c r="D18" i="61"/>
  <c r="D28" i="63"/>
  <c r="D21" i="64"/>
  <c r="D25" i="64"/>
  <c r="D18" i="65"/>
  <c r="D28" i="67"/>
  <c r="D21" i="68"/>
  <c r="D25" i="68"/>
  <c r="D18" i="69"/>
  <c r="D28" i="71"/>
  <c r="D21" i="72"/>
  <c r="D25" i="72"/>
  <c r="D18" i="73"/>
  <c r="D28" i="3"/>
  <c r="D21" i="75"/>
  <c r="D25" i="75"/>
  <c r="D18" i="76"/>
  <c r="D21" i="33"/>
  <c r="E21" i="33" s="1"/>
  <c r="D28" i="41"/>
  <c r="D28" i="54"/>
  <c r="D21" i="55"/>
  <c r="D18" i="56"/>
  <c r="D28" i="58"/>
  <c r="D21" i="59"/>
  <c r="D25" i="59"/>
  <c r="D18" i="60"/>
  <c r="D28" i="62"/>
  <c r="D21" i="63"/>
  <c r="D25" i="63"/>
  <c r="D18" i="64"/>
  <c r="D28" i="66"/>
  <c r="D21" i="67"/>
  <c r="D25" i="67"/>
  <c r="D18" i="68"/>
  <c r="D28" i="70"/>
  <c r="D21" i="71"/>
  <c r="D25" i="71"/>
  <c r="D18" i="72"/>
  <c r="D21" i="3"/>
  <c r="D25" i="3"/>
  <c r="D18" i="75"/>
  <c r="D25" i="32"/>
  <c r="D28" i="29"/>
  <c r="D25" i="30"/>
  <c r="D21" i="31"/>
  <c r="D21" i="29"/>
  <c r="D18" i="30"/>
  <c r="D25" i="31"/>
  <c r="D25" i="29"/>
  <c r="D28" i="30"/>
  <c r="D18" i="31"/>
  <c r="D18" i="29"/>
  <c r="D21" i="30"/>
  <c r="D28" i="31"/>
  <c r="D18" i="32"/>
  <c r="D21" i="32"/>
  <c r="C6" i="129"/>
  <c r="C6" i="52"/>
  <c r="C9" i="52" s="1"/>
  <c r="D6" i="128"/>
  <c r="D21" i="28"/>
  <c r="D6" i="26"/>
  <c r="C6" i="27"/>
  <c r="C9" i="27" s="1"/>
  <c r="D6" i="36"/>
  <c r="D9" i="36" s="1"/>
  <c r="D6" i="79"/>
  <c r="D9" i="79" s="1"/>
  <c r="D6" i="40"/>
  <c r="D9" i="40" s="1"/>
  <c r="D6" i="125"/>
  <c r="D18" i="28"/>
  <c r="D18" i="34"/>
  <c r="D18" i="11"/>
  <c r="C6" i="34"/>
  <c r="D6" i="89"/>
  <c r="D13" i="89" s="1"/>
  <c r="D25" i="26"/>
  <c r="D6" i="81"/>
  <c r="C6" i="85"/>
  <c r="D25" i="9"/>
  <c r="D28" i="11"/>
  <c r="D21" i="14"/>
  <c r="D21" i="19"/>
  <c r="D18" i="19"/>
  <c r="D21" i="37"/>
  <c r="C6" i="44"/>
  <c r="D6" i="51"/>
  <c r="D9" i="51" s="1"/>
  <c r="D6" i="94"/>
  <c r="D28" i="9"/>
  <c r="D18" i="12"/>
  <c r="D18" i="13"/>
  <c r="D28" i="17"/>
  <c r="D18" i="18"/>
  <c r="D28" i="20"/>
  <c r="D6" i="27"/>
  <c r="D9" i="27" s="1"/>
  <c r="D18" i="37"/>
  <c r="D18" i="10"/>
  <c r="D28" i="13"/>
  <c r="D21" i="35"/>
  <c r="D28" i="37"/>
  <c r="D6" i="45"/>
  <c r="C6" i="100"/>
  <c r="D6" i="124"/>
  <c r="D28" i="10"/>
  <c r="C6" i="37"/>
  <c r="C6" i="38"/>
  <c r="C13" i="38" s="1"/>
  <c r="D6" i="43"/>
  <c r="C6" i="67"/>
  <c r="C6" i="72"/>
  <c r="C13" i="72" s="1"/>
  <c r="D6" i="86"/>
  <c r="C6" i="89"/>
  <c r="D6" i="109"/>
  <c r="C6" i="128"/>
  <c r="D6" i="129"/>
  <c r="D18" i="8"/>
  <c r="D6" i="9"/>
  <c r="D6" i="13"/>
  <c r="D13" i="13" s="1"/>
  <c r="D18" i="14"/>
  <c r="D21" i="16"/>
  <c r="D21" i="17"/>
  <c r="D28" i="18"/>
  <c r="D25" i="24"/>
  <c r="D21" i="25"/>
  <c r="D18" i="25"/>
  <c r="D6" i="33"/>
  <c r="D18" i="35"/>
  <c r="C6" i="62"/>
  <c r="D6" i="84"/>
  <c r="C6" i="106"/>
  <c r="D21" i="10"/>
  <c r="D25" i="10"/>
  <c r="D21" i="11"/>
  <c r="D25" i="11"/>
  <c r="D21" i="21"/>
  <c r="D6" i="31"/>
  <c r="C6" i="40"/>
  <c r="C9" i="40" s="1"/>
  <c r="E9" i="40" s="1"/>
  <c r="C6" i="48"/>
  <c r="C6" i="56"/>
  <c r="C13" i="56" s="1"/>
  <c r="C6" i="58"/>
  <c r="D6" i="61"/>
  <c r="D6" i="64"/>
  <c r="C6" i="69"/>
  <c r="D6" i="88"/>
  <c r="D6" i="90"/>
  <c r="D6" i="15"/>
  <c r="D6" i="60"/>
  <c r="C6" i="61"/>
  <c r="C6" i="64"/>
  <c r="C6" i="65"/>
  <c r="C6" i="68"/>
  <c r="D6" i="76"/>
  <c r="D13" i="76" s="1"/>
  <c r="C6" i="80"/>
  <c r="C9" i="80" s="1"/>
  <c r="D6" i="80"/>
  <c r="D9" i="80" s="1"/>
  <c r="D6" i="82"/>
  <c r="D6" i="87"/>
  <c r="D6" i="93"/>
  <c r="D6" i="120"/>
  <c r="C6" i="125"/>
  <c r="D21" i="7"/>
  <c r="C6" i="22"/>
  <c r="C9" i="22" s="1"/>
  <c r="D6" i="23"/>
  <c r="D6" i="29"/>
  <c r="C6" i="30"/>
  <c r="C6" i="31"/>
  <c r="D21" i="34"/>
  <c r="C6" i="35"/>
  <c r="D28" i="35"/>
  <c r="D6" i="38"/>
  <c r="C6" i="51"/>
  <c r="C9" i="51" s="1"/>
  <c r="C6" i="63"/>
  <c r="D6" i="63"/>
  <c r="C6" i="71"/>
  <c r="C13" i="71" s="1"/>
  <c r="C6" i="102"/>
  <c r="D6" i="10"/>
  <c r="D28" i="15"/>
  <c r="D25" i="15"/>
  <c r="D18" i="16"/>
  <c r="C6" i="19"/>
  <c r="D21" i="20"/>
  <c r="D18" i="21"/>
  <c r="D28" i="24"/>
  <c r="D18" i="26"/>
  <c r="D25" i="34"/>
  <c r="D6" i="57"/>
  <c r="D6" i="59"/>
  <c r="C6" i="92"/>
  <c r="C6" i="95"/>
  <c r="C6" i="96"/>
  <c r="C6" i="97"/>
  <c r="D6" i="98"/>
  <c r="D6" i="99"/>
  <c r="D6" i="126"/>
  <c r="D28" i="7"/>
  <c r="D25" i="7"/>
  <c r="D25" i="13"/>
  <c r="D21" i="15"/>
  <c r="D28" i="16"/>
  <c r="D18" i="17"/>
  <c r="D25" i="20"/>
  <c r="D21" i="23"/>
  <c r="D18" i="23"/>
  <c r="D21" i="24"/>
  <c r="C6" i="25"/>
  <c r="D28" i="26"/>
  <c r="D25" i="28"/>
  <c r="C6" i="41"/>
  <c r="C6" i="45"/>
  <c r="D6" i="47"/>
  <c r="C6" i="49"/>
  <c r="C13" i="49" s="1"/>
  <c r="D6" i="52"/>
  <c r="D9" i="52" s="1"/>
  <c r="D6" i="73"/>
  <c r="D13" i="73" s="1"/>
  <c r="D6" i="91"/>
  <c r="D6" i="103"/>
  <c r="C6" i="107"/>
  <c r="D6" i="110"/>
  <c r="C6" i="115"/>
  <c r="C6" i="119"/>
  <c r="D6" i="122"/>
  <c r="D6" i="123"/>
  <c r="D9" i="123" s="1"/>
  <c r="D6" i="127"/>
  <c r="D6" i="5"/>
  <c r="D28" i="5"/>
  <c r="C6" i="8"/>
  <c r="D6" i="8"/>
  <c r="D25" i="8"/>
  <c r="D21" i="9"/>
  <c r="D18" i="9"/>
  <c r="D28" i="12"/>
  <c r="C6" i="14"/>
  <c r="C13" i="14" s="1"/>
  <c r="D6" i="7"/>
  <c r="D13" i="7" s="1"/>
  <c r="C6" i="17"/>
  <c r="D18" i="5"/>
  <c r="D28" i="8"/>
  <c r="C6" i="11"/>
  <c r="C13" i="11" s="1"/>
  <c r="D21" i="12"/>
  <c r="D6" i="12"/>
  <c r="D25" i="12"/>
  <c r="D21" i="13"/>
  <c r="D25" i="18"/>
  <c r="D6" i="18"/>
  <c r="C6" i="10"/>
  <c r="D6" i="11"/>
  <c r="D6" i="14"/>
  <c r="C6" i="16"/>
  <c r="D6" i="20"/>
  <c r="D6" i="19"/>
  <c r="C6" i="21"/>
  <c r="D28" i="21"/>
  <c r="D6" i="22"/>
  <c r="D9" i="22" s="1"/>
  <c r="C6" i="23"/>
  <c r="D28" i="23"/>
  <c r="D25" i="23"/>
  <c r="C6" i="24"/>
  <c r="D25" i="25"/>
  <c r="D21" i="26"/>
  <c r="C6" i="28"/>
  <c r="D28" i="28"/>
  <c r="C6" i="33"/>
  <c r="C13" i="33" s="1"/>
  <c r="C6" i="42"/>
  <c r="C6" i="47"/>
  <c r="C13" i="47" s="1"/>
  <c r="C6" i="50"/>
  <c r="D6" i="56"/>
  <c r="D13" i="56" s="1"/>
  <c r="D6" i="58"/>
  <c r="C6" i="60"/>
  <c r="C6" i="83"/>
  <c r="D6" i="83"/>
  <c r="D6" i="24"/>
  <c r="D13" i="24" s="1"/>
  <c r="D28" i="34"/>
  <c r="D25" i="35"/>
  <c r="D25" i="37"/>
  <c r="C6" i="54"/>
  <c r="D6" i="55"/>
  <c r="C6" i="57"/>
  <c r="C6" i="59"/>
  <c r="D6" i="66"/>
  <c r="D13" i="66" s="1"/>
  <c r="D6" i="68"/>
  <c r="D6" i="70"/>
  <c r="D13" i="70" s="1"/>
  <c r="D6" i="71"/>
  <c r="D13" i="71" s="1"/>
  <c r="D6" i="72"/>
  <c r="D13" i="72" s="1"/>
  <c r="D6" i="75"/>
  <c r="D13" i="75" s="1"/>
  <c r="D6" i="85"/>
  <c r="D28" i="14"/>
  <c r="C6" i="15"/>
  <c r="D25" i="16"/>
  <c r="D25" i="17"/>
  <c r="D21" i="18"/>
  <c r="D28" i="19"/>
  <c r="C6" i="20"/>
  <c r="D25" i="21"/>
  <c r="D28" i="25"/>
  <c r="C6" i="29"/>
  <c r="C6" i="32"/>
  <c r="C13" i="32" s="1"/>
  <c r="D6" i="35"/>
  <c r="C6" i="36"/>
  <c r="C9" i="36" s="1"/>
  <c r="C6" i="39"/>
  <c r="D6" i="41"/>
  <c r="C6" i="43"/>
  <c r="C6" i="46"/>
  <c r="C13" i="46" s="1"/>
  <c r="D6" i="49"/>
  <c r="C6" i="53"/>
  <c r="D6" i="62"/>
  <c r="D13" i="62" s="1"/>
  <c r="D6" i="65"/>
  <c r="D13" i="65" s="1"/>
  <c r="C6" i="66"/>
  <c r="D6" i="67"/>
  <c r="D13" i="67" s="1"/>
  <c r="D6" i="69"/>
  <c r="C6" i="70"/>
  <c r="C6" i="76"/>
  <c r="C6" i="77"/>
  <c r="D6" i="77"/>
  <c r="D13" i="77" s="1"/>
  <c r="C9" i="79"/>
  <c r="C6" i="81"/>
  <c r="C6" i="82"/>
  <c r="C6" i="84"/>
  <c r="C6" i="91"/>
  <c r="C6" i="99"/>
  <c r="C13" i="99" s="1"/>
  <c r="C6" i="101"/>
  <c r="C13" i="101" s="1"/>
  <c r="C6" i="104"/>
  <c r="C6" i="105"/>
  <c r="C6" i="117"/>
  <c r="D6" i="121"/>
  <c r="C6" i="121"/>
  <c r="C6" i="86"/>
  <c r="C13" i="86" s="1"/>
  <c r="C6" i="87"/>
  <c r="C6" i="90"/>
  <c r="C13" i="90" s="1"/>
  <c r="C6" i="93"/>
  <c r="C6" i="94"/>
  <c r="C13" i="94" s="1"/>
  <c r="C6" i="98"/>
  <c r="D6" i="101"/>
  <c r="C6" i="103"/>
  <c r="D6" i="104"/>
  <c r="D13" i="104" s="1"/>
  <c r="D6" i="105"/>
  <c r="D13" i="105" s="1"/>
  <c r="C6" i="108"/>
  <c r="C9" i="108" s="1"/>
  <c r="D6" i="108"/>
  <c r="D9" i="108" s="1"/>
  <c r="C6" i="114"/>
  <c r="C6" i="118"/>
  <c r="C13" i="118" s="1"/>
  <c r="C6" i="123"/>
  <c r="C9" i="123" s="1"/>
  <c r="E9" i="123" s="1"/>
  <c r="F9" i="123" s="1"/>
  <c r="C6" i="126"/>
  <c r="C6" i="127"/>
  <c r="D6" i="107"/>
  <c r="C6" i="120"/>
  <c r="C6" i="122"/>
  <c r="C13" i="122" s="1"/>
  <c r="C6" i="88"/>
  <c r="D6" i="92"/>
  <c r="D13" i="92" s="1"/>
  <c r="D6" i="100"/>
  <c r="D13" i="102"/>
  <c r="C6" i="116"/>
  <c r="C13" i="116" s="1"/>
  <c r="C6" i="124"/>
  <c r="D21" i="8"/>
  <c r="C6" i="12"/>
  <c r="E19" i="12" s="1"/>
  <c r="C6" i="6"/>
  <c r="C9" i="6" s="1"/>
  <c r="D6" i="28"/>
  <c r="D13" i="28" s="1"/>
  <c r="D6" i="30"/>
  <c r="D13" i="30" s="1"/>
  <c r="D6" i="32"/>
  <c r="D13" i="32" s="1"/>
  <c r="D6" i="34"/>
  <c r="D13" i="34" s="1"/>
  <c r="D6" i="37"/>
  <c r="D6" i="39"/>
  <c r="D6" i="42"/>
  <c r="D6" i="44"/>
  <c r="D6" i="46"/>
  <c r="D6" i="48"/>
  <c r="D13" i="48" s="1"/>
  <c r="D6" i="50"/>
  <c r="D6" i="53"/>
  <c r="D6" i="54"/>
  <c r="D13" i="54" s="1"/>
  <c r="C6" i="73"/>
  <c r="C6" i="75"/>
  <c r="C13" i="75" s="1"/>
  <c r="D25" i="5"/>
  <c r="D21" i="5"/>
  <c r="D6" i="6"/>
  <c r="D9" i="6" s="1"/>
  <c r="C6" i="9"/>
  <c r="C6" i="13"/>
  <c r="C13" i="13" s="1"/>
  <c r="D25" i="14"/>
  <c r="D18" i="15"/>
  <c r="D6" i="16"/>
  <c r="D6" i="17"/>
  <c r="C6" i="18"/>
  <c r="C13" i="18" s="1"/>
  <c r="D25" i="19"/>
  <c r="D18" i="20"/>
  <c r="D6" i="21"/>
  <c r="D18" i="24"/>
  <c r="D6" i="25"/>
  <c r="D13" i="25" s="1"/>
  <c r="C6" i="26"/>
  <c r="C13" i="26" s="1"/>
  <c r="C6" i="55"/>
  <c r="C13" i="55" s="1"/>
  <c r="D6" i="106"/>
  <c r="C6" i="110"/>
  <c r="C6" i="111"/>
  <c r="C13" i="111" s="1"/>
  <c r="C6" i="112"/>
  <c r="C13" i="112" s="1"/>
  <c r="C6" i="113"/>
  <c r="D6" i="111"/>
  <c r="D6" i="112"/>
  <c r="D6" i="113"/>
  <c r="D6" i="114"/>
  <c r="D6" i="116"/>
  <c r="D6" i="118"/>
  <c r="D6" i="95"/>
  <c r="D6" i="96"/>
  <c r="D13" i="96" s="1"/>
  <c r="D6" i="97"/>
  <c r="D6" i="78"/>
  <c r="C6" i="109"/>
  <c r="D6" i="115"/>
  <c r="D6" i="117"/>
  <c r="D6" i="119"/>
  <c r="B3" i="129"/>
  <c r="B2" i="129"/>
  <c r="C13" i="129"/>
  <c r="D13" i="129"/>
  <c r="G7" i="129"/>
  <c r="G8" i="129"/>
  <c r="G9" i="129"/>
  <c r="G10" i="129"/>
  <c r="G11" i="129"/>
  <c r="G12" i="129"/>
  <c r="B3" i="128"/>
  <c r="B2" i="128"/>
  <c r="C13" i="128"/>
  <c r="D13" i="128"/>
  <c r="G7" i="128"/>
  <c r="G8" i="128"/>
  <c r="G9" i="128"/>
  <c r="G10" i="128"/>
  <c r="G11" i="128"/>
  <c r="G12" i="128"/>
  <c r="B3" i="127"/>
  <c r="B2" i="127"/>
  <c r="G7" i="127"/>
  <c r="G8" i="127"/>
  <c r="G9" i="127"/>
  <c r="G10" i="127"/>
  <c r="G11" i="127"/>
  <c r="G12" i="127"/>
  <c r="B3" i="126"/>
  <c r="B2" i="126"/>
  <c r="D13" i="126"/>
  <c r="G7" i="126"/>
  <c r="G8" i="126"/>
  <c r="G9" i="126"/>
  <c r="G10" i="126"/>
  <c r="G11" i="126"/>
  <c r="G12" i="126"/>
  <c r="B3" i="125"/>
  <c r="B2" i="125"/>
  <c r="C13" i="125"/>
  <c r="D13" i="125"/>
  <c r="G7" i="125"/>
  <c r="G8" i="125"/>
  <c r="G9" i="125"/>
  <c r="G10" i="125"/>
  <c r="G11" i="125"/>
  <c r="G12" i="125"/>
  <c r="B3" i="124"/>
  <c r="B2" i="124"/>
  <c r="D13" i="124"/>
  <c r="G7" i="124"/>
  <c r="G8" i="124"/>
  <c r="G9" i="124"/>
  <c r="G10" i="124"/>
  <c r="G11" i="124"/>
  <c r="G12" i="124"/>
  <c r="B3" i="123"/>
  <c r="B2" i="123"/>
  <c r="G7" i="123"/>
  <c r="G8" i="123"/>
  <c r="B3" i="122"/>
  <c r="B2" i="122"/>
  <c r="D13" i="122"/>
  <c r="G7" i="122"/>
  <c r="G8" i="122"/>
  <c r="G9" i="122"/>
  <c r="G10" i="122"/>
  <c r="G11" i="122"/>
  <c r="G12" i="122"/>
  <c r="B3" i="121"/>
  <c r="B2" i="121"/>
  <c r="C13" i="121"/>
  <c r="G7" i="121"/>
  <c r="G8" i="121"/>
  <c r="G9" i="121"/>
  <c r="G10" i="121"/>
  <c r="G11" i="121"/>
  <c r="G12" i="121"/>
  <c r="B3" i="120"/>
  <c r="B2" i="120"/>
  <c r="D13" i="120"/>
  <c r="G7" i="120"/>
  <c r="G8" i="120"/>
  <c r="G9" i="120"/>
  <c r="G10" i="120"/>
  <c r="G11" i="120"/>
  <c r="G12" i="120"/>
  <c r="B3" i="119"/>
  <c r="B2" i="119"/>
  <c r="C13" i="119"/>
  <c r="G7" i="119"/>
  <c r="G8" i="119"/>
  <c r="G9" i="119"/>
  <c r="G10" i="119"/>
  <c r="G11" i="119"/>
  <c r="G12" i="119"/>
  <c r="B3" i="118"/>
  <c r="B2" i="118"/>
  <c r="G7" i="118"/>
  <c r="G8" i="118"/>
  <c r="G9" i="118"/>
  <c r="G10" i="118"/>
  <c r="G11" i="118"/>
  <c r="G12" i="118"/>
  <c r="B3" i="117"/>
  <c r="B2" i="117"/>
  <c r="C13" i="117"/>
  <c r="G7" i="117"/>
  <c r="G8" i="117"/>
  <c r="G9" i="117"/>
  <c r="G10" i="117"/>
  <c r="G11" i="117"/>
  <c r="G12" i="117"/>
  <c r="B3" i="116"/>
  <c r="B2" i="116"/>
  <c r="G7" i="116"/>
  <c r="G8" i="116"/>
  <c r="G9" i="116"/>
  <c r="G10" i="116"/>
  <c r="G11" i="116"/>
  <c r="G12" i="116"/>
  <c r="B3" i="115"/>
  <c r="B2" i="115"/>
  <c r="C13" i="115"/>
  <c r="G7" i="115"/>
  <c r="G8" i="115"/>
  <c r="G9" i="115"/>
  <c r="G10" i="115"/>
  <c r="G11" i="115"/>
  <c r="G12" i="115"/>
  <c r="B3" i="114"/>
  <c r="B2" i="114"/>
  <c r="G7" i="114"/>
  <c r="G8" i="114"/>
  <c r="G9" i="114"/>
  <c r="G10" i="114"/>
  <c r="G11" i="114"/>
  <c r="G12" i="114"/>
  <c r="B3" i="113"/>
  <c r="B2" i="113"/>
  <c r="G7" i="113"/>
  <c r="G8" i="113"/>
  <c r="G9" i="113"/>
  <c r="G10" i="113"/>
  <c r="G11" i="113"/>
  <c r="G12" i="113"/>
  <c r="B3" i="112"/>
  <c r="B2" i="112"/>
  <c r="G7" i="112"/>
  <c r="G8" i="112"/>
  <c r="G9" i="112"/>
  <c r="G10" i="112"/>
  <c r="G11" i="112"/>
  <c r="G12" i="112"/>
  <c r="B3" i="111"/>
  <c r="B2" i="111"/>
  <c r="G7" i="111"/>
  <c r="G8" i="111"/>
  <c r="G9" i="111"/>
  <c r="G10" i="111"/>
  <c r="G11" i="111"/>
  <c r="G12" i="111"/>
  <c r="B3" i="110"/>
  <c r="B2" i="110"/>
  <c r="D13" i="110"/>
  <c r="G7" i="110"/>
  <c r="G8" i="110"/>
  <c r="G9" i="110"/>
  <c r="G10" i="110"/>
  <c r="G11" i="110"/>
  <c r="G12" i="110"/>
  <c r="B3" i="109"/>
  <c r="B2" i="109"/>
  <c r="D13" i="109"/>
  <c r="G7" i="109"/>
  <c r="G8" i="109"/>
  <c r="G9" i="109"/>
  <c r="G10" i="109"/>
  <c r="G11" i="109"/>
  <c r="G12" i="109"/>
  <c r="B3" i="108"/>
  <c r="B2" i="108"/>
  <c r="G7" i="108"/>
  <c r="G8" i="108"/>
  <c r="B3" i="107"/>
  <c r="B2" i="107"/>
  <c r="C13" i="107"/>
  <c r="G7" i="107"/>
  <c r="G8" i="107"/>
  <c r="G9" i="107"/>
  <c r="G10" i="107"/>
  <c r="G11" i="107"/>
  <c r="G12" i="107"/>
  <c r="B3" i="106"/>
  <c r="B2" i="106"/>
  <c r="C13" i="106"/>
  <c r="G7" i="106"/>
  <c r="G8" i="106"/>
  <c r="G9" i="106"/>
  <c r="G10" i="106"/>
  <c r="G11" i="106"/>
  <c r="G12" i="106"/>
  <c r="B3" i="105"/>
  <c r="B2" i="105"/>
  <c r="C13" i="105"/>
  <c r="G7" i="105"/>
  <c r="G8" i="105"/>
  <c r="G9" i="105"/>
  <c r="G10" i="105"/>
  <c r="G11" i="105"/>
  <c r="G12" i="105"/>
  <c r="B3" i="104"/>
  <c r="B2" i="104"/>
  <c r="G7" i="104"/>
  <c r="G8" i="104"/>
  <c r="G9" i="104"/>
  <c r="G10" i="104"/>
  <c r="G11" i="104"/>
  <c r="G12" i="104"/>
  <c r="B3" i="103"/>
  <c r="B2" i="103"/>
  <c r="D13" i="103"/>
  <c r="G7" i="103"/>
  <c r="G8" i="103"/>
  <c r="G9" i="103"/>
  <c r="G10" i="103"/>
  <c r="G11" i="103"/>
  <c r="G12" i="103"/>
  <c r="B3" i="102"/>
  <c r="B2" i="102"/>
  <c r="C13" i="102"/>
  <c r="G7" i="102"/>
  <c r="G8" i="102"/>
  <c r="G9" i="102"/>
  <c r="G10" i="102"/>
  <c r="G11" i="102"/>
  <c r="G12" i="102"/>
  <c r="B3" i="101"/>
  <c r="B2" i="101"/>
  <c r="G7" i="101"/>
  <c r="G8" i="101"/>
  <c r="G9" i="101"/>
  <c r="G10" i="101"/>
  <c r="G11" i="101"/>
  <c r="G12" i="101"/>
  <c r="B3" i="100"/>
  <c r="B2" i="100"/>
  <c r="C13" i="100"/>
  <c r="G7" i="100"/>
  <c r="G8" i="100"/>
  <c r="G9" i="100"/>
  <c r="G10" i="100"/>
  <c r="G11" i="100"/>
  <c r="G12" i="100"/>
  <c r="B3" i="99"/>
  <c r="B2" i="99"/>
  <c r="D13" i="99"/>
  <c r="G7" i="99"/>
  <c r="G8" i="99"/>
  <c r="G9" i="99"/>
  <c r="G10" i="99"/>
  <c r="G11" i="99"/>
  <c r="G12" i="99"/>
  <c r="B3" i="98"/>
  <c r="B2" i="98"/>
  <c r="D13" i="98"/>
  <c r="G7" i="98"/>
  <c r="G8" i="98"/>
  <c r="G9" i="98"/>
  <c r="G10" i="98"/>
  <c r="G11" i="98"/>
  <c r="G12" i="98"/>
  <c r="B3" i="97"/>
  <c r="B2" i="97"/>
  <c r="C13" i="97"/>
  <c r="G7" i="97"/>
  <c r="G8" i="97"/>
  <c r="G9" i="97"/>
  <c r="G10" i="97"/>
  <c r="G11" i="97"/>
  <c r="G12" i="97"/>
  <c r="B3" i="96"/>
  <c r="B2" i="96"/>
  <c r="C13" i="96"/>
  <c r="G7" i="96"/>
  <c r="G8" i="96"/>
  <c r="G9" i="96"/>
  <c r="G10" i="96"/>
  <c r="G11" i="96"/>
  <c r="G12" i="96"/>
  <c r="B3" i="95"/>
  <c r="B2" i="95"/>
  <c r="C13" i="95"/>
  <c r="G7" i="95"/>
  <c r="G8" i="95"/>
  <c r="G9" i="95"/>
  <c r="G10" i="95"/>
  <c r="G11" i="95"/>
  <c r="G12" i="95"/>
  <c r="B3" i="94"/>
  <c r="B2" i="94"/>
  <c r="D13" i="94"/>
  <c r="G7" i="94"/>
  <c r="G8" i="94"/>
  <c r="G9" i="94"/>
  <c r="G10" i="94"/>
  <c r="G11" i="94"/>
  <c r="G12" i="94"/>
  <c r="B3" i="93"/>
  <c r="B2" i="93"/>
  <c r="C13" i="93"/>
  <c r="D13" i="93"/>
  <c r="G7" i="93"/>
  <c r="G8" i="93"/>
  <c r="G9" i="93"/>
  <c r="G10" i="93"/>
  <c r="G11" i="93"/>
  <c r="G12" i="93"/>
  <c r="B3" i="92"/>
  <c r="B2" i="92"/>
  <c r="C13" i="92"/>
  <c r="G7" i="92"/>
  <c r="G8" i="92"/>
  <c r="G9" i="92"/>
  <c r="G10" i="92"/>
  <c r="G11" i="92"/>
  <c r="G12" i="92"/>
  <c r="B3" i="91"/>
  <c r="B2" i="91"/>
  <c r="G7" i="91"/>
  <c r="G8" i="91"/>
  <c r="G9" i="91"/>
  <c r="G10" i="91"/>
  <c r="G11" i="91"/>
  <c r="G12" i="91"/>
  <c r="B3" i="90"/>
  <c r="B2" i="90"/>
  <c r="D13" i="90"/>
  <c r="G7" i="90"/>
  <c r="G8" i="90"/>
  <c r="G9" i="90"/>
  <c r="G10" i="90"/>
  <c r="G11" i="90"/>
  <c r="G12" i="90"/>
  <c r="B3" i="89"/>
  <c r="B2" i="89"/>
  <c r="C13" i="89"/>
  <c r="G7" i="89"/>
  <c r="G8" i="89"/>
  <c r="G9" i="89"/>
  <c r="G10" i="89"/>
  <c r="G11" i="89"/>
  <c r="G12" i="89"/>
  <c r="B3" i="88"/>
  <c r="B2" i="88"/>
  <c r="D13" i="88"/>
  <c r="G7" i="88"/>
  <c r="G8" i="88"/>
  <c r="G9" i="88"/>
  <c r="G10" i="88"/>
  <c r="G11" i="88"/>
  <c r="G12" i="88"/>
  <c r="B3" i="87"/>
  <c r="B2" i="87"/>
  <c r="C13" i="87"/>
  <c r="D13" i="87"/>
  <c r="G7" i="87"/>
  <c r="G8" i="87"/>
  <c r="G9" i="87"/>
  <c r="G10" i="87"/>
  <c r="G11" i="87"/>
  <c r="G12" i="87"/>
  <c r="B3" i="86"/>
  <c r="B2" i="86"/>
  <c r="D13" i="86"/>
  <c r="G7" i="86"/>
  <c r="G8" i="86"/>
  <c r="G9" i="86"/>
  <c r="G10" i="86"/>
  <c r="G11" i="86"/>
  <c r="G12" i="86"/>
  <c r="B3" i="85"/>
  <c r="B2" i="85"/>
  <c r="C13" i="85"/>
  <c r="D13" i="85"/>
  <c r="G7" i="85"/>
  <c r="G8" i="85"/>
  <c r="G9" i="85"/>
  <c r="G10" i="85"/>
  <c r="G11" i="85"/>
  <c r="G12" i="85"/>
  <c r="B3" i="84"/>
  <c r="B2" i="84"/>
  <c r="D13" i="84"/>
  <c r="G7" i="84"/>
  <c r="G8" i="84"/>
  <c r="G9" i="84"/>
  <c r="G10" i="84"/>
  <c r="G11" i="84"/>
  <c r="G12" i="84"/>
  <c r="B3" i="83"/>
  <c r="B2" i="83"/>
  <c r="D13" i="83"/>
  <c r="G7" i="83"/>
  <c r="G8" i="83"/>
  <c r="G9" i="83"/>
  <c r="G10" i="83"/>
  <c r="G11" i="83"/>
  <c r="G12" i="83"/>
  <c r="B3" i="82"/>
  <c r="B2" i="82"/>
  <c r="C13" i="82"/>
  <c r="D13" i="82"/>
  <c r="G7" i="82"/>
  <c r="G8" i="82"/>
  <c r="G9" i="82"/>
  <c r="G10" i="82"/>
  <c r="G11" i="82"/>
  <c r="G12" i="82"/>
  <c r="B3" i="81"/>
  <c r="B2" i="81"/>
  <c r="G7" i="81"/>
  <c r="G8" i="81"/>
  <c r="G9" i="81"/>
  <c r="G10" i="81"/>
  <c r="G11" i="81"/>
  <c r="G12" i="81"/>
  <c r="B3" i="80"/>
  <c r="B2" i="80"/>
  <c r="B3" i="79"/>
  <c r="B2" i="79"/>
  <c r="G7" i="79"/>
  <c r="G8" i="79"/>
  <c r="G7" i="78"/>
  <c r="G9" i="78"/>
  <c r="G8" i="78"/>
  <c r="G10" i="78"/>
  <c r="B3" i="78"/>
  <c r="B2" i="78"/>
  <c r="B3" i="77"/>
  <c r="B2" i="77"/>
  <c r="G7" i="77"/>
  <c r="G8" i="77"/>
  <c r="G9" i="77"/>
  <c r="G10" i="77"/>
  <c r="G11" i="77"/>
  <c r="G12" i="77"/>
  <c r="B3" i="76"/>
  <c r="B2" i="76"/>
  <c r="G7" i="76"/>
  <c r="G8" i="76"/>
  <c r="G9" i="76"/>
  <c r="G10" i="76"/>
  <c r="G11" i="76"/>
  <c r="G12" i="76"/>
  <c r="B3" i="75"/>
  <c r="B2" i="75"/>
  <c r="G7" i="75"/>
  <c r="G8" i="75"/>
  <c r="G9" i="75"/>
  <c r="G10" i="75"/>
  <c r="G11" i="75"/>
  <c r="G12" i="75"/>
  <c r="B3" i="73"/>
  <c r="B2" i="73"/>
  <c r="G7" i="73"/>
  <c r="G8" i="73"/>
  <c r="G9" i="73"/>
  <c r="G10" i="73"/>
  <c r="G11" i="73"/>
  <c r="G12" i="73"/>
  <c r="B3" i="72"/>
  <c r="B2" i="72"/>
  <c r="G7" i="72"/>
  <c r="G8" i="72"/>
  <c r="G9" i="72"/>
  <c r="G10" i="72"/>
  <c r="G11" i="72"/>
  <c r="G12" i="72"/>
  <c r="B3" i="71"/>
  <c r="B2" i="71"/>
  <c r="G7" i="71"/>
  <c r="G8" i="71"/>
  <c r="G9" i="71"/>
  <c r="G10" i="71"/>
  <c r="G11" i="71"/>
  <c r="G12" i="71"/>
  <c r="B3" i="70"/>
  <c r="B2" i="70"/>
  <c r="G7" i="70"/>
  <c r="G8" i="70"/>
  <c r="G9" i="70"/>
  <c r="G10" i="70"/>
  <c r="G11" i="70"/>
  <c r="G12" i="70"/>
  <c r="B3" i="69"/>
  <c r="B2" i="69"/>
  <c r="C13" i="69"/>
  <c r="D13" i="69"/>
  <c r="G7" i="69"/>
  <c r="G8" i="69"/>
  <c r="G9" i="69"/>
  <c r="G10" i="69"/>
  <c r="G11" i="69"/>
  <c r="G12" i="69"/>
  <c r="B3" i="68"/>
  <c r="B2" i="68"/>
  <c r="C13" i="68"/>
  <c r="G7" i="68"/>
  <c r="G8" i="68"/>
  <c r="G9" i="68"/>
  <c r="G10" i="68"/>
  <c r="G11" i="68"/>
  <c r="G12" i="68"/>
  <c r="B3" i="67"/>
  <c r="B2" i="67"/>
  <c r="C13" i="67"/>
  <c r="G7" i="67"/>
  <c r="G8" i="67"/>
  <c r="G9" i="67"/>
  <c r="G10" i="67"/>
  <c r="G11" i="67"/>
  <c r="G12" i="67"/>
  <c r="B3" i="66"/>
  <c r="B2" i="66"/>
  <c r="C13" i="66"/>
  <c r="G7" i="66"/>
  <c r="G8" i="66"/>
  <c r="G9" i="66"/>
  <c r="G10" i="66"/>
  <c r="G11" i="66"/>
  <c r="G12" i="66"/>
  <c r="B3" i="65"/>
  <c r="B2" i="65"/>
  <c r="C13" i="65"/>
  <c r="E13" i="65" s="1"/>
  <c r="F8" i="65" s="1"/>
  <c r="G7" i="65"/>
  <c r="G8" i="65"/>
  <c r="G9" i="65"/>
  <c r="G10" i="65"/>
  <c r="G11" i="65"/>
  <c r="G12" i="65"/>
  <c r="B3" i="64"/>
  <c r="B2" i="64"/>
  <c r="C13" i="64"/>
  <c r="D13" i="64"/>
  <c r="G7" i="64"/>
  <c r="G8" i="64"/>
  <c r="G9" i="64"/>
  <c r="G10" i="64"/>
  <c r="G11" i="64"/>
  <c r="G12" i="64"/>
  <c r="B3" i="63"/>
  <c r="B2" i="63"/>
  <c r="C13" i="63"/>
  <c r="D13" i="63"/>
  <c r="G7" i="63"/>
  <c r="G8" i="63"/>
  <c r="G9" i="63"/>
  <c r="G10" i="63"/>
  <c r="G11" i="63"/>
  <c r="G12" i="63"/>
  <c r="B3" i="62"/>
  <c r="B2" i="62"/>
  <c r="C13" i="62"/>
  <c r="G7" i="62"/>
  <c r="G8" i="62"/>
  <c r="G9" i="62"/>
  <c r="G10" i="62"/>
  <c r="G11" i="62"/>
  <c r="G12" i="62"/>
  <c r="B3" i="61"/>
  <c r="B2" i="61"/>
  <c r="D13" i="61"/>
  <c r="G7" i="61"/>
  <c r="G8" i="61"/>
  <c r="G9" i="61"/>
  <c r="G10" i="61"/>
  <c r="G11" i="61"/>
  <c r="G12" i="61"/>
  <c r="B3" i="60"/>
  <c r="B2" i="60"/>
  <c r="C13" i="60"/>
  <c r="D13" i="60"/>
  <c r="G7" i="60"/>
  <c r="G8" i="60"/>
  <c r="G9" i="60"/>
  <c r="G10" i="60"/>
  <c r="G11" i="60"/>
  <c r="G12" i="60"/>
  <c r="B3" i="59"/>
  <c r="B2" i="59"/>
  <c r="C13" i="59"/>
  <c r="D13" i="59"/>
  <c r="G7" i="59"/>
  <c r="G8" i="59"/>
  <c r="G9" i="59"/>
  <c r="G10" i="59"/>
  <c r="G11" i="59"/>
  <c r="G12" i="59"/>
  <c r="B3" i="58"/>
  <c r="B2" i="58"/>
  <c r="C13" i="58"/>
  <c r="G7" i="58"/>
  <c r="G8" i="58"/>
  <c r="G9" i="58"/>
  <c r="G10" i="58"/>
  <c r="G11" i="58"/>
  <c r="G12" i="58"/>
  <c r="B3" i="57"/>
  <c r="B2" i="57"/>
  <c r="D13" i="57"/>
  <c r="G7" i="57"/>
  <c r="G8" i="57"/>
  <c r="G9" i="57"/>
  <c r="G10" i="57"/>
  <c r="G11" i="57"/>
  <c r="G12" i="57"/>
  <c r="B3" i="56"/>
  <c r="B2" i="56"/>
  <c r="G7" i="56"/>
  <c r="G8" i="56"/>
  <c r="G9" i="56"/>
  <c r="G10" i="56"/>
  <c r="G11" i="56"/>
  <c r="G12" i="56"/>
  <c r="B3" i="55"/>
  <c r="B2" i="55"/>
  <c r="D13" i="55"/>
  <c r="G7" i="55"/>
  <c r="G8" i="55"/>
  <c r="G9" i="55"/>
  <c r="G10" i="55"/>
  <c r="G11" i="55"/>
  <c r="G12" i="55"/>
  <c r="B3" i="54"/>
  <c r="B2" i="54"/>
  <c r="C13" i="54"/>
  <c r="G7" i="54"/>
  <c r="G8" i="54"/>
  <c r="G9" i="54"/>
  <c r="G10" i="54"/>
  <c r="G11" i="54"/>
  <c r="G12" i="54"/>
  <c r="B3" i="53"/>
  <c r="B2" i="53"/>
  <c r="C13" i="53"/>
  <c r="G7" i="53"/>
  <c r="G8" i="53"/>
  <c r="G9" i="53"/>
  <c r="G10" i="53"/>
  <c r="G11" i="53"/>
  <c r="G12" i="53"/>
  <c r="B3" i="52"/>
  <c r="B2" i="52"/>
  <c r="G7" i="52"/>
  <c r="G8" i="52"/>
  <c r="B3" i="51"/>
  <c r="B2" i="51"/>
  <c r="G7" i="51"/>
  <c r="G8" i="51"/>
  <c r="B3" i="50"/>
  <c r="B2" i="50"/>
  <c r="C13" i="50"/>
  <c r="G7" i="50"/>
  <c r="G8" i="50"/>
  <c r="G9" i="50"/>
  <c r="G10" i="50"/>
  <c r="G11" i="50"/>
  <c r="G12" i="50"/>
  <c r="B3" i="49"/>
  <c r="B2" i="49"/>
  <c r="D13" i="49"/>
  <c r="G7" i="49"/>
  <c r="G8" i="49"/>
  <c r="G9" i="49"/>
  <c r="G10" i="49"/>
  <c r="G11" i="49"/>
  <c r="G12" i="49"/>
  <c r="B3" i="48"/>
  <c r="B2" i="48"/>
  <c r="C13" i="48"/>
  <c r="G7" i="48"/>
  <c r="G8" i="48"/>
  <c r="G9" i="48"/>
  <c r="G10" i="48"/>
  <c r="G11" i="48"/>
  <c r="G12" i="48"/>
  <c r="B3" i="47"/>
  <c r="B2" i="47"/>
  <c r="D13" i="47"/>
  <c r="G7" i="47"/>
  <c r="G8" i="47"/>
  <c r="G9" i="47"/>
  <c r="G10" i="47"/>
  <c r="G11" i="47"/>
  <c r="G12" i="47"/>
  <c r="B3" i="46"/>
  <c r="B2" i="46"/>
  <c r="G7" i="46"/>
  <c r="G8" i="46"/>
  <c r="G9" i="46"/>
  <c r="G10" i="46"/>
  <c r="G11" i="46"/>
  <c r="G12" i="46"/>
  <c r="B3" i="45"/>
  <c r="B2" i="45"/>
  <c r="C13" i="45"/>
  <c r="D13" i="45"/>
  <c r="G7" i="45"/>
  <c r="G8" i="45"/>
  <c r="G9" i="45"/>
  <c r="G10" i="45"/>
  <c r="G11" i="45"/>
  <c r="B3" i="44"/>
  <c r="B2" i="44"/>
  <c r="C13" i="44"/>
  <c r="G7" i="44"/>
  <c r="G8" i="44"/>
  <c r="G9" i="44"/>
  <c r="G10" i="44"/>
  <c r="G11" i="44"/>
  <c r="G12" i="44"/>
  <c r="B3" i="43"/>
  <c r="B2" i="43"/>
  <c r="C13" i="43"/>
  <c r="D13" i="43"/>
  <c r="G7" i="43"/>
  <c r="G8" i="43"/>
  <c r="G9" i="43"/>
  <c r="G10" i="43"/>
  <c r="G11" i="43"/>
  <c r="G12" i="43"/>
  <c r="B3" i="42"/>
  <c r="B2" i="42"/>
  <c r="C13" i="42"/>
  <c r="G7" i="42"/>
  <c r="G8" i="42"/>
  <c r="G9" i="42"/>
  <c r="G10" i="42"/>
  <c r="G11" i="42"/>
  <c r="G12" i="42"/>
  <c r="B3" i="41"/>
  <c r="B2" i="41"/>
  <c r="C13" i="41"/>
  <c r="G7" i="41"/>
  <c r="G8" i="41"/>
  <c r="G9" i="41"/>
  <c r="G10" i="41"/>
  <c r="G11" i="41"/>
  <c r="G12" i="41"/>
  <c r="B3" i="40"/>
  <c r="B2" i="40"/>
  <c r="G7" i="40"/>
  <c r="G8" i="40"/>
  <c r="B3" i="39"/>
  <c r="B2" i="39"/>
  <c r="G7" i="39"/>
  <c r="G8" i="39"/>
  <c r="G9" i="39"/>
  <c r="G10" i="39"/>
  <c r="G11" i="39"/>
  <c r="G12" i="39"/>
  <c r="B3" i="38"/>
  <c r="B2" i="38"/>
  <c r="D13" i="38"/>
  <c r="G7" i="38"/>
  <c r="G8" i="38"/>
  <c r="G9" i="38"/>
  <c r="G10" i="38"/>
  <c r="G11" i="38"/>
  <c r="G12" i="38"/>
  <c r="B3" i="37"/>
  <c r="B2" i="37"/>
  <c r="E19" i="37"/>
  <c r="C13" i="37"/>
  <c r="G7" i="37"/>
  <c r="G8" i="37"/>
  <c r="G9" i="37"/>
  <c r="G10" i="37"/>
  <c r="G11" i="37"/>
  <c r="G12" i="37"/>
  <c r="B3" i="36"/>
  <c r="B2" i="36"/>
  <c r="G7" i="36"/>
  <c r="G8" i="36"/>
  <c r="B3" i="35"/>
  <c r="B2" i="35"/>
  <c r="E19" i="35"/>
  <c r="C13" i="35"/>
  <c r="G7" i="35"/>
  <c r="G8" i="35"/>
  <c r="G9" i="35"/>
  <c r="G10" i="35"/>
  <c r="G11" i="35"/>
  <c r="G12" i="35"/>
  <c r="B3" i="34"/>
  <c r="B2" i="34"/>
  <c r="G7" i="34"/>
  <c r="G8" i="34"/>
  <c r="G9" i="34"/>
  <c r="G10" i="34"/>
  <c r="G11" i="34"/>
  <c r="G12" i="34"/>
  <c r="B3" i="33"/>
  <c r="B2" i="33"/>
  <c r="D13" i="33"/>
  <c r="G7" i="33"/>
  <c r="G8" i="33"/>
  <c r="G9" i="33"/>
  <c r="G10" i="33"/>
  <c r="G11" i="33"/>
  <c r="G12" i="33"/>
  <c r="B3" i="32"/>
  <c r="B2" i="32"/>
  <c r="G7" i="32"/>
  <c r="G8" i="32"/>
  <c r="G9" i="32"/>
  <c r="G10" i="32"/>
  <c r="G11" i="32"/>
  <c r="G12" i="32"/>
  <c r="B3" i="31"/>
  <c r="B2" i="31"/>
  <c r="D13" i="31"/>
  <c r="G7" i="31"/>
  <c r="G8" i="31"/>
  <c r="G9" i="31"/>
  <c r="G10" i="31"/>
  <c r="G11" i="31"/>
  <c r="G12" i="31"/>
  <c r="B3" i="30"/>
  <c r="B2" i="30"/>
  <c r="C13" i="30"/>
  <c r="G7" i="30"/>
  <c r="G8" i="30"/>
  <c r="G9" i="30"/>
  <c r="G10" i="30"/>
  <c r="G11" i="30"/>
  <c r="G12" i="30"/>
  <c r="B3" i="29"/>
  <c r="B2" i="29"/>
  <c r="C13" i="29"/>
  <c r="D13" i="29"/>
  <c r="G7" i="29"/>
  <c r="G8" i="29"/>
  <c r="G9" i="29"/>
  <c r="G10" i="29"/>
  <c r="G11" i="29"/>
  <c r="G12" i="29"/>
  <c r="B3" i="28"/>
  <c r="B2" i="28"/>
  <c r="G7" i="28"/>
  <c r="G8" i="28"/>
  <c r="G9" i="28"/>
  <c r="G10" i="28"/>
  <c r="G11" i="28"/>
  <c r="G12" i="28"/>
  <c r="D6" i="3"/>
  <c r="G7" i="27"/>
  <c r="G8" i="27"/>
  <c r="B3" i="27"/>
  <c r="B2" i="27"/>
  <c r="B3" i="26"/>
  <c r="B2" i="26"/>
  <c r="G7" i="26"/>
  <c r="G8" i="26"/>
  <c r="G9" i="26"/>
  <c r="G10" i="26"/>
  <c r="G11" i="26"/>
  <c r="G12" i="26"/>
  <c r="B3" i="25"/>
  <c r="B2" i="25"/>
  <c r="E19" i="25"/>
  <c r="C13" i="25"/>
  <c r="G7" i="25"/>
  <c r="G8" i="25"/>
  <c r="G9" i="25"/>
  <c r="G10" i="25"/>
  <c r="G11" i="25"/>
  <c r="G12" i="25"/>
  <c r="B3" i="24"/>
  <c r="B2" i="24"/>
  <c r="E26" i="24"/>
  <c r="G7" i="24"/>
  <c r="G8" i="24"/>
  <c r="G9" i="24"/>
  <c r="G10" i="24"/>
  <c r="G11" i="24"/>
  <c r="G12" i="24"/>
  <c r="B3" i="23"/>
  <c r="B2" i="23"/>
  <c r="C13" i="23"/>
  <c r="G7" i="23"/>
  <c r="G8" i="23"/>
  <c r="G9" i="23"/>
  <c r="G10" i="23"/>
  <c r="G11" i="23"/>
  <c r="G12" i="23"/>
  <c r="B3" i="22"/>
  <c r="B2" i="22"/>
  <c r="G7" i="22"/>
  <c r="G8" i="22"/>
  <c r="B3" i="21"/>
  <c r="B2" i="21"/>
  <c r="C13" i="21"/>
  <c r="G7" i="21"/>
  <c r="G8" i="21"/>
  <c r="G9" i="21"/>
  <c r="G10" i="21"/>
  <c r="G11" i="21"/>
  <c r="G12" i="21"/>
  <c r="B3" i="20"/>
  <c r="B2" i="20"/>
  <c r="C13" i="20"/>
  <c r="D13" i="20"/>
  <c r="G7" i="20"/>
  <c r="G8" i="20"/>
  <c r="G9" i="20"/>
  <c r="G10" i="20"/>
  <c r="G11" i="20"/>
  <c r="G12" i="20"/>
  <c r="B3" i="19"/>
  <c r="B2" i="19"/>
  <c r="C13" i="19"/>
  <c r="D13" i="19"/>
  <c r="G7" i="19"/>
  <c r="G8" i="19"/>
  <c r="G9" i="19"/>
  <c r="G10" i="19"/>
  <c r="G11" i="19"/>
  <c r="G12" i="19"/>
  <c r="B3" i="18"/>
  <c r="B2" i="18"/>
  <c r="D13" i="18"/>
  <c r="G7" i="18"/>
  <c r="G8" i="18"/>
  <c r="G9" i="18"/>
  <c r="G10" i="18"/>
  <c r="G11" i="18"/>
  <c r="G12" i="18"/>
  <c r="B3" i="17"/>
  <c r="B2" i="17"/>
  <c r="E19" i="17"/>
  <c r="C13" i="17"/>
  <c r="G7" i="17"/>
  <c r="G8" i="17"/>
  <c r="G9" i="17"/>
  <c r="G10" i="17"/>
  <c r="G11" i="17"/>
  <c r="G12" i="17"/>
  <c r="B3" i="16"/>
  <c r="B2" i="16"/>
  <c r="E19" i="16"/>
  <c r="C13" i="16"/>
  <c r="G7" i="16"/>
  <c r="G8" i="16"/>
  <c r="G9" i="16"/>
  <c r="G10" i="16"/>
  <c r="G11" i="16"/>
  <c r="G12" i="16"/>
  <c r="B3" i="15"/>
  <c r="B2" i="15"/>
  <c r="C13" i="15"/>
  <c r="D13" i="15"/>
  <c r="G7" i="15"/>
  <c r="G8" i="15"/>
  <c r="G9" i="15"/>
  <c r="G10" i="15"/>
  <c r="G11" i="15"/>
  <c r="G12" i="15"/>
  <c r="B3" i="14"/>
  <c r="B2" i="14"/>
  <c r="E19" i="14"/>
  <c r="G7" i="14"/>
  <c r="G8" i="14"/>
  <c r="G9" i="14"/>
  <c r="G10" i="14"/>
  <c r="G11" i="14"/>
  <c r="G12" i="14"/>
  <c r="B3" i="13"/>
  <c r="B2" i="13"/>
  <c r="E26" i="13"/>
  <c r="G7" i="13"/>
  <c r="G8" i="13"/>
  <c r="G9" i="13"/>
  <c r="G10" i="13"/>
  <c r="G11" i="13"/>
  <c r="G12" i="13"/>
  <c r="B3" i="12"/>
  <c r="B2" i="12"/>
  <c r="E26" i="12"/>
  <c r="D13" i="12"/>
  <c r="G7" i="12"/>
  <c r="G8" i="12"/>
  <c r="G9" i="12"/>
  <c r="G10" i="12"/>
  <c r="G11" i="12"/>
  <c r="G12" i="12"/>
  <c r="B3" i="11"/>
  <c r="B2" i="11"/>
  <c r="E19" i="11"/>
  <c r="E26" i="11"/>
  <c r="D13" i="11"/>
  <c r="G7" i="11"/>
  <c r="G8" i="11"/>
  <c r="G9" i="11"/>
  <c r="G10" i="11"/>
  <c r="G11" i="11"/>
  <c r="G12" i="11"/>
  <c r="B3" i="10"/>
  <c r="B2" i="10"/>
  <c r="E26" i="10"/>
  <c r="D13" i="10"/>
  <c r="G7" i="10"/>
  <c r="G8" i="10"/>
  <c r="G9" i="10"/>
  <c r="G10" i="10"/>
  <c r="G11" i="10"/>
  <c r="G12" i="10"/>
  <c r="B3" i="9"/>
  <c r="B2" i="9"/>
  <c r="E26" i="9"/>
  <c r="D13" i="9"/>
  <c r="G7" i="9"/>
  <c r="G8" i="9"/>
  <c r="G9" i="9"/>
  <c r="G10" i="9"/>
  <c r="G11" i="9"/>
  <c r="G12" i="9"/>
  <c r="B3" i="8"/>
  <c r="B2" i="8"/>
  <c r="C13" i="8"/>
  <c r="D13" i="8"/>
  <c r="G7" i="8"/>
  <c r="G8" i="8"/>
  <c r="G9" i="8"/>
  <c r="G10" i="8"/>
  <c r="G11" i="8"/>
  <c r="G12" i="8"/>
  <c r="B3" i="7"/>
  <c r="B2" i="7"/>
  <c r="C13" i="7"/>
  <c r="G7" i="7"/>
  <c r="G8" i="7"/>
  <c r="G9" i="7"/>
  <c r="G10" i="7"/>
  <c r="G11" i="7"/>
  <c r="G12" i="7"/>
  <c r="B3" i="6"/>
  <c r="B2" i="6"/>
  <c r="G7" i="6"/>
  <c r="G8" i="6"/>
  <c r="B3" i="5"/>
  <c r="B2" i="5"/>
  <c r="D13" i="5"/>
  <c r="G7" i="5"/>
  <c r="G8" i="5"/>
  <c r="G9" i="5"/>
  <c r="G10" i="5"/>
  <c r="G11" i="5"/>
  <c r="G12" i="5"/>
  <c r="B3" i="3"/>
  <c r="B2" i="3"/>
  <c r="G7" i="3"/>
  <c r="G8" i="3"/>
  <c r="G9" i="3"/>
  <c r="G10" i="3"/>
  <c r="G11" i="3"/>
  <c r="G12" i="3"/>
  <c r="F8" i="123" l="1"/>
  <c r="F9" i="40"/>
  <c r="F8" i="40"/>
  <c r="F7" i="40"/>
  <c r="F13" i="65"/>
  <c r="F12" i="65"/>
  <c r="F9" i="65"/>
  <c r="F7" i="65"/>
  <c r="F10" i="65"/>
  <c r="F11" i="65"/>
  <c r="E18" i="83"/>
  <c r="E26" i="81"/>
  <c r="E26" i="21"/>
  <c r="E18" i="45"/>
  <c r="E27" i="65"/>
  <c r="E20" i="62"/>
  <c r="E26" i="61"/>
  <c r="E25" i="68"/>
  <c r="E18" i="65"/>
  <c r="E28" i="58"/>
  <c r="E21" i="55"/>
  <c r="E25" i="39"/>
  <c r="E27" i="61"/>
  <c r="E28" i="70"/>
  <c r="E21" i="67"/>
  <c r="E21" i="43"/>
  <c r="E21" i="48"/>
  <c r="E20" i="100"/>
  <c r="E26" i="45"/>
  <c r="E27" i="53"/>
  <c r="E21" i="66"/>
  <c r="E18" i="84"/>
  <c r="E25" i="83"/>
  <c r="E18" i="81"/>
  <c r="E27" i="83"/>
  <c r="E20" i="81"/>
  <c r="E26" i="49"/>
  <c r="E25" i="64"/>
  <c r="E18" i="61"/>
  <c r="E18" i="53"/>
  <c r="E25" i="42"/>
  <c r="E28" i="47"/>
  <c r="E27" i="69"/>
  <c r="E28" i="57"/>
  <c r="E18" i="128"/>
  <c r="E26" i="103"/>
  <c r="E26" i="100"/>
  <c r="E27" i="64"/>
  <c r="E28" i="65"/>
  <c r="E26" i="53"/>
  <c r="E25" i="61"/>
  <c r="E25" i="128"/>
  <c r="E25" i="125"/>
  <c r="E18" i="120"/>
  <c r="E20" i="117"/>
  <c r="E26" i="115"/>
  <c r="E26" i="112"/>
  <c r="E26" i="105"/>
  <c r="E20" i="104"/>
  <c r="E26" i="102"/>
  <c r="E26" i="96"/>
  <c r="E26" i="93"/>
  <c r="E18" i="89"/>
  <c r="E18" i="69"/>
  <c r="E25" i="50"/>
  <c r="E25" i="89"/>
  <c r="E25" i="86"/>
  <c r="E13" i="55"/>
  <c r="E6" i="123"/>
  <c r="F6" i="123" s="1"/>
  <c r="E6" i="65"/>
  <c r="F6" i="65" s="1"/>
  <c r="E28" i="48"/>
  <c r="E25" i="38"/>
  <c r="E25" i="65"/>
  <c r="E26" i="39"/>
  <c r="F7" i="123"/>
  <c r="E25" i="53"/>
  <c r="E20" i="96"/>
  <c r="E25" i="91"/>
  <c r="E20" i="90"/>
  <c r="E27" i="89"/>
  <c r="E26" i="89"/>
  <c r="E25" i="87"/>
  <c r="E18" i="86"/>
  <c r="E25" i="43"/>
  <c r="E25" i="120"/>
  <c r="E18" i="119"/>
  <c r="E26" i="117"/>
  <c r="E25" i="114"/>
  <c r="E26" i="92"/>
  <c r="E25" i="88"/>
  <c r="E18" i="87"/>
  <c r="E27" i="86"/>
  <c r="E26" i="86"/>
  <c r="E21" i="88"/>
  <c r="E25" i="126"/>
  <c r="E18" i="125"/>
  <c r="E25" i="122"/>
  <c r="E18" i="121"/>
  <c r="E25" i="119"/>
  <c r="E20" i="118"/>
  <c r="E27" i="114"/>
  <c r="E25" i="111"/>
  <c r="E19" i="110"/>
  <c r="E20" i="106"/>
  <c r="E20" i="103"/>
  <c r="E26" i="95"/>
  <c r="E20" i="128"/>
  <c r="E21" i="107"/>
  <c r="E20" i="84"/>
  <c r="E18" i="92"/>
  <c r="E21" i="91"/>
  <c r="E28" i="69"/>
  <c r="E20" i="120"/>
  <c r="E27" i="115"/>
  <c r="E26" i="114"/>
  <c r="E21" i="113"/>
  <c r="E27" i="95"/>
  <c r="E21" i="85"/>
  <c r="E27" i="39"/>
  <c r="E26" i="65"/>
  <c r="E18" i="48"/>
  <c r="E25" i="45"/>
  <c r="E25" i="124"/>
  <c r="E18" i="122"/>
  <c r="E27" i="119"/>
  <c r="E26" i="119"/>
  <c r="E20" i="112"/>
  <c r="E20" i="109"/>
  <c r="E26" i="106"/>
  <c r="E26" i="99"/>
  <c r="E20" i="97"/>
  <c r="E20" i="93"/>
  <c r="E27" i="92"/>
  <c r="E26" i="90"/>
  <c r="E25" i="85"/>
  <c r="E25" i="47"/>
  <c r="E25" i="69"/>
  <c r="E25" i="57"/>
  <c r="E25" i="49"/>
  <c r="E28" i="43"/>
  <c r="E18" i="129"/>
  <c r="E18" i="127"/>
  <c r="E28" i="112"/>
  <c r="E28" i="109"/>
  <c r="E21" i="106"/>
  <c r="E28" i="105"/>
  <c r="E21" i="103"/>
  <c r="E28" i="102"/>
  <c r="E21" i="100"/>
  <c r="E28" i="99"/>
  <c r="E19" i="97"/>
  <c r="E20" i="94"/>
  <c r="E20" i="91"/>
  <c r="E27" i="87"/>
  <c r="E19" i="49"/>
  <c r="E21" i="44"/>
  <c r="E26" i="69"/>
  <c r="E26" i="57"/>
  <c r="E21" i="38"/>
  <c r="E28" i="61"/>
  <c r="E25" i="129"/>
  <c r="E21" i="128"/>
  <c r="E25" i="127"/>
  <c r="E18" i="126"/>
  <c r="E20" i="125"/>
  <c r="E18" i="124"/>
  <c r="E25" i="121"/>
  <c r="E28" i="119"/>
  <c r="E25" i="118"/>
  <c r="E21" i="117"/>
  <c r="E27" i="112"/>
  <c r="E27" i="111"/>
  <c r="E26" i="111"/>
  <c r="E20" i="110"/>
  <c r="E20" i="107"/>
  <c r="E28" i="106"/>
  <c r="E27" i="105"/>
  <c r="E21" i="104"/>
  <c r="E28" i="103"/>
  <c r="E27" i="102"/>
  <c r="E21" i="101"/>
  <c r="E28" i="100"/>
  <c r="E27" i="99"/>
  <c r="E21" i="97"/>
  <c r="E21" i="96"/>
  <c r="E28" i="95"/>
  <c r="E21" i="93"/>
  <c r="E28" i="92"/>
  <c r="E21" i="90"/>
  <c r="E25" i="82"/>
  <c r="E21" i="121"/>
  <c r="E28" i="120"/>
  <c r="E21" i="118"/>
  <c r="E28" i="117"/>
  <c r="E21" i="116"/>
  <c r="E28" i="115"/>
  <c r="E21" i="110"/>
  <c r="E19" i="107"/>
  <c r="E28" i="96"/>
  <c r="E28" i="93"/>
  <c r="E28" i="90"/>
  <c r="E28" i="84"/>
  <c r="E26" i="83"/>
  <c r="E21" i="82"/>
  <c r="E28" i="81"/>
  <c r="E27" i="129"/>
  <c r="E26" i="129"/>
  <c r="E19" i="128"/>
  <c r="E20" i="127"/>
  <c r="E28" i="127"/>
  <c r="E27" i="126"/>
  <c r="E26" i="126"/>
  <c r="E21" i="125"/>
  <c r="E19" i="125"/>
  <c r="E20" i="124"/>
  <c r="E28" i="124"/>
  <c r="E27" i="122"/>
  <c r="E26" i="122"/>
  <c r="E19" i="121"/>
  <c r="E19" i="118"/>
  <c r="E18" i="115"/>
  <c r="E19" i="115"/>
  <c r="E25" i="113"/>
  <c r="E26" i="113"/>
  <c r="E27" i="113"/>
  <c r="E28" i="113"/>
  <c r="E18" i="111"/>
  <c r="E20" i="111"/>
  <c r="E21" i="111"/>
  <c r="E19" i="111"/>
  <c r="E25" i="107"/>
  <c r="E26" i="107"/>
  <c r="E27" i="107"/>
  <c r="E18" i="105"/>
  <c r="E20" i="105"/>
  <c r="E19" i="105"/>
  <c r="E25" i="97"/>
  <c r="E26" i="97"/>
  <c r="E27" i="97"/>
  <c r="E18" i="95"/>
  <c r="E20" i="95"/>
  <c r="E19" i="95"/>
  <c r="E21" i="129"/>
  <c r="E19" i="129"/>
  <c r="E28" i="128"/>
  <c r="E27" i="127"/>
  <c r="E26" i="127"/>
  <c r="E21" i="126"/>
  <c r="E19" i="126"/>
  <c r="E28" i="125"/>
  <c r="E27" i="124"/>
  <c r="E26" i="124"/>
  <c r="E21" i="122"/>
  <c r="E19" i="122"/>
  <c r="E20" i="121"/>
  <c r="E28" i="121"/>
  <c r="E27" i="120"/>
  <c r="E26" i="120"/>
  <c r="E21" i="119"/>
  <c r="E19" i="119"/>
  <c r="E28" i="118"/>
  <c r="E18" i="117"/>
  <c r="E27" i="117"/>
  <c r="E25" i="116"/>
  <c r="E26" i="116"/>
  <c r="E27" i="116"/>
  <c r="E28" i="116"/>
  <c r="E18" i="114"/>
  <c r="E20" i="114"/>
  <c r="E21" i="114"/>
  <c r="E19" i="114"/>
  <c r="E20" i="113"/>
  <c r="E19" i="113"/>
  <c r="E18" i="109"/>
  <c r="E19" i="109"/>
  <c r="E27" i="109"/>
  <c r="E26" i="109"/>
  <c r="E25" i="104"/>
  <c r="E26" i="104"/>
  <c r="E27" i="104"/>
  <c r="E19" i="104"/>
  <c r="E18" i="102"/>
  <c r="E20" i="102"/>
  <c r="E19" i="102"/>
  <c r="E20" i="101"/>
  <c r="E25" i="94"/>
  <c r="E26" i="94"/>
  <c r="E27" i="94"/>
  <c r="E20" i="129"/>
  <c r="E28" i="129"/>
  <c r="E27" i="128"/>
  <c r="E26" i="128"/>
  <c r="E21" i="127"/>
  <c r="E19" i="127"/>
  <c r="E20" i="126"/>
  <c r="E28" i="126"/>
  <c r="E27" i="125"/>
  <c r="E26" i="125"/>
  <c r="E21" i="124"/>
  <c r="E19" i="124"/>
  <c r="E20" i="122"/>
  <c r="E28" i="122"/>
  <c r="E27" i="121"/>
  <c r="E26" i="121"/>
  <c r="E21" i="120"/>
  <c r="E19" i="120"/>
  <c r="E20" i="119"/>
  <c r="E18" i="118"/>
  <c r="E27" i="118"/>
  <c r="E26" i="118"/>
  <c r="E25" i="117"/>
  <c r="E19" i="117"/>
  <c r="E20" i="116"/>
  <c r="E19" i="116"/>
  <c r="E20" i="115"/>
  <c r="E18" i="112"/>
  <c r="E19" i="112"/>
  <c r="E25" i="110"/>
  <c r="E26" i="110"/>
  <c r="E27" i="110"/>
  <c r="E28" i="110"/>
  <c r="E25" i="101"/>
  <c r="E26" i="101"/>
  <c r="E27" i="101"/>
  <c r="E19" i="101"/>
  <c r="E18" i="99"/>
  <c r="E20" i="99"/>
  <c r="E19" i="99"/>
  <c r="E21" i="94"/>
  <c r="E19" i="94"/>
  <c r="E19" i="91"/>
  <c r="E19" i="88"/>
  <c r="E19" i="85"/>
  <c r="E19" i="82"/>
  <c r="E18" i="116"/>
  <c r="E25" i="115"/>
  <c r="E21" i="115"/>
  <c r="E28" i="114"/>
  <c r="E18" i="113"/>
  <c r="E25" i="112"/>
  <c r="E21" i="112"/>
  <c r="E28" i="111"/>
  <c r="E18" i="110"/>
  <c r="E25" i="109"/>
  <c r="E21" i="109"/>
  <c r="E28" i="107"/>
  <c r="E18" i="106"/>
  <c r="E27" i="106"/>
  <c r="E25" i="105"/>
  <c r="E21" i="105"/>
  <c r="E28" i="104"/>
  <c r="E18" i="103"/>
  <c r="E27" i="103"/>
  <c r="E25" i="102"/>
  <c r="E21" i="102"/>
  <c r="E28" i="101"/>
  <c r="E18" i="100"/>
  <c r="E27" i="100"/>
  <c r="E25" i="99"/>
  <c r="E21" i="99"/>
  <c r="E28" i="97"/>
  <c r="E18" i="96"/>
  <c r="E27" i="96"/>
  <c r="E25" i="95"/>
  <c r="E21" i="95"/>
  <c r="E28" i="94"/>
  <c r="E18" i="93"/>
  <c r="E27" i="93"/>
  <c r="E25" i="92"/>
  <c r="E21" i="92"/>
  <c r="E19" i="92"/>
  <c r="E28" i="91"/>
  <c r="E18" i="90"/>
  <c r="E27" i="90"/>
  <c r="E21" i="89"/>
  <c r="E19" i="89"/>
  <c r="E20" i="88"/>
  <c r="E28" i="88"/>
  <c r="E19" i="87"/>
  <c r="E21" i="87"/>
  <c r="E21" i="86"/>
  <c r="E19" i="86"/>
  <c r="E20" i="85"/>
  <c r="E28" i="85"/>
  <c r="E27" i="84"/>
  <c r="E26" i="84"/>
  <c r="E21" i="83"/>
  <c r="E19" i="83"/>
  <c r="E20" i="82"/>
  <c r="E28" i="82"/>
  <c r="E27" i="81"/>
  <c r="E18" i="107"/>
  <c r="E25" i="106"/>
  <c r="E19" i="106"/>
  <c r="E18" i="104"/>
  <c r="E25" i="103"/>
  <c r="E19" i="103"/>
  <c r="E18" i="101"/>
  <c r="E25" i="100"/>
  <c r="E19" i="100"/>
  <c r="E18" i="97"/>
  <c r="E25" i="96"/>
  <c r="E19" i="96"/>
  <c r="E18" i="94"/>
  <c r="E25" i="93"/>
  <c r="E19" i="93"/>
  <c r="E20" i="92"/>
  <c r="E18" i="91"/>
  <c r="E27" i="91"/>
  <c r="E26" i="91"/>
  <c r="E25" i="90"/>
  <c r="E19" i="90"/>
  <c r="E20" i="89"/>
  <c r="E28" i="89"/>
  <c r="E18" i="88"/>
  <c r="E27" i="88"/>
  <c r="E26" i="88"/>
  <c r="E26" i="87"/>
  <c r="E20" i="87"/>
  <c r="E28" i="87"/>
  <c r="E20" i="86"/>
  <c r="E28" i="86"/>
  <c r="E18" i="85"/>
  <c r="E27" i="85"/>
  <c r="E26" i="85"/>
  <c r="E25" i="84"/>
  <c r="E21" i="84"/>
  <c r="E19" i="84"/>
  <c r="E20" i="83"/>
  <c r="E28" i="83"/>
  <c r="E18" i="82"/>
  <c r="E27" i="82"/>
  <c r="E26" i="82"/>
  <c r="E25" i="81"/>
  <c r="E21" i="81"/>
  <c r="E19" i="81"/>
  <c r="E20" i="43"/>
  <c r="E19" i="44"/>
  <c r="E26" i="3"/>
  <c r="E21" i="49"/>
  <c r="E20" i="57"/>
  <c r="E26" i="64"/>
  <c r="E25" i="55"/>
  <c r="E19" i="48"/>
  <c r="E26" i="30"/>
  <c r="E21" i="77"/>
  <c r="E18" i="73"/>
  <c r="E26" i="76"/>
  <c r="E25" i="73"/>
  <c r="E18" i="77"/>
  <c r="E28" i="77"/>
  <c r="E27" i="71"/>
  <c r="E25" i="54"/>
  <c r="E20" i="54"/>
  <c r="E20" i="70"/>
  <c r="E18" i="66"/>
  <c r="E21" i="62"/>
  <c r="E21" i="58"/>
  <c r="E26" i="73"/>
  <c r="E18" i="39"/>
  <c r="E20" i="66"/>
  <c r="E27" i="47"/>
  <c r="E27" i="43"/>
  <c r="E18" i="38"/>
  <c r="E26" i="43"/>
  <c r="E21" i="50"/>
  <c r="E21" i="46"/>
  <c r="E21" i="42"/>
  <c r="E21" i="45"/>
  <c r="E20" i="39"/>
  <c r="E20" i="58"/>
  <c r="E19" i="45"/>
  <c r="E20" i="38"/>
  <c r="E21" i="47"/>
  <c r="E18" i="58"/>
  <c r="E20" i="77"/>
  <c r="E19" i="70"/>
  <c r="E19" i="66"/>
  <c r="E19" i="62"/>
  <c r="E19" i="58"/>
  <c r="E21" i="70"/>
  <c r="E20" i="53"/>
  <c r="E19" i="38"/>
  <c r="E25" i="67"/>
  <c r="E21" i="63"/>
  <c r="E26" i="47"/>
  <c r="E21" i="29"/>
  <c r="E27" i="68"/>
  <c r="E25" i="76"/>
  <c r="E18" i="50"/>
  <c r="E18" i="54"/>
  <c r="E25" i="66"/>
  <c r="E25" i="62"/>
  <c r="E19" i="55"/>
  <c r="E27" i="76"/>
  <c r="E26" i="59"/>
  <c r="E18" i="67"/>
  <c r="E21" i="54"/>
  <c r="E28" i="62"/>
  <c r="E21" i="59"/>
  <c r="E28" i="54"/>
  <c r="E18" i="41"/>
  <c r="E19" i="54"/>
  <c r="E18" i="68"/>
  <c r="E28" i="66"/>
  <c r="E26" i="55"/>
  <c r="E25" i="46"/>
  <c r="E18" i="70"/>
  <c r="E18" i="62"/>
  <c r="E28" i="39"/>
  <c r="E28" i="53"/>
  <c r="C13" i="120"/>
  <c r="E13" i="120" s="1"/>
  <c r="E25" i="58"/>
  <c r="E28" i="50"/>
  <c r="E18" i="47"/>
  <c r="E28" i="42"/>
  <c r="E28" i="38"/>
  <c r="E18" i="75"/>
  <c r="E25" i="59"/>
  <c r="E20" i="50"/>
  <c r="E18" i="42"/>
  <c r="E27" i="41"/>
  <c r="E18" i="3"/>
  <c r="E19" i="50"/>
  <c r="E20" i="47"/>
  <c r="E25" i="44"/>
  <c r="E19" i="42"/>
  <c r="E18" i="56"/>
  <c r="E18" i="46"/>
  <c r="E26" i="44"/>
  <c r="E20" i="42"/>
  <c r="E20" i="61"/>
  <c r="E19" i="46"/>
  <c r="E27" i="44"/>
  <c r="E26" i="68"/>
  <c r="E20" i="46"/>
  <c r="E19" i="77"/>
  <c r="E18" i="63"/>
  <c r="E27" i="60"/>
  <c r="E20" i="69"/>
  <c r="E25" i="48"/>
  <c r="E28" i="46"/>
  <c r="E18" i="64"/>
  <c r="E26" i="60"/>
  <c r="E26" i="48"/>
  <c r="E26" i="63"/>
  <c r="E27" i="46"/>
  <c r="E28" i="76"/>
  <c r="E27" i="48"/>
  <c r="E26" i="41"/>
  <c r="E19" i="29"/>
  <c r="E26" i="67"/>
  <c r="E27" i="56"/>
  <c r="E18" i="43"/>
  <c r="E21" i="41"/>
  <c r="E27" i="73"/>
  <c r="E25" i="63"/>
  <c r="E19" i="41"/>
  <c r="E27" i="42"/>
  <c r="E19" i="33"/>
  <c r="E19" i="63"/>
  <c r="E18" i="60"/>
  <c r="E19" i="59"/>
  <c r="E25" i="70"/>
  <c r="E20" i="65"/>
  <c r="E18" i="59"/>
  <c r="E26" i="56"/>
  <c r="E28" i="49"/>
  <c r="E28" i="45"/>
  <c r="E28" i="41"/>
  <c r="E21" i="3"/>
  <c r="E28" i="73"/>
  <c r="E18" i="76"/>
  <c r="E18" i="71"/>
  <c r="E28" i="71"/>
  <c r="E26" i="71"/>
  <c r="E25" i="71"/>
  <c r="E26" i="72"/>
  <c r="E25" i="77"/>
  <c r="E27" i="72"/>
  <c r="E18" i="72"/>
  <c r="E21" i="71"/>
  <c r="E20" i="76"/>
  <c r="E25" i="3"/>
  <c r="E26" i="77"/>
  <c r="E27" i="77"/>
  <c r="E25" i="72"/>
  <c r="E20" i="71"/>
  <c r="E26" i="75"/>
  <c r="E20" i="73"/>
  <c r="E25" i="75"/>
  <c r="E27" i="75"/>
  <c r="E19" i="3"/>
  <c r="E19" i="75"/>
  <c r="E28" i="67"/>
  <c r="E28" i="63"/>
  <c r="E28" i="59"/>
  <c r="E20" i="75"/>
  <c r="E21" i="73"/>
  <c r="E19" i="69"/>
  <c r="E19" i="65"/>
  <c r="E19" i="61"/>
  <c r="E19" i="57"/>
  <c r="E19" i="53"/>
  <c r="E27" i="49"/>
  <c r="E19" i="47"/>
  <c r="E27" i="45"/>
  <c r="E19" i="43"/>
  <c r="E26" i="38"/>
  <c r="E20" i="3"/>
  <c r="E27" i="70"/>
  <c r="E21" i="68"/>
  <c r="E27" i="66"/>
  <c r="E21" i="64"/>
  <c r="E27" i="62"/>
  <c r="E21" i="60"/>
  <c r="E27" i="58"/>
  <c r="E21" i="56"/>
  <c r="E27" i="54"/>
  <c r="E27" i="50"/>
  <c r="E20" i="33"/>
  <c r="E28" i="75"/>
  <c r="E19" i="73"/>
  <c r="E26" i="70"/>
  <c r="E20" i="68"/>
  <c r="E26" i="66"/>
  <c r="E20" i="64"/>
  <c r="E26" i="62"/>
  <c r="E20" i="60"/>
  <c r="E26" i="58"/>
  <c r="E20" i="56"/>
  <c r="E26" i="54"/>
  <c r="E27" i="30"/>
  <c r="E19" i="71"/>
  <c r="E19" i="67"/>
  <c r="E18" i="55"/>
  <c r="E28" i="3"/>
  <c r="E21" i="72"/>
  <c r="E19" i="68"/>
  <c r="E19" i="64"/>
  <c r="E19" i="60"/>
  <c r="E19" i="56"/>
  <c r="E21" i="76"/>
  <c r="E27" i="3"/>
  <c r="E20" i="72"/>
  <c r="E28" i="68"/>
  <c r="E28" i="64"/>
  <c r="E28" i="60"/>
  <c r="E28" i="56"/>
  <c r="E26" i="50"/>
  <c r="E20" i="48"/>
  <c r="E26" i="46"/>
  <c r="E20" i="44"/>
  <c r="E26" i="42"/>
  <c r="E19" i="39"/>
  <c r="E21" i="32"/>
  <c r="E21" i="75"/>
  <c r="E19" i="72"/>
  <c r="E20" i="67"/>
  <c r="E20" i="63"/>
  <c r="E20" i="59"/>
  <c r="E20" i="55"/>
  <c r="E20" i="49"/>
  <c r="E20" i="45"/>
  <c r="E20" i="41"/>
  <c r="E27" i="38"/>
  <c r="E19" i="76"/>
  <c r="E28" i="72"/>
  <c r="E21" i="69"/>
  <c r="E27" i="67"/>
  <c r="E21" i="65"/>
  <c r="E27" i="63"/>
  <c r="E21" i="61"/>
  <c r="E27" i="59"/>
  <c r="E21" i="57"/>
  <c r="E27" i="55"/>
  <c r="E21" i="53"/>
  <c r="E25" i="41"/>
  <c r="E18" i="33"/>
  <c r="E25" i="30"/>
  <c r="E26" i="31"/>
  <c r="E28" i="30"/>
  <c r="E20" i="30"/>
  <c r="E27" i="31"/>
  <c r="E25" i="29"/>
  <c r="E21" i="31"/>
  <c r="E18" i="29"/>
  <c r="E21" i="30"/>
  <c r="E25" i="31"/>
  <c r="E28" i="31"/>
  <c r="E26" i="29"/>
  <c r="E18" i="31"/>
  <c r="E28" i="29"/>
  <c r="E18" i="30"/>
  <c r="E19" i="31"/>
  <c r="E20" i="29"/>
  <c r="E19" i="30"/>
  <c r="E9" i="27"/>
  <c r="E20" i="31"/>
  <c r="E27" i="29"/>
  <c r="E19" i="32"/>
  <c r="E18" i="32"/>
  <c r="E20" i="32"/>
  <c r="C13" i="28"/>
  <c r="E13" i="28" s="1"/>
  <c r="D13" i="58"/>
  <c r="E13" i="58" s="1"/>
  <c r="D13" i="68"/>
  <c r="E13" i="68" s="1"/>
  <c r="C13" i="83"/>
  <c r="E13" i="83" s="1"/>
  <c r="E19" i="10"/>
  <c r="D13" i="14"/>
  <c r="E13" i="14" s="1"/>
  <c r="C13" i="70"/>
  <c r="E13" i="70" s="1"/>
  <c r="C13" i="76"/>
  <c r="E13" i="76" s="1"/>
  <c r="E26" i="20"/>
  <c r="E26" i="23"/>
  <c r="E19" i="34"/>
  <c r="C13" i="10"/>
  <c r="E13" i="10" s="1"/>
  <c r="E26" i="15"/>
  <c r="E19" i="19"/>
  <c r="E19" i="23"/>
  <c r="C13" i="24"/>
  <c r="E13" i="24" s="1"/>
  <c r="C13" i="31"/>
  <c r="E13" i="31" s="1"/>
  <c r="C13" i="61"/>
  <c r="E13" i="61" s="1"/>
  <c r="D13" i="81"/>
  <c r="D13" i="127"/>
  <c r="E26" i="17"/>
  <c r="D13" i="23"/>
  <c r="E13" i="23" s="1"/>
  <c r="C13" i="34"/>
  <c r="E13" i="34" s="1"/>
  <c r="D13" i="91"/>
  <c r="E26" i="16"/>
  <c r="E28" i="37"/>
  <c r="E19" i="21"/>
  <c r="C13" i="57"/>
  <c r="E13" i="57" s="1"/>
  <c r="E26" i="18"/>
  <c r="E19" i="28"/>
  <c r="D13" i="35"/>
  <c r="E13" i="35" s="1"/>
  <c r="E18" i="25"/>
  <c r="C13" i="39"/>
  <c r="C13" i="84"/>
  <c r="E13" i="84" s="1"/>
  <c r="E9" i="51"/>
  <c r="E26" i="26"/>
  <c r="D13" i="26"/>
  <c r="E13" i="26" s="1"/>
  <c r="D13" i="100"/>
  <c r="E13" i="100" s="1"/>
  <c r="C13" i="127"/>
  <c r="C13" i="88"/>
  <c r="E13" i="88" s="1"/>
  <c r="E9" i="80"/>
  <c r="E9" i="79"/>
  <c r="E27" i="24"/>
  <c r="D13" i="114"/>
  <c r="E9" i="6"/>
  <c r="D13" i="42"/>
  <c r="E13" i="42" s="1"/>
  <c r="C13" i="81"/>
  <c r="C13" i="103"/>
  <c r="E13" i="103" s="1"/>
  <c r="D13" i="107"/>
  <c r="E13" i="107" s="1"/>
  <c r="C13" i="114"/>
  <c r="C13" i="12"/>
  <c r="E13" i="12" s="1"/>
  <c r="D13" i="41"/>
  <c r="E13" i="41" s="1"/>
  <c r="C13" i="77"/>
  <c r="E13" i="77" s="1"/>
  <c r="C13" i="98"/>
  <c r="E13" i="98" s="1"/>
  <c r="C13" i="126"/>
  <c r="E13" i="126" s="1"/>
  <c r="E19" i="18"/>
  <c r="D13" i="50"/>
  <c r="E13" i="50" s="1"/>
  <c r="E9" i="52"/>
  <c r="E9" i="36"/>
  <c r="E9" i="22"/>
  <c r="C13" i="73"/>
  <c r="E13" i="73" s="1"/>
  <c r="C13" i="124"/>
  <c r="E13" i="124" s="1"/>
  <c r="D13" i="119"/>
  <c r="E13" i="119" s="1"/>
  <c r="E26" i="14"/>
  <c r="E19" i="24"/>
  <c r="D13" i="39"/>
  <c r="E19" i="8"/>
  <c r="D13" i="17"/>
  <c r="E13" i="17" s="1"/>
  <c r="F13" i="17" s="1"/>
  <c r="E19" i="13"/>
  <c r="E21" i="17"/>
  <c r="D13" i="37"/>
  <c r="E13" i="37" s="1"/>
  <c r="D13" i="121"/>
  <c r="E13" i="121" s="1"/>
  <c r="E18" i="18"/>
  <c r="C13" i="91"/>
  <c r="D13" i="113"/>
  <c r="D13" i="106"/>
  <c r="E13" i="106" s="1"/>
  <c r="C13" i="110"/>
  <c r="E13" i="110" s="1"/>
  <c r="D13" i="21"/>
  <c r="E13" i="21" s="1"/>
  <c r="C13" i="104"/>
  <c r="E13" i="104" s="1"/>
  <c r="E20" i="37"/>
  <c r="E18" i="20"/>
  <c r="E25" i="5"/>
  <c r="E18" i="10"/>
  <c r="E18" i="23"/>
  <c r="E21" i="25"/>
  <c r="D13" i="101"/>
  <c r="E13" i="101" s="1"/>
  <c r="C13" i="109"/>
  <c r="E13" i="109" s="1"/>
  <c r="D13" i="112"/>
  <c r="E13" i="112" s="1"/>
  <c r="C13" i="113"/>
  <c r="D13" i="117"/>
  <c r="E13" i="117" s="1"/>
  <c r="E18" i="15"/>
  <c r="E19" i="5"/>
  <c r="E21" i="10"/>
  <c r="E21" i="23"/>
  <c r="D13" i="97"/>
  <c r="E13" i="97" s="1"/>
  <c r="D13" i="118"/>
  <c r="E13" i="118" s="1"/>
  <c r="E18" i="35"/>
  <c r="E21" i="35"/>
  <c r="E13" i="71"/>
  <c r="C13" i="5"/>
  <c r="E13" i="5" s="1"/>
  <c r="E19" i="26"/>
  <c r="E28" i="5"/>
  <c r="E19" i="7"/>
  <c r="E20" i="10"/>
  <c r="E18" i="11"/>
  <c r="E18" i="19"/>
  <c r="E26" i="19"/>
  <c r="E20" i="23"/>
  <c r="E20" i="25"/>
  <c r="E26" i="25"/>
  <c r="E13" i="43"/>
  <c r="D13" i="46"/>
  <c r="E13" i="46" s="1"/>
  <c r="D13" i="95"/>
  <c r="E13" i="95" s="1"/>
  <c r="E19" i="9"/>
  <c r="E21" i="9"/>
  <c r="C13" i="9"/>
  <c r="E13" i="9" s="1"/>
  <c r="E20" i="20"/>
  <c r="E18" i="37"/>
  <c r="E18" i="7"/>
  <c r="E26" i="5"/>
  <c r="E19" i="15"/>
  <c r="E27" i="28"/>
  <c r="E13" i="33"/>
  <c r="E13" i="86"/>
  <c r="E20" i="12"/>
  <c r="E21" i="37"/>
  <c r="E13" i="8"/>
  <c r="E21" i="11"/>
  <c r="E21" i="12"/>
  <c r="E18" i="12"/>
  <c r="E13" i="18"/>
  <c r="E21" i="19"/>
  <c r="E21" i="20"/>
  <c r="D13" i="44"/>
  <c r="E13" i="44" s="1"/>
  <c r="E27" i="5"/>
  <c r="E21" i="7"/>
  <c r="E20" i="8"/>
  <c r="E21" i="14"/>
  <c r="E18" i="14"/>
  <c r="E20" i="16"/>
  <c r="D13" i="16"/>
  <c r="E13" i="16" s="1"/>
  <c r="E13" i="20"/>
  <c r="E28" i="21"/>
  <c r="E28" i="24"/>
  <c r="E21" i="28"/>
  <c r="D13" i="53"/>
  <c r="E13" i="53" s="1"/>
  <c r="D13" i="115"/>
  <c r="E13" i="115" s="1"/>
  <c r="E21" i="34"/>
  <c r="E18" i="34"/>
  <c r="E27" i="37"/>
  <c r="E13" i="7"/>
  <c r="E21" i="8"/>
  <c r="E18" i="8"/>
  <c r="E18" i="9"/>
  <c r="E21" i="15"/>
  <c r="E21" i="16"/>
  <c r="E18" i="16"/>
  <c r="E18" i="17"/>
  <c r="E19" i="20"/>
  <c r="E18" i="26"/>
  <c r="E13" i="128"/>
  <c r="E20" i="7"/>
  <c r="E20" i="14"/>
  <c r="E20" i="28"/>
  <c r="E20" i="21"/>
  <c r="E25" i="23"/>
  <c r="E18" i="28"/>
  <c r="E20" i="35"/>
  <c r="E13" i="38"/>
  <c r="E13" i="67"/>
  <c r="E13" i="96"/>
  <c r="E13" i="105"/>
  <c r="D13" i="111"/>
  <c r="E13" i="111" s="1"/>
  <c r="E21" i="5"/>
  <c r="E20" i="5"/>
  <c r="E18" i="21"/>
  <c r="E21" i="24"/>
  <c r="E20" i="24"/>
  <c r="E27" i="26"/>
  <c r="E13" i="29"/>
  <c r="E13" i="45"/>
  <c r="E13" i="47"/>
  <c r="E13" i="49"/>
  <c r="E13" i="59"/>
  <c r="E13" i="63"/>
  <c r="E13" i="69"/>
  <c r="E13" i="85"/>
  <c r="E13" i="87"/>
  <c r="E13" i="94"/>
  <c r="D13" i="116"/>
  <c r="E13" i="116" s="1"/>
  <c r="E13" i="122"/>
  <c r="E13" i="125"/>
  <c r="E13" i="129"/>
  <c r="E9" i="108"/>
  <c r="E28" i="20"/>
  <c r="E21" i="21"/>
  <c r="E13" i="25"/>
  <c r="E28" i="26"/>
  <c r="E20" i="9"/>
  <c r="E20" i="11"/>
  <c r="E20" i="15"/>
  <c r="E20" i="17"/>
  <c r="E20" i="19"/>
  <c r="E28" i="23"/>
  <c r="E27" i="23"/>
  <c r="E18" i="24"/>
  <c r="E26" i="7"/>
  <c r="E27" i="7"/>
  <c r="E28" i="7"/>
  <c r="E25" i="7"/>
  <c r="E18" i="5"/>
  <c r="E26" i="8"/>
  <c r="E25" i="8"/>
  <c r="E27" i="8"/>
  <c r="E28" i="8"/>
  <c r="E25" i="9"/>
  <c r="E28" i="10"/>
  <c r="E27" i="10"/>
  <c r="E25" i="11"/>
  <c r="E13" i="11"/>
  <c r="F13" i="11" s="1"/>
  <c r="E28" i="12"/>
  <c r="E27" i="12"/>
  <c r="E25" i="13"/>
  <c r="E13" i="13"/>
  <c r="E28" i="14"/>
  <c r="E27" i="14"/>
  <c r="E25" i="15"/>
  <c r="E13" i="15"/>
  <c r="E28" i="16"/>
  <c r="E27" i="16"/>
  <c r="E25" i="17"/>
  <c r="E28" i="18"/>
  <c r="E27" i="18"/>
  <c r="E25" i="19"/>
  <c r="E13" i="19"/>
  <c r="E27" i="20"/>
  <c r="E25" i="21"/>
  <c r="E25" i="24"/>
  <c r="E25" i="26"/>
  <c r="E13" i="82"/>
  <c r="E13" i="90"/>
  <c r="E13" i="92"/>
  <c r="E13" i="93"/>
  <c r="E13" i="102"/>
  <c r="E28" i="9"/>
  <c r="E27" i="9"/>
  <c r="E25" i="10"/>
  <c r="E28" i="11"/>
  <c r="E27" i="11"/>
  <c r="E25" i="12"/>
  <c r="E28" i="13"/>
  <c r="E27" i="13"/>
  <c r="E25" i="14"/>
  <c r="E28" i="15"/>
  <c r="E27" i="15"/>
  <c r="E25" i="16"/>
  <c r="E28" i="17"/>
  <c r="E27" i="17"/>
  <c r="E25" i="18"/>
  <c r="E28" i="19"/>
  <c r="E27" i="19"/>
  <c r="E25" i="20"/>
  <c r="E27" i="21"/>
  <c r="E20" i="34"/>
  <c r="E26" i="37"/>
  <c r="E25" i="37"/>
  <c r="E13" i="89"/>
  <c r="E13" i="99"/>
  <c r="E13" i="30"/>
  <c r="E13" i="32"/>
  <c r="E13" i="48"/>
  <c r="E13" i="54"/>
  <c r="E13" i="56"/>
  <c r="E13" i="60"/>
  <c r="E13" i="62"/>
  <c r="E13" i="64"/>
  <c r="E13" i="66"/>
  <c r="E13" i="72"/>
  <c r="E13" i="75"/>
  <c r="G13" i="129"/>
  <c r="G13" i="128"/>
  <c r="G13" i="127"/>
  <c r="G13" i="126"/>
  <c r="G13" i="125"/>
  <c r="G13" i="124"/>
  <c r="G9" i="123"/>
  <c r="G13" i="122"/>
  <c r="G13" i="121"/>
  <c r="G13" i="120"/>
  <c r="G13" i="119"/>
  <c r="G13" i="118"/>
  <c r="G13" i="117"/>
  <c r="G13" i="116"/>
  <c r="G13" i="115"/>
  <c r="G13" i="114"/>
  <c r="G13" i="113"/>
  <c r="G13" i="112"/>
  <c r="G13" i="111"/>
  <c r="G13" i="110"/>
  <c r="G13" i="109"/>
  <c r="G9" i="108"/>
  <c r="G13" i="107"/>
  <c r="G13" i="106"/>
  <c r="G13" i="105"/>
  <c r="G13" i="104"/>
  <c r="G13" i="103"/>
  <c r="G13" i="102"/>
  <c r="G13" i="101"/>
  <c r="G13" i="100"/>
  <c r="G13" i="99"/>
  <c r="G13" i="98"/>
  <c r="G13" i="97"/>
  <c r="G13" i="96"/>
  <c r="G13" i="95"/>
  <c r="G13" i="94"/>
  <c r="G13" i="93"/>
  <c r="G13" i="92"/>
  <c r="G13" i="91"/>
  <c r="G13" i="90"/>
  <c r="G13" i="89"/>
  <c r="G13" i="88"/>
  <c r="G13" i="87"/>
  <c r="G13" i="86"/>
  <c r="G13" i="85"/>
  <c r="G13" i="84"/>
  <c r="G13" i="83"/>
  <c r="G13" i="82"/>
  <c r="G13" i="81"/>
  <c r="G9" i="80"/>
  <c r="G9" i="79"/>
  <c r="G11" i="78"/>
  <c r="G13" i="77"/>
  <c r="G13" i="76"/>
  <c r="G13" i="75"/>
  <c r="G13" i="73"/>
  <c r="G13" i="72"/>
  <c r="G13" i="71"/>
  <c r="G13" i="70"/>
  <c r="G13" i="69"/>
  <c r="G13" i="68"/>
  <c r="G13" i="67"/>
  <c r="G13" i="66"/>
  <c r="G13" i="65"/>
  <c r="G13" i="64"/>
  <c r="G13" i="63"/>
  <c r="G13" i="62"/>
  <c r="G13" i="61"/>
  <c r="G13" i="60"/>
  <c r="G13" i="59"/>
  <c r="G13" i="58"/>
  <c r="G13" i="57"/>
  <c r="G13" i="56"/>
  <c r="G13" i="55"/>
  <c r="G13" i="54"/>
  <c r="G13" i="53"/>
  <c r="G9" i="52"/>
  <c r="G9" i="51"/>
  <c r="G13" i="50"/>
  <c r="G13" i="49"/>
  <c r="G13" i="48"/>
  <c r="G13" i="47"/>
  <c r="G13" i="46"/>
  <c r="G13" i="45"/>
  <c r="G13" i="44"/>
  <c r="G13" i="43"/>
  <c r="G13" i="42"/>
  <c r="G13" i="41"/>
  <c r="G9" i="40"/>
  <c r="G13" i="39"/>
  <c r="G13" i="38"/>
  <c r="G13" i="37"/>
  <c r="G9" i="36"/>
  <c r="G13" i="35"/>
  <c r="G13" i="34"/>
  <c r="G13" i="33"/>
  <c r="G13" i="32"/>
  <c r="G13" i="31"/>
  <c r="G13" i="30"/>
  <c r="G13" i="29"/>
  <c r="G13" i="28"/>
  <c r="G9" i="27"/>
  <c r="D13" i="3"/>
  <c r="E13" i="3" s="1"/>
  <c r="G13" i="26"/>
  <c r="G13" i="25"/>
  <c r="G13" i="24"/>
  <c r="G13" i="23"/>
  <c r="G9" i="22"/>
  <c r="G13" i="21"/>
  <c r="G13" i="20"/>
  <c r="G13" i="19"/>
  <c r="G13" i="18"/>
  <c r="G13" i="17"/>
  <c r="G13" i="16"/>
  <c r="G13" i="15"/>
  <c r="G13" i="14"/>
  <c r="G13" i="13"/>
  <c r="G13" i="12"/>
  <c r="G13" i="11"/>
  <c r="G13" i="10"/>
  <c r="G13" i="9"/>
  <c r="G13" i="8"/>
  <c r="G13" i="7"/>
  <c r="G9" i="6"/>
  <c r="G13" i="5"/>
  <c r="G13" i="3"/>
  <c r="F7" i="82" l="1"/>
  <c r="F12" i="82"/>
  <c r="F11" i="82"/>
  <c r="F10" i="82"/>
  <c r="F9" i="82"/>
  <c r="F8" i="82"/>
  <c r="F13" i="89"/>
  <c r="F12" i="89"/>
  <c r="F9" i="89"/>
  <c r="F11" i="89"/>
  <c r="F8" i="89"/>
  <c r="F7" i="89"/>
  <c r="F10" i="89"/>
  <c r="F13" i="92"/>
  <c r="F11" i="92"/>
  <c r="F8" i="92"/>
  <c r="F7" i="92"/>
  <c r="F10" i="92"/>
  <c r="F12" i="92"/>
  <c r="F9" i="92"/>
  <c r="F9" i="108"/>
  <c r="F8" i="108"/>
  <c r="F13" i="122"/>
  <c r="F12" i="122"/>
  <c r="F11" i="122"/>
  <c r="F10" i="122"/>
  <c r="F13" i="87"/>
  <c r="F12" i="87"/>
  <c r="F11" i="87"/>
  <c r="F13" i="111"/>
  <c r="F12" i="111"/>
  <c r="F11" i="111"/>
  <c r="F10" i="111"/>
  <c r="E6" i="95"/>
  <c r="F13" i="95"/>
  <c r="F12" i="95"/>
  <c r="F11" i="95"/>
  <c r="F13" i="97"/>
  <c r="F12" i="97"/>
  <c r="F13" i="101"/>
  <c r="F10" i="101"/>
  <c r="F12" i="101"/>
  <c r="F11" i="101"/>
  <c r="F13" i="110"/>
  <c r="F12" i="110"/>
  <c r="F13" i="124"/>
  <c r="F10" i="124"/>
  <c r="F12" i="124"/>
  <c r="F11" i="124"/>
  <c r="F13" i="100"/>
  <c r="F11" i="100"/>
  <c r="F8" i="100"/>
  <c r="F10" i="100"/>
  <c r="F12" i="100"/>
  <c r="F9" i="100"/>
  <c r="F13" i="93"/>
  <c r="F11" i="93"/>
  <c r="F8" i="93"/>
  <c r="F7" i="93"/>
  <c r="F10" i="93"/>
  <c r="F12" i="93"/>
  <c r="F9" i="93"/>
  <c r="F13" i="99"/>
  <c r="F12" i="99"/>
  <c r="F9" i="99"/>
  <c r="F11" i="99"/>
  <c r="F8" i="99"/>
  <c r="F10" i="99"/>
  <c r="F13" i="102"/>
  <c r="F10" i="102"/>
  <c r="F12" i="102"/>
  <c r="F9" i="102"/>
  <c r="F11" i="102"/>
  <c r="F13" i="90"/>
  <c r="F11" i="90"/>
  <c r="F8" i="90"/>
  <c r="F10" i="90"/>
  <c r="F12" i="90"/>
  <c r="F9" i="90"/>
  <c r="F13" i="129"/>
  <c r="F10" i="129"/>
  <c r="F12" i="129"/>
  <c r="F11" i="129"/>
  <c r="F13" i="116"/>
  <c r="F12" i="116"/>
  <c r="F11" i="116"/>
  <c r="F13" i="105"/>
  <c r="F12" i="105"/>
  <c r="F9" i="105"/>
  <c r="F11" i="105"/>
  <c r="F8" i="105"/>
  <c r="F7" i="105"/>
  <c r="F10" i="105"/>
  <c r="F13" i="112"/>
  <c r="F12" i="112"/>
  <c r="F11" i="112"/>
  <c r="F13" i="104"/>
  <c r="F12" i="104"/>
  <c r="F9" i="104"/>
  <c r="F11" i="104"/>
  <c r="F8" i="104"/>
  <c r="F7" i="104"/>
  <c r="F10" i="104"/>
  <c r="F13" i="106"/>
  <c r="F12" i="106"/>
  <c r="F13" i="126"/>
  <c r="F10" i="126"/>
  <c r="F12" i="126"/>
  <c r="F11" i="126"/>
  <c r="F13" i="107"/>
  <c r="F12" i="107"/>
  <c r="F9" i="107"/>
  <c r="F11" i="107"/>
  <c r="F10" i="107"/>
  <c r="F13" i="88"/>
  <c r="F11" i="88"/>
  <c r="F10" i="88"/>
  <c r="F12" i="88"/>
  <c r="F13" i="120"/>
  <c r="F11" i="120"/>
  <c r="F10" i="120"/>
  <c r="F12" i="120"/>
  <c r="F13" i="94"/>
  <c r="F11" i="94"/>
  <c r="F8" i="94"/>
  <c r="F7" i="94"/>
  <c r="F10" i="94"/>
  <c r="F12" i="94"/>
  <c r="F9" i="94"/>
  <c r="F13" i="96"/>
  <c r="F7" i="96"/>
  <c r="F10" i="96"/>
  <c r="F12" i="96"/>
  <c r="F9" i="96"/>
  <c r="F11" i="96"/>
  <c r="F8" i="96"/>
  <c r="F13" i="115"/>
  <c r="F12" i="115"/>
  <c r="F11" i="115"/>
  <c r="F13" i="118"/>
  <c r="F12" i="118"/>
  <c r="F11" i="118"/>
  <c r="F13" i="117"/>
  <c r="F11" i="117"/>
  <c r="F12" i="117"/>
  <c r="F13" i="109"/>
  <c r="F11" i="109"/>
  <c r="F10" i="109"/>
  <c r="F12" i="109"/>
  <c r="F13" i="121"/>
  <c r="F11" i="121"/>
  <c r="F10" i="121"/>
  <c r="F12" i="121"/>
  <c r="F9" i="121"/>
  <c r="F13" i="119"/>
  <c r="F12" i="119"/>
  <c r="F11" i="119"/>
  <c r="F13" i="98"/>
  <c r="F10" i="98"/>
  <c r="F8" i="98"/>
  <c r="F11" i="98"/>
  <c r="F9" i="98"/>
  <c r="F12" i="98"/>
  <c r="E6" i="103"/>
  <c r="F13" i="103"/>
  <c r="F12" i="103"/>
  <c r="F9" i="103"/>
  <c r="F11" i="103"/>
  <c r="F8" i="103"/>
  <c r="F7" i="103"/>
  <c r="F10" i="103"/>
  <c r="F13" i="64"/>
  <c r="F12" i="64"/>
  <c r="F13" i="32"/>
  <c r="F12" i="32"/>
  <c r="F11" i="32"/>
  <c r="F9" i="32"/>
  <c r="F8" i="32"/>
  <c r="F7" i="32"/>
  <c r="F10" i="32"/>
  <c r="F13" i="49"/>
  <c r="F11" i="49"/>
  <c r="F7" i="49"/>
  <c r="F12" i="49"/>
  <c r="F10" i="49"/>
  <c r="F9" i="49"/>
  <c r="F8" i="49"/>
  <c r="F13" i="33"/>
  <c r="F9" i="33"/>
  <c r="F8" i="33"/>
  <c r="F7" i="33"/>
  <c r="F10" i="33"/>
  <c r="F12" i="33"/>
  <c r="F11" i="33"/>
  <c r="F13" i="43"/>
  <c r="F11" i="43"/>
  <c r="F7" i="43"/>
  <c r="F12" i="43"/>
  <c r="F8" i="43"/>
  <c r="F10" i="43"/>
  <c r="F9" i="43"/>
  <c r="E6" i="71"/>
  <c r="F13" i="71"/>
  <c r="F12" i="71"/>
  <c r="F9" i="71"/>
  <c r="F7" i="71"/>
  <c r="F10" i="71"/>
  <c r="F8" i="71"/>
  <c r="F11" i="71"/>
  <c r="F13" i="50"/>
  <c r="F7" i="50"/>
  <c r="F12" i="50"/>
  <c r="F8" i="50"/>
  <c r="F10" i="50"/>
  <c r="F9" i="50"/>
  <c r="F11" i="50"/>
  <c r="F9" i="79"/>
  <c r="F8" i="79"/>
  <c r="F7" i="79"/>
  <c r="F13" i="61"/>
  <c r="F12" i="61"/>
  <c r="F9" i="61"/>
  <c r="F7" i="61"/>
  <c r="F10" i="61"/>
  <c r="F11" i="61"/>
  <c r="F8" i="61"/>
  <c r="F13" i="10"/>
  <c r="F8" i="10"/>
  <c r="F12" i="10"/>
  <c r="F7" i="10"/>
  <c r="F9" i="10"/>
  <c r="F11" i="10"/>
  <c r="F10" i="10"/>
  <c r="F13" i="14"/>
  <c r="F10" i="14"/>
  <c r="F8" i="14"/>
  <c r="F11" i="14"/>
  <c r="F12" i="14"/>
  <c r="F7" i="14"/>
  <c r="F9" i="14"/>
  <c r="F13" i="3"/>
  <c r="F12" i="3"/>
  <c r="F9" i="3"/>
  <c r="F7" i="3"/>
  <c r="F10" i="3"/>
  <c r="F8" i="3"/>
  <c r="F11" i="3"/>
  <c r="F13" i="66"/>
  <c r="F12" i="66"/>
  <c r="F9" i="66"/>
  <c r="F7" i="66"/>
  <c r="F10" i="66"/>
  <c r="F8" i="66"/>
  <c r="F11" i="66"/>
  <c r="F13" i="60"/>
  <c r="F12" i="60"/>
  <c r="F9" i="60"/>
  <c r="F7" i="60"/>
  <c r="F10" i="60"/>
  <c r="F8" i="60"/>
  <c r="F11" i="60"/>
  <c r="F13" i="48"/>
  <c r="F10" i="48"/>
  <c r="F9" i="48"/>
  <c r="F7" i="48"/>
  <c r="F12" i="48"/>
  <c r="F8" i="48"/>
  <c r="F11" i="48"/>
  <c r="F13" i="19"/>
  <c r="F8" i="19"/>
  <c r="F12" i="19"/>
  <c r="F7" i="19"/>
  <c r="F9" i="19"/>
  <c r="F11" i="19"/>
  <c r="F10" i="19"/>
  <c r="F13" i="85"/>
  <c r="F10" i="85"/>
  <c r="F11" i="85"/>
  <c r="F9" i="85"/>
  <c r="F12" i="85"/>
  <c r="F13" i="59"/>
  <c r="F12" i="59"/>
  <c r="F9" i="59"/>
  <c r="F7" i="59"/>
  <c r="F10" i="59"/>
  <c r="F11" i="59"/>
  <c r="F8" i="59"/>
  <c r="F13" i="45"/>
  <c r="F10" i="45"/>
  <c r="F9" i="45"/>
  <c r="F11" i="45"/>
  <c r="F7" i="45"/>
  <c r="F12" i="45"/>
  <c r="F8" i="45"/>
  <c r="F13" i="38"/>
  <c r="F8" i="38"/>
  <c r="F12" i="38"/>
  <c r="F7" i="38"/>
  <c r="F9" i="38"/>
  <c r="F11" i="38"/>
  <c r="F10" i="38"/>
  <c r="E6" i="7"/>
  <c r="F13" i="7"/>
  <c r="F7" i="7"/>
  <c r="F12" i="7"/>
  <c r="F11" i="7"/>
  <c r="F10" i="7"/>
  <c r="F9" i="7"/>
  <c r="F8" i="7"/>
  <c r="F13" i="20"/>
  <c r="F7" i="20"/>
  <c r="F9" i="20"/>
  <c r="F11" i="20"/>
  <c r="F10" i="20"/>
  <c r="F8" i="20"/>
  <c r="F12" i="20"/>
  <c r="F13" i="8"/>
  <c r="F12" i="8"/>
  <c r="F7" i="8"/>
  <c r="F9" i="8"/>
  <c r="F11" i="8"/>
  <c r="F10" i="8"/>
  <c r="F8" i="8"/>
  <c r="F13" i="86"/>
  <c r="F11" i="86"/>
  <c r="F12" i="86"/>
  <c r="F9" i="86"/>
  <c r="F10" i="86"/>
  <c r="F13" i="46"/>
  <c r="F11" i="46"/>
  <c r="F7" i="46"/>
  <c r="F12" i="46"/>
  <c r="F8" i="46"/>
  <c r="F10" i="46"/>
  <c r="F9" i="46"/>
  <c r="F13" i="5"/>
  <c r="F9" i="5"/>
  <c r="F12" i="5"/>
  <c r="F7" i="5"/>
  <c r="F10" i="5"/>
  <c r="F8" i="5"/>
  <c r="F11" i="5"/>
  <c r="F13" i="73"/>
  <c r="F12" i="73"/>
  <c r="F9" i="73"/>
  <c r="F7" i="73"/>
  <c r="F10" i="73"/>
  <c r="F11" i="73"/>
  <c r="F8" i="73"/>
  <c r="F9" i="52"/>
  <c r="F8" i="52"/>
  <c r="F7" i="52"/>
  <c r="F13" i="41"/>
  <c r="F7" i="41"/>
  <c r="F12" i="41"/>
  <c r="F8" i="41"/>
  <c r="F10" i="41"/>
  <c r="F9" i="41"/>
  <c r="F11" i="41"/>
  <c r="F13" i="42"/>
  <c r="F10" i="42"/>
  <c r="F9" i="42"/>
  <c r="F11" i="42"/>
  <c r="F7" i="42"/>
  <c r="F12" i="42"/>
  <c r="F8" i="42"/>
  <c r="F13" i="26"/>
  <c r="F10" i="26"/>
  <c r="F9" i="26"/>
  <c r="F11" i="26"/>
  <c r="F7" i="26"/>
  <c r="F12" i="26"/>
  <c r="F8" i="26"/>
  <c r="F13" i="84"/>
  <c r="F11" i="84"/>
  <c r="F8" i="84"/>
  <c r="F12" i="84"/>
  <c r="F9" i="84"/>
  <c r="F7" i="84"/>
  <c r="F10" i="84"/>
  <c r="F13" i="35"/>
  <c r="F12" i="35"/>
  <c r="F11" i="35"/>
  <c r="F9" i="35"/>
  <c r="F8" i="35"/>
  <c r="F7" i="35"/>
  <c r="F10" i="35"/>
  <c r="F13" i="57"/>
  <c r="F11" i="57"/>
  <c r="F8" i="57"/>
  <c r="F7" i="57"/>
  <c r="F10" i="57"/>
  <c r="F12" i="57"/>
  <c r="F9" i="57"/>
  <c r="F13" i="23"/>
  <c r="F10" i="23"/>
  <c r="F9" i="23"/>
  <c r="F11" i="23"/>
  <c r="F7" i="23"/>
  <c r="F12" i="23"/>
  <c r="F8" i="23"/>
  <c r="F13" i="24"/>
  <c r="F11" i="24"/>
  <c r="F7" i="24"/>
  <c r="F12" i="24"/>
  <c r="F8" i="24"/>
  <c r="F10" i="24"/>
  <c r="F9" i="24"/>
  <c r="F13" i="70"/>
  <c r="F12" i="70"/>
  <c r="F9" i="70"/>
  <c r="F7" i="70"/>
  <c r="F10" i="70"/>
  <c r="F11" i="70"/>
  <c r="F8" i="70"/>
  <c r="F13" i="83"/>
  <c r="F11" i="83"/>
  <c r="F8" i="83"/>
  <c r="F12" i="83"/>
  <c r="F9" i="83"/>
  <c r="F7" i="83"/>
  <c r="F10" i="83"/>
  <c r="F13" i="28"/>
  <c r="F7" i="28"/>
  <c r="F10" i="28"/>
  <c r="F12" i="28"/>
  <c r="F11" i="28"/>
  <c r="F9" i="28"/>
  <c r="F8" i="28"/>
  <c r="F9" i="27"/>
  <c r="F7" i="27"/>
  <c r="F8" i="27"/>
  <c r="F13" i="56"/>
  <c r="F12" i="56"/>
  <c r="F9" i="56"/>
  <c r="F11" i="56"/>
  <c r="F10" i="56"/>
  <c r="F13" i="82"/>
  <c r="F13" i="15"/>
  <c r="F8" i="15"/>
  <c r="F12" i="15"/>
  <c r="F7" i="15"/>
  <c r="F9" i="15"/>
  <c r="F11" i="15"/>
  <c r="F10" i="15"/>
  <c r="F13" i="69"/>
  <c r="F11" i="69"/>
  <c r="F12" i="69"/>
  <c r="F10" i="69"/>
  <c r="F13" i="29"/>
  <c r="F12" i="29"/>
  <c r="F11" i="29"/>
  <c r="F9" i="29"/>
  <c r="F8" i="29"/>
  <c r="F7" i="29"/>
  <c r="F10" i="29"/>
  <c r="F13" i="16"/>
  <c r="F7" i="16"/>
  <c r="F9" i="16"/>
  <c r="F11" i="16"/>
  <c r="F10" i="16"/>
  <c r="F8" i="16"/>
  <c r="F12" i="16"/>
  <c r="F13" i="21"/>
  <c r="F11" i="21"/>
  <c r="F10" i="21"/>
  <c r="F8" i="21"/>
  <c r="F12" i="21"/>
  <c r="F7" i="21"/>
  <c r="F9" i="21"/>
  <c r="F9" i="22"/>
  <c r="F8" i="22"/>
  <c r="F7" i="22"/>
  <c r="F13" i="12"/>
  <c r="F7" i="12"/>
  <c r="F9" i="12"/>
  <c r="F11" i="12"/>
  <c r="F10" i="12"/>
  <c r="F8" i="12"/>
  <c r="F12" i="12"/>
  <c r="E6" i="6"/>
  <c r="F9" i="6"/>
  <c r="F7" i="6"/>
  <c r="F8" i="6"/>
  <c r="F13" i="68"/>
  <c r="F12" i="68"/>
  <c r="F9" i="68"/>
  <c r="F7" i="68"/>
  <c r="F10" i="68"/>
  <c r="F11" i="68"/>
  <c r="F8" i="68"/>
  <c r="F13" i="72"/>
  <c r="F12" i="72"/>
  <c r="F9" i="72"/>
  <c r="F7" i="72"/>
  <c r="F10" i="72"/>
  <c r="F11" i="72"/>
  <c r="F8" i="72"/>
  <c r="F13" i="62"/>
  <c r="F11" i="62"/>
  <c r="F12" i="62"/>
  <c r="F13" i="54"/>
  <c r="F12" i="54"/>
  <c r="F9" i="54"/>
  <c r="F11" i="54"/>
  <c r="F8" i="54"/>
  <c r="F7" i="54"/>
  <c r="F10" i="54"/>
  <c r="F13" i="30"/>
  <c r="F9" i="30"/>
  <c r="F8" i="30"/>
  <c r="F7" i="30"/>
  <c r="F10" i="30"/>
  <c r="F12" i="30"/>
  <c r="F11" i="30"/>
  <c r="F13" i="13"/>
  <c r="F11" i="13"/>
  <c r="F10" i="13"/>
  <c r="F8" i="13"/>
  <c r="F12" i="13"/>
  <c r="F7" i="13"/>
  <c r="F9" i="13"/>
  <c r="F13" i="25"/>
  <c r="F7" i="25"/>
  <c r="F12" i="25"/>
  <c r="F8" i="25"/>
  <c r="F10" i="25"/>
  <c r="F9" i="25"/>
  <c r="F11" i="25"/>
  <c r="F13" i="63"/>
  <c r="F11" i="63"/>
  <c r="F8" i="63"/>
  <c r="F12" i="63"/>
  <c r="F9" i="63"/>
  <c r="F7" i="63"/>
  <c r="F10" i="63"/>
  <c r="F13" i="47"/>
  <c r="F7" i="47"/>
  <c r="F12" i="47"/>
  <c r="F8" i="47"/>
  <c r="F10" i="47"/>
  <c r="F9" i="47"/>
  <c r="F11" i="47"/>
  <c r="F13" i="67"/>
  <c r="F12" i="67"/>
  <c r="F9" i="67"/>
  <c r="F7" i="67"/>
  <c r="F10" i="67"/>
  <c r="F11" i="67"/>
  <c r="F8" i="67"/>
  <c r="F13" i="53"/>
  <c r="F12" i="53"/>
  <c r="F9" i="53"/>
  <c r="F11" i="53"/>
  <c r="F8" i="53"/>
  <c r="F10" i="53"/>
  <c r="F7" i="53"/>
  <c r="F13" i="44"/>
  <c r="F7" i="44"/>
  <c r="F12" i="44"/>
  <c r="F8" i="44"/>
  <c r="F10" i="44"/>
  <c r="F9" i="44"/>
  <c r="F11" i="44"/>
  <c r="F13" i="18"/>
  <c r="F11" i="18"/>
  <c r="F10" i="18"/>
  <c r="F8" i="18"/>
  <c r="F12" i="18"/>
  <c r="F7" i="18"/>
  <c r="F9" i="18"/>
  <c r="F13" i="9"/>
  <c r="F11" i="9"/>
  <c r="F10" i="9"/>
  <c r="F8" i="9"/>
  <c r="F12" i="9"/>
  <c r="F7" i="9"/>
  <c r="F9" i="9"/>
  <c r="F13" i="37"/>
  <c r="F11" i="37"/>
  <c r="F10" i="37"/>
  <c r="F8" i="37"/>
  <c r="F12" i="37"/>
  <c r="F7" i="37"/>
  <c r="F9" i="37"/>
  <c r="F9" i="36"/>
  <c r="F7" i="36"/>
  <c r="F8" i="36"/>
  <c r="F9" i="80"/>
  <c r="F7" i="80"/>
  <c r="F8" i="80"/>
  <c r="F9" i="51"/>
  <c r="F7" i="51"/>
  <c r="F8" i="51"/>
  <c r="F13" i="34"/>
  <c r="F10" i="34"/>
  <c r="F12" i="34"/>
  <c r="F11" i="34"/>
  <c r="F9" i="34"/>
  <c r="F8" i="34"/>
  <c r="F7" i="34"/>
  <c r="F13" i="31"/>
  <c r="F9" i="31"/>
  <c r="F11" i="31"/>
  <c r="F10" i="31"/>
  <c r="F8" i="31"/>
  <c r="F12" i="31"/>
  <c r="F7" i="31"/>
  <c r="F13" i="58"/>
  <c r="F11" i="58"/>
  <c r="F7" i="58"/>
  <c r="F12" i="58"/>
  <c r="F9" i="58"/>
  <c r="F10" i="58"/>
  <c r="F8" i="58"/>
  <c r="F13" i="55"/>
  <c r="F11" i="55"/>
  <c r="F12" i="55"/>
  <c r="F10" i="55"/>
  <c r="E13" i="39"/>
  <c r="E6" i="39" s="1"/>
  <c r="F6" i="39" s="1"/>
  <c r="E6" i="42"/>
  <c r="F6" i="42" s="1"/>
  <c r="E6" i="23"/>
  <c r="F6" i="23" s="1"/>
  <c r="E6" i="83"/>
  <c r="F6" i="83" s="1"/>
  <c r="E6" i="45"/>
  <c r="F6" i="45" s="1"/>
  <c r="E6" i="46"/>
  <c r="F6" i="46" s="1"/>
  <c r="E6" i="112"/>
  <c r="F6" i="112" s="1"/>
  <c r="F8" i="112"/>
  <c r="F7" i="112"/>
  <c r="F10" i="112"/>
  <c r="F9" i="112"/>
  <c r="E6" i="104"/>
  <c r="F6" i="104" s="1"/>
  <c r="E6" i="52"/>
  <c r="F6" i="52" s="1"/>
  <c r="E6" i="126"/>
  <c r="F6" i="126" s="1"/>
  <c r="F7" i="126"/>
  <c r="F9" i="126"/>
  <c r="F8" i="126"/>
  <c r="E6" i="41"/>
  <c r="F6" i="41" s="1"/>
  <c r="E6" i="107"/>
  <c r="F6" i="107" s="1"/>
  <c r="F7" i="107"/>
  <c r="F8" i="107"/>
  <c r="E6" i="88"/>
  <c r="F6" i="88" s="1"/>
  <c r="F8" i="88"/>
  <c r="F7" i="88"/>
  <c r="F9" i="88"/>
  <c r="E6" i="26"/>
  <c r="F6" i="26" s="1"/>
  <c r="E6" i="84"/>
  <c r="F6" i="84" s="1"/>
  <c r="E6" i="35"/>
  <c r="F6" i="35" s="1"/>
  <c r="E6" i="57"/>
  <c r="F6" i="57" s="1"/>
  <c r="E6" i="28"/>
  <c r="F6" i="28" s="1"/>
  <c r="E6" i="27"/>
  <c r="F6" i="27" s="1"/>
  <c r="E6" i="120"/>
  <c r="F6" i="120" s="1"/>
  <c r="F8" i="120"/>
  <c r="F7" i="120"/>
  <c r="F9" i="120"/>
  <c r="E6" i="72"/>
  <c r="F6" i="72" s="1"/>
  <c r="E6" i="60"/>
  <c r="F6" i="60" s="1"/>
  <c r="E6" i="102"/>
  <c r="F7" i="102"/>
  <c r="F8" i="102"/>
  <c r="F10" i="17"/>
  <c r="F9" i="17"/>
  <c r="F11" i="17"/>
  <c r="F7" i="17"/>
  <c r="F12" i="17"/>
  <c r="F8" i="17"/>
  <c r="F11" i="11"/>
  <c r="F7" i="11"/>
  <c r="F12" i="11"/>
  <c r="F8" i="11"/>
  <c r="F10" i="11"/>
  <c r="F9" i="11"/>
  <c r="E6" i="116"/>
  <c r="F6" i="116" s="1"/>
  <c r="F8" i="116"/>
  <c r="F7" i="116"/>
  <c r="F10" i="116"/>
  <c r="F9" i="116"/>
  <c r="E6" i="59"/>
  <c r="F6" i="59" s="1"/>
  <c r="E6" i="67"/>
  <c r="F6" i="67" s="1"/>
  <c r="E6" i="3"/>
  <c r="F6" i="3" s="1"/>
  <c r="E6" i="70"/>
  <c r="F6" i="70" s="1"/>
  <c r="E6" i="64"/>
  <c r="F6" i="64" s="1"/>
  <c r="F11" i="64"/>
  <c r="F8" i="64"/>
  <c r="F7" i="64"/>
  <c r="F10" i="64"/>
  <c r="F9" i="64"/>
  <c r="E6" i="56"/>
  <c r="F6" i="56" s="1"/>
  <c r="F8" i="56"/>
  <c r="F7" i="56"/>
  <c r="E6" i="48"/>
  <c r="F6" i="48" s="1"/>
  <c r="E6" i="32"/>
  <c r="F6" i="32" s="1"/>
  <c r="E6" i="89"/>
  <c r="F6" i="89" s="1"/>
  <c r="E6" i="93"/>
  <c r="F6" i="93" s="1"/>
  <c r="F13" i="125"/>
  <c r="E6" i="125"/>
  <c r="F6" i="125" s="1"/>
  <c r="F7" i="125"/>
  <c r="F10" i="125"/>
  <c r="F12" i="125"/>
  <c r="F9" i="125"/>
  <c r="F11" i="125"/>
  <c r="F8" i="125"/>
  <c r="E6" i="94"/>
  <c r="F6" i="94" s="1"/>
  <c r="E6" i="69"/>
  <c r="F6" i="69" s="1"/>
  <c r="F8" i="69"/>
  <c r="F7" i="69"/>
  <c r="F9" i="69"/>
  <c r="E6" i="49"/>
  <c r="F6" i="49" s="1"/>
  <c r="E6" i="29"/>
  <c r="F6" i="29" s="1"/>
  <c r="E6" i="105"/>
  <c r="E6" i="38"/>
  <c r="F6" i="38" s="1"/>
  <c r="E6" i="14"/>
  <c r="F6" i="14" s="1"/>
  <c r="E6" i="53"/>
  <c r="F6" i="53" s="1"/>
  <c r="E6" i="33"/>
  <c r="F6" i="33" s="1"/>
  <c r="E6" i="43"/>
  <c r="F6" i="43" s="1"/>
  <c r="F6" i="71"/>
  <c r="E6" i="118"/>
  <c r="F6" i="118" s="1"/>
  <c r="F8" i="118"/>
  <c r="F7" i="118"/>
  <c r="F10" i="118"/>
  <c r="F9" i="118"/>
  <c r="E6" i="117"/>
  <c r="F6" i="117" s="1"/>
  <c r="F8" i="117"/>
  <c r="F7" i="117"/>
  <c r="F10" i="117"/>
  <c r="F9" i="117"/>
  <c r="E6" i="109"/>
  <c r="F6" i="109" s="1"/>
  <c r="F8" i="109"/>
  <c r="F7" i="109"/>
  <c r="F9" i="109"/>
  <c r="E6" i="121"/>
  <c r="F6" i="121" s="1"/>
  <c r="F8" i="121"/>
  <c r="F7" i="121"/>
  <c r="E6" i="119"/>
  <c r="F6" i="119" s="1"/>
  <c r="F8" i="119"/>
  <c r="F7" i="119"/>
  <c r="F10" i="119"/>
  <c r="F9" i="119"/>
  <c r="E6" i="22"/>
  <c r="F6" i="22" s="1"/>
  <c r="E6" i="98"/>
  <c r="F6" i="98" s="1"/>
  <c r="F7" i="98"/>
  <c r="E6" i="12"/>
  <c r="F6" i="12" s="1"/>
  <c r="F6" i="6"/>
  <c r="E6" i="61"/>
  <c r="F6" i="61" s="1"/>
  <c r="E6" i="10"/>
  <c r="F6" i="10" s="1"/>
  <c r="E6" i="66"/>
  <c r="F6" i="66" s="1"/>
  <c r="E6" i="50"/>
  <c r="F6" i="50" s="1"/>
  <c r="E6" i="99"/>
  <c r="F6" i="99" s="1"/>
  <c r="F7" i="99"/>
  <c r="E6" i="90"/>
  <c r="F6" i="90" s="1"/>
  <c r="F7" i="90"/>
  <c r="E6" i="129"/>
  <c r="F6" i="129" s="1"/>
  <c r="F7" i="129"/>
  <c r="F9" i="129"/>
  <c r="F8" i="129"/>
  <c r="E6" i="85"/>
  <c r="F6" i="85" s="1"/>
  <c r="F8" i="85"/>
  <c r="F7" i="85"/>
  <c r="E6" i="106"/>
  <c r="F6" i="106" s="1"/>
  <c r="F7" i="106"/>
  <c r="F10" i="106"/>
  <c r="F9" i="106"/>
  <c r="F11" i="106"/>
  <c r="F8" i="106"/>
  <c r="E6" i="128"/>
  <c r="F6" i="128" s="1"/>
  <c r="F13" i="128"/>
  <c r="F7" i="128"/>
  <c r="F10" i="128"/>
  <c r="F12" i="128"/>
  <c r="F9" i="128"/>
  <c r="F11" i="128"/>
  <c r="F8" i="128"/>
  <c r="E6" i="115"/>
  <c r="F6" i="115" s="1"/>
  <c r="F8" i="115"/>
  <c r="F7" i="115"/>
  <c r="F10" i="115"/>
  <c r="F9" i="115"/>
  <c r="E6" i="20"/>
  <c r="F6" i="20" s="1"/>
  <c r="E6" i="8"/>
  <c r="F6" i="8" s="1"/>
  <c r="E6" i="86"/>
  <c r="F6" i="86" s="1"/>
  <c r="F8" i="86"/>
  <c r="F7" i="86"/>
  <c r="E6" i="75"/>
  <c r="F6" i="75" s="1"/>
  <c r="F11" i="75"/>
  <c r="F8" i="75"/>
  <c r="F7" i="75"/>
  <c r="F10" i="75"/>
  <c r="F12" i="75"/>
  <c r="F9" i="75"/>
  <c r="E6" i="68"/>
  <c r="F6" i="68" s="1"/>
  <c r="E6" i="62"/>
  <c r="F6" i="62" s="1"/>
  <c r="F8" i="62"/>
  <c r="F7" i="62"/>
  <c r="F10" i="62"/>
  <c r="F9" i="62"/>
  <c r="E6" i="54"/>
  <c r="F6" i="54" s="1"/>
  <c r="E6" i="30"/>
  <c r="F6" i="30" s="1"/>
  <c r="E6" i="92"/>
  <c r="F6" i="92" s="1"/>
  <c r="E6" i="82"/>
  <c r="F6" i="82" s="1"/>
  <c r="E6" i="13"/>
  <c r="F6" i="13" s="1"/>
  <c r="E6" i="108"/>
  <c r="F6" i="108" s="1"/>
  <c r="F7" i="108"/>
  <c r="E6" i="122"/>
  <c r="F6" i="122" s="1"/>
  <c r="F8" i="122"/>
  <c r="F7" i="122"/>
  <c r="F9" i="122"/>
  <c r="E6" i="87"/>
  <c r="F6" i="87" s="1"/>
  <c r="F10" i="87"/>
  <c r="F7" i="87"/>
  <c r="F9" i="87"/>
  <c r="F8" i="87"/>
  <c r="E6" i="63"/>
  <c r="F6" i="63" s="1"/>
  <c r="E6" i="47"/>
  <c r="F6" i="47" s="1"/>
  <c r="E6" i="111"/>
  <c r="F6" i="111" s="1"/>
  <c r="F8" i="111"/>
  <c r="F7" i="111"/>
  <c r="F9" i="111"/>
  <c r="E6" i="96"/>
  <c r="F6" i="96" s="1"/>
  <c r="E6" i="44"/>
  <c r="F6" i="44" s="1"/>
  <c r="E6" i="18"/>
  <c r="F6" i="18" s="1"/>
  <c r="E6" i="97"/>
  <c r="F6" i="97" s="1"/>
  <c r="F11" i="97"/>
  <c r="F8" i="97"/>
  <c r="F7" i="97"/>
  <c r="F10" i="97"/>
  <c r="F9" i="97"/>
  <c r="E6" i="101"/>
  <c r="F6" i="101" s="1"/>
  <c r="F8" i="101"/>
  <c r="F7" i="101"/>
  <c r="F9" i="101"/>
  <c r="E6" i="110"/>
  <c r="F6" i="110" s="1"/>
  <c r="F11" i="110"/>
  <c r="F8" i="110"/>
  <c r="F7" i="110"/>
  <c r="F10" i="110"/>
  <c r="F9" i="110"/>
  <c r="E6" i="37"/>
  <c r="F6" i="37" s="1"/>
  <c r="E6" i="124"/>
  <c r="F6" i="124" s="1"/>
  <c r="F7" i="124"/>
  <c r="F9" i="124"/>
  <c r="F8" i="124"/>
  <c r="E6" i="36"/>
  <c r="F6" i="36" s="1"/>
  <c r="E6" i="77"/>
  <c r="F6" i="77" s="1"/>
  <c r="F9" i="77"/>
  <c r="F12" i="77"/>
  <c r="F7" i="77"/>
  <c r="F10" i="77"/>
  <c r="F8" i="77"/>
  <c r="F11" i="77"/>
  <c r="E13" i="81"/>
  <c r="E6" i="80"/>
  <c r="F6" i="80" s="1"/>
  <c r="E6" i="100"/>
  <c r="F6" i="100" s="1"/>
  <c r="F7" i="100"/>
  <c r="E6" i="51"/>
  <c r="F6" i="51" s="1"/>
  <c r="E6" i="34"/>
  <c r="F6" i="34" s="1"/>
  <c r="E6" i="31"/>
  <c r="F6" i="31" s="1"/>
  <c r="E6" i="76"/>
  <c r="F6" i="76" s="1"/>
  <c r="F11" i="76"/>
  <c r="F8" i="76"/>
  <c r="F7" i="76"/>
  <c r="F10" i="76"/>
  <c r="F12" i="76"/>
  <c r="F9" i="76"/>
  <c r="E6" i="58"/>
  <c r="F6" i="58" s="1"/>
  <c r="E6" i="55"/>
  <c r="F6" i="55" s="1"/>
  <c r="F7" i="55"/>
  <c r="F8" i="55"/>
  <c r="F9" i="55"/>
  <c r="F6" i="7"/>
  <c r="E6" i="79"/>
  <c r="F6" i="79" s="1"/>
  <c r="E6" i="73"/>
  <c r="F6" i="73" s="1"/>
  <c r="F6" i="103"/>
  <c r="F6" i="105"/>
  <c r="F9" i="95"/>
  <c r="F8" i="95"/>
  <c r="F7" i="95"/>
  <c r="F10" i="95"/>
  <c r="F6" i="102"/>
  <c r="E6" i="5"/>
  <c r="F6" i="5" s="1"/>
  <c r="F6" i="95"/>
  <c r="E13" i="127"/>
  <c r="E26" i="28"/>
  <c r="E13" i="91"/>
  <c r="E13" i="114"/>
  <c r="E28" i="28"/>
  <c r="E13" i="113"/>
  <c r="E25" i="28"/>
  <c r="E20" i="26"/>
  <c r="E21" i="26"/>
  <c r="E21" i="13"/>
  <c r="E20" i="18"/>
  <c r="E21" i="18"/>
  <c r="E20" i="13"/>
  <c r="E27" i="25"/>
  <c r="E18" i="13"/>
  <c r="E25" i="25"/>
  <c r="E28" i="25"/>
  <c r="E6" i="16"/>
  <c r="F6" i="16" s="1"/>
  <c r="E6" i="25"/>
  <c r="F6" i="25" s="1"/>
  <c r="E6" i="19"/>
  <c r="F6" i="19" s="1"/>
  <c r="E6" i="17"/>
  <c r="F6" i="17" s="1"/>
  <c r="E6" i="15"/>
  <c r="F6" i="15" s="1"/>
  <c r="E6" i="11"/>
  <c r="F6" i="11" s="1"/>
  <c r="E6" i="9"/>
  <c r="F6" i="9" s="1"/>
  <c r="E6" i="21"/>
  <c r="F6" i="21" s="1"/>
  <c r="E6" i="24"/>
  <c r="F6" i="24" s="1"/>
  <c r="C11" i="78"/>
  <c r="D11" i="78"/>
  <c r="F13" i="113" l="1"/>
  <c r="F11" i="113"/>
  <c r="F12" i="113"/>
  <c r="F13" i="91"/>
  <c r="F11" i="91"/>
  <c r="F8" i="91"/>
  <c r="F7" i="91"/>
  <c r="F10" i="91"/>
  <c r="F12" i="91"/>
  <c r="F9" i="91"/>
  <c r="F13" i="114"/>
  <c r="F10" i="114"/>
  <c r="F12" i="114"/>
  <c r="F11" i="114"/>
  <c r="F13" i="39"/>
  <c r="F7" i="39"/>
  <c r="F9" i="39"/>
  <c r="F11" i="39"/>
  <c r="F10" i="39"/>
  <c r="F8" i="39"/>
  <c r="F12" i="39"/>
  <c r="F13" i="81"/>
  <c r="F11" i="81"/>
  <c r="F12" i="81"/>
  <c r="E11" i="78"/>
  <c r="F13" i="75"/>
  <c r="F13" i="77"/>
  <c r="E6" i="114"/>
  <c r="F6" i="114" s="1"/>
  <c r="F7" i="114"/>
  <c r="F8" i="114"/>
  <c r="F9" i="114"/>
  <c r="F13" i="127"/>
  <c r="E6" i="127"/>
  <c r="F6" i="127" s="1"/>
  <c r="F7" i="127"/>
  <c r="F10" i="127"/>
  <c r="F12" i="127"/>
  <c r="F9" i="127"/>
  <c r="F11" i="127"/>
  <c r="F8" i="127"/>
  <c r="F13" i="76"/>
  <c r="F8" i="78"/>
  <c r="F7" i="78"/>
  <c r="E6" i="113"/>
  <c r="F6" i="113" s="1"/>
  <c r="F8" i="113"/>
  <c r="F7" i="113"/>
  <c r="F10" i="113"/>
  <c r="F9" i="113"/>
  <c r="E6" i="91"/>
  <c r="F6" i="91" s="1"/>
  <c r="F8" i="81"/>
  <c r="F7" i="81"/>
  <c r="F10" i="81"/>
  <c r="F9" i="81"/>
  <c r="E6" i="40"/>
  <c r="F6" i="40" s="1"/>
  <c r="E6" i="81"/>
  <c r="F6" i="81" s="1"/>
  <c r="E6" i="78" l="1"/>
  <c r="F6" i="78" s="1"/>
  <c r="F11" i="78"/>
  <c r="F10" i="78"/>
  <c r="F9" i="78"/>
</calcChain>
</file>

<file path=xl/sharedStrings.xml><?xml version="1.0" encoding="utf-8"?>
<sst xmlns="http://schemas.openxmlformats.org/spreadsheetml/2006/main" count="14135" uniqueCount="512">
  <si>
    <t>ORIENTAÇÕES DE ANÁLISE DE RESULTADO E INFORMAÇÕES GERAIS</t>
  </si>
  <si>
    <t>EIXO 4 POLÍTICAS DE ENSINO PESQUISA E EXTENSÃO</t>
  </si>
  <si>
    <t>O Eixo 4 possui 4 tipos de questões, com escalas e opções de respostas diferentes (ver aba TítuloQuestões):</t>
  </si>
  <si>
    <t>A</t>
  </si>
  <si>
    <t>Questões tipo A</t>
  </si>
  <si>
    <t>B</t>
  </si>
  <si>
    <t>Questões tipo B</t>
  </si>
  <si>
    <t>C</t>
  </si>
  <si>
    <t>Questões tipo C</t>
  </si>
  <si>
    <t>P</t>
  </si>
  <si>
    <t>Questões tipo P</t>
  </si>
  <si>
    <t>A aba "Eixo 4" é o arquivo base, ou seja, as respostas coletadas na pesquisa (não há identificação de servidores).</t>
  </si>
  <si>
    <r>
      <t xml:space="preserve">PERCENTUAIS GERAIS DE DE PARTICIPAÇÃO POR EIXO </t>
    </r>
    <r>
      <rPr>
        <b/>
        <vertAlign val="superscript"/>
        <sz val="10"/>
        <color rgb="FFFF0000"/>
        <rFont val="Arial"/>
        <family val="2"/>
      </rPr>
      <t>1</t>
    </r>
  </si>
  <si>
    <t>Eixo 4</t>
  </si>
  <si>
    <t>Qtde. Servidores</t>
  </si>
  <si>
    <t>Eixo 4 (%)</t>
  </si>
  <si>
    <t>tecnico</t>
  </si>
  <si>
    <t>docente</t>
  </si>
  <si>
    <t>total</t>
  </si>
  <si>
    <t>Considera a quantidade de servidores Geral/Unidades com base na folha de pagamento de dezembro/2021 (ativos), conforme dados abertos da Progepe, do qual foram segmentados os servidores por unidades. O arquivo está disponível em pasta específica neste Drive para conferência. Na segmentação é importante atentar para os servidores em Lotação Temporária, cujas unidades não foram identificadas, e outras variáveis, como afastamentos e cessões para outros órgãos.</t>
  </si>
  <si>
    <t>Para análise, considere os critérios abaixo, quando possível:</t>
  </si>
  <si>
    <t>Cada questão/subquestão apresenta os percentuais de participação seguida de critérios para análise dos resultados conforme descrição abaixo, com vistas a apoiar a tomada de decisão e a formulação de ações quando necessário.</t>
  </si>
  <si>
    <t xml:space="preserve">QUESTÕES TIPO A </t>
  </si>
  <si>
    <t>Atenção</t>
  </si>
  <si>
    <t>Não sei responder/Não se aplica</t>
  </si>
  <si>
    <t>EXCELENTE/ÓTIMO</t>
  </si>
  <si>
    <t>Urgência</t>
  </si>
  <si>
    <t>Péssimo + Ruim</t>
  </si>
  <si>
    <t>BOM</t>
  </si>
  <si>
    <t>Aprimoramento</t>
  </si>
  <si>
    <t>Regular</t>
  </si>
  <si>
    <t>REGULAR</t>
  </si>
  <si>
    <t>Manutenção</t>
  </si>
  <si>
    <t>Bom + Excelente</t>
  </si>
  <si>
    <t>D</t>
  </si>
  <si>
    <t>RUIM</t>
  </si>
  <si>
    <t>E</t>
  </si>
  <si>
    <t>PÉSSIMO</t>
  </si>
  <si>
    <t>Questões tipo B e P</t>
  </si>
  <si>
    <t>F</t>
  </si>
  <si>
    <t xml:space="preserve">NÃO SEI RESPONDER </t>
  </si>
  <si>
    <t>As questões tipo B e P dispensam critérios</t>
  </si>
  <si>
    <t>G</t>
  </si>
  <si>
    <t>NÃO SE APLICA</t>
  </si>
  <si>
    <t>H</t>
  </si>
  <si>
    <t>SEM RESPOSTA</t>
  </si>
  <si>
    <t>Critérios de classificação</t>
  </si>
  <si>
    <t>Tipo de ação</t>
  </si>
  <si>
    <t>A+B</t>
  </si>
  <si>
    <t>MANUTENÇÃO</t>
  </si>
  <si>
    <t>APRIMORAMENTO</t>
  </si>
  <si>
    <t>D+E</t>
  </si>
  <si>
    <t>URGÊNCIA</t>
  </si>
  <si>
    <t>F+G (e/ou)</t>
  </si>
  <si>
    <t>ATENCÃO</t>
  </si>
  <si>
    <t>Vínculo</t>
  </si>
  <si>
    <t>Setor</t>
  </si>
  <si>
    <t>4.01</t>
  </si>
  <si>
    <t>4.02</t>
  </si>
  <si>
    <t>4.03</t>
  </si>
  <si>
    <t>4.04</t>
  </si>
  <si>
    <t>4.05</t>
  </si>
  <si>
    <t>4.06</t>
  </si>
  <si>
    <t>4.07</t>
  </si>
  <si>
    <t>4.08</t>
  </si>
  <si>
    <t>4.09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</si>
  <si>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</si>
  <si>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</si>
  <si>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</si>
  <si>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</si>
  <si>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</si>
  <si>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</si>
  <si>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</si>
  <si>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</si>
  <si>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</si>
  <si>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4.19</t>
  </si>
  <si>
    <t>4.20</t>
  </si>
  <si>
    <t>4.21</t>
  </si>
  <si>
    <t>4.22</t>
  </si>
  <si>
    <t>4.23</t>
  </si>
  <si>
    <t>4.24</t>
  </si>
  <si>
    <t>4.25</t>
  </si>
  <si>
    <t>4.26</t>
  </si>
  <si>
    <t>4.27</t>
  </si>
  <si>
    <t>4.28</t>
  </si>
  <si>
    <t>4.29</t>
  </si>
  <si>
    <t>4.30</t>
  </si>
  <si>
    <t>4.31</t>
  </si>
  <si>
    <t>4.32</t>
  </si>
  <si>
    <t>4.33</t>
  </si>
  <si>
    <t>4.34</t>
  </si>
  <si>
    <t>4.35</t>
  </si>
  <si>
    <t>4.36</t>
  </si>
  <si>
    <t>4.37</t>
  </si>
  <si>
    <t>4.38</t>
  </si>
  <si>
    <t>4.39</t>
  </si>
  <si>
    <t>4.40</t>
  </si>
  <si>
    <t>4.41</t>
  </si>
  <si>
    <t>4.42</t>
  </si>
  <si>
    <t>4.43</t>
  </si>
  <si>
    <t>4.44</t>
  </si>
  <si>
    <t>4.45</t>
  </si>
  <si>
    <t>4.46</t>
  </si>
  <si>
    <t>4.47</t>
  </si>
  <si>
    <t>4.48</t>
  </si>
  <si>
    <t>4.49</t>
  </si>
  <si>
    <t>4.50</t>
  </si>
  <si>
    <t>4.51</t>
  </si>
  <si>
    <t>4.52</t>
  </si>
  <si>
    <t>4.53</t>
  </si>
  <si>
    <t>4.54</t>
  </si>
  <si>
    <t>4.55</t>
  </si>
  <si>
    <t>4.56</t>
  </si>
  <si>
    <t>4.57</t>
  </si>
  <si>
    <t>4.58</t>
  </si>
  <si>
    <t>4.59</t>
  </si>
  <si>
    <t>4.60</t>
  </si>
  <si>
    <t>4.61</t>
  </si>
  <si>
    <t>4.62</t>
  </si>
  <si>
    <t>4.63</t>
  </si>
  <si>
    <t>4.64</t>
  </si>
  <si>
    <t>4.65</t>
  </si>
  <si>
    <t>4.66</t>
  </si>
  <si>
    <t>4.67</t>
  </si>
  <si>
    <t>4.68</t>
  </si>
  <si>
    <t>4.69</t>
  </si>
  <si>
    <t>4.70</t>
  </si>
  <si>
    <t>4.71</t>
  </si>
  <si>
    <t>4.72</t>
  </si>
  <si>
    <t>4.73</t>
  </si>
  <si>
    <t>4.74</t>
  </si>
  <si>
    <t>4.75</t>
  </si>
  <si>
    <t>4.76</t>
  </si>
  <si>
    <t>4.77</t>
  </si>
  <si>
    <t>4.78</t>
  </si>
  <si>
    <t>4.79</t>
  </si>
  <si>
    <t>4.80</t>
  </si>
  <si>
    <t>4.81</t>
  </si>
  <si>
    <t>4.82</t>
  </si>
  <si>
    <t>4.83</t>
  </si>
  <si>
    <t>4.84</t>
  </si>
  <si>
    <t>4.85</t>
  </si>
  <si>
    <t>4.86</t>
  </si>
  <si>
    <t>4.87</t>
  </si>
  <si>
    <t>4.88</t>
  </si>
  <si>
    <t>4.89</t>
  </si>
  <si>
    <t>4.90</t>
  </si>
  <si>
    <t>4.91</t>
  </si>
  <si>
    <t>4.92</t>
  </si>
  <si>
    <t>4.93</t>
  </si>
  <si>
    <t>4.94</t>
  </si>
  <si>
    <t>4.95</t>
  </si>
  <si>
    <t>4.96</t>
  </si>
  <si>
    <t>4.97</t>
  </si>
  <si>
    <t>4.98</t>
  </si>
  <si>
    <t>4.99</t>
  </si>
  <si>
    <t>4.100</t>
  </si>
  <si>
    <t>4.101</t>
  </si>
  <si>
    <t>4.102</t>
  </si>
  <si>
    <t>4.103</t>
  </si>
  <si>
    <t>4.104</t>
  </si>
  <si>
    <t>4.105</t>
  </si>
  <si>
    <t>4.106</t>
  </si>
  <si>
    <t>4.107</t>
  </si>
  <si>
    <t>4.108</t>
  </si>
  <si>
    <t>4.109</t>
  </si>
  <si>
    <t>4.110</t>
  </si>
  <si>
    <t>4.111</t>
  </si>
  <si>
    <t>4.112</t>
  </si>
  <si>
    <t>4.113</t>
  </si>
  <si>
    <t>4.114</t>
  </si>
  <si>
    <t>4.115</t>
  </si>
  <si>
    <t>4.116</t>
  </si>
  <si>
    <t>4.117</t>
  </si>
  <si>
    <t>4.118</t>
  </si>
  <si>
    <t>4.119</t>
  </si>
  <si>
    <t>4.120</t>
  </si>
  <si>
    <t>4.121</t>
  </si>
  <si>
    <t>4.122</t>
  </si>
  <si>
    <t>4.123</t>
  </si>
  <si>
    <t>4.124</t>
  </si>
  <si>
    <t>4.125</t>
  </si>
  <si>
    <t>4.126</t>
  </si>
  <si>
    <t>4.127</t>
  </si>
  <si>
    <t>4.128</t>
  </si>
  <si>
    <t>4.129</t>
  </si>
  <si>
    <t>4.130</t>
  </si>
  <si>
    <t>4.131</t>
  </si>
  <si>
    <t>4.132</t>
  </si>
  <si>
    <t>4.133</t>
  </si>
  <si>
    <t>4.134</t>
  </si>
  <si>
    <t>4.135</t>
  </si>
  <si>
    <t>4.136</t>
  </si>
  <si>
    <t>ET</t>
  </si>
  <si>
    <t>Não</t>
  </si>
  <si>
    <t>NULL</t>
  </si>
  <si>
    <t>Técnico</t>
  </si>
  <si>
    <t>Não tive condições em acessar as ações</t>
  </si>
  <si>
    <t>Sim</t>
  </si>
  <si>
    <t>Bom</t>
  </si>
  <si>
    <t>Excelente</t>
  </si>
  <si>
    <t>Não sei responder</t>
  </si>
  <si>
    <t>Ruim</t>
  </si>
  <si>
    <t>Não se aplica</t>
  </si>
  <si>
    <t>Não são atividades do meu interesse</t>
  </si>
  <si>
    <t>Outro</t>
  </si>
  <si>
    <t>Péssimo</t>
  </si>
  <si>
    <t>Não tive conhecimento das ações</t>
  </si>
  <si>
    <t>Docente</t>
  </si>
  <si>
    <t>Número_Questão</t>
  </si>
  <si>
    <t>Tipo_Questão</t>
  </si>
  <si>
    <t>Título_Questão</t>
  </si>
  <si>
    <t>TítuloGráfico</t>
  </si>
  <si>
    <t>Observações</t>
  </si>
  <si>
    <t>Por gentileza, escolha Sim se você deseja avaliar temas do ensino da graduação; se quiser prosseguir, escolha Não:</t>
  </si>
  <si>
    <t>Eixo 4: Questão 1</t>
  </si>
  <si>
    <t>Com relação ao ensino da graduação, avalie: [A consonância entre os fins da instituição e o currículo e a organização didático-pedagógica (métodos, metodologias, planos de ensino e de aprendizagem e avaliação da aprendizagem)]</t>
  </si>
  <si>
    <t>Eixo 4: Questão 2</t>
  </si>
  <si>
    <t>Com relação ao ensino da graduação, avalie: [As práticas pedagógicas que facilitam o processo participativo de construção do conhecimento]</t>
  </si>
  <si>
    <t>Eixo 4: Questão 3</t>
  </si>
  <si>
    <t>Com relação ao ensino da graduação, avalie: [As práticas institucionais que estimulam o uso de novas tecnologias no ensino]</t>
  </si>
  <si>
    <t>Eixo 4: Questão 4</t>
  </si>
  <si>
    <r>
      <t xml:space="preserve">Com relação ao ensino da graduação, avalie: [As ações de orientação e de acompanhamento dos cursos que recebem avaliação </t>
    </r>
    <r>
      <rPr>
        <i/>
        <sz val="10"/>
        <rFont val="Arial"/>
        <family val="2"/>
      </rPr>
      <t>in loco</t>
    </r>
    <r>
      <rPr>
        <sz val="10"/>
        <rFont val="Arial"/>
        <family val="2"/>
      </rPr>
      <t>]</t>
    </r>
  </si>
  <si>
    <t>Eixo 4: Questão 5</t>
  </si>
  <si>
    <t>Com relação ao ensino da graduação, avalie: [A oferta de disciplinas de pós-graduação a estudantes egressos da graduação]</t>
  </si>
  <si>
    <t>Eixo 4: Questão 6</t>
  </si>
  <si>
    <t>Com relação ao ensino da graduação, avalie: [A integração entre graduação e pós-graduação e pesquisa]</t>
  </si>
  <si>
    <t>Eixo 4: Questão 7</t>
  </si>
  <si>
    <t>Com relação ao ensino da graduação, avalie: [O planejamento, a organização e as orientações para a realização da Feira de Profissões]</t>
  </si>
  <si>
    <t>Eixo 4: Questão 8</t>
  </si>
  <si>
    <t>Com relação ao ensino da graduação, avalie: [As políticas de orientação de revisão curricular para a implantação de disciplinas híbridas]</t>
  </si>
  <si>
    <t>Eixo 4: Questão 9</t>
  </si>
  <si>
    <t>Com relação ao ensino da graduação, avalie: [As políticas de revisão curricular para adequação aos objetivos institucionais, às demandas sociais e às necessidades individuais]</t>
  </si>
  <si>
    <t>Eixo 4: Questão 10</t>
  </si>
  <si>
    <t>Com relação ao ensino da graduação, avalie: [As políticas e ações que visam à redução da evasão nos cursos]</t>
  </si>
  <si>
    <t>Eixo 4: Questão 11</t>
  </si>
  <si>
    <t>Com relação ao ensino da graduação, avalie: [As políticas e ações de acompanhamento de egressos visando à atualização do currículo conforme demanda da sociedade e do mercado de trabalho]</t>
  </si>
  <si>
    <t>Eixo 4: Questão 12</t>
  </si>
  <si>
    <t>Com relação ao ensino da graduação, avalie: [Os programas de monitoria e tutoria com vistas a diminuir a retenção nos cursos]</t>
  </si>
  <si>
    <t>Eixo 4: Questão 13</t>
  </si>
  <si>
    <t>Com relação ao ensino da graduação, avalie: [A atuação do coordenador do curso com o qual você tem mais contato]</t>
  </si>
  <si>
    <t>Eixo 4: Questão 14</t>
  </si>
  <si>
    <t>Com relação ao ensino da graduação, avalie: [A articulação da gestão do curso com a gestão institucional]</t>
  </si>
  <si>
    <t>Eixo 4: Questão 15</t>
  </si>
  <si>
    <t>Com relação ao ensino da graduação, avalie: [A implementação das políticas institucionais constantes no PPI e no PDI, no âmbito do curso]</t>
  </si>
  <si>
    <t>Eixo 4: Questão 16</t>
  </si>
  <si>
    <t>Com relação ao ensino da graduação, avalie: [A orientação e os procedimentos para a formalização de Estágios]</t>
  </si>
  <si>
    <t>Eixo 4: Questão 17</t>
  </si>
  <si>
    <t>Aberta</t>
  </si>
  <si>
    <t>Comentários e sugestões para o tema do ensino da graduação:</t>
  </si>
  <si>
    <t>Eixo 4: Questão 18</t>
  </si>
  <si>
    <t>ver arquivo específico</t>
  </si>
  <si>
    <t>As próximas questões abordam temas da pesquisa científica e tecnológica. Por gentileza, escolha Sim para avaliar; se quiser prosseguir, escolha Não:</t>
  </si>
  <si>
    <t>Eixo 4: Questão 19</t>
  </si>
  <si>
    <t>Sobre as políticas e ações que envolvem o desenvolvimento da pesquisa científica e tecnológica, avalie: [O banco de projetos de pesquisa científica e desenvolvimento tecnológico (BPP/UFPR)]</t>
  </si>
  <si>
    <t>Eixo 4: Questão 20</t>
  </si>
  <si>
    <t>Sobre as políticas e ações que envolvem o desenvolvimento da pesquisa científica e tecnológica, avalie: [A atuação do Comitê Setorial de Pesquisa – CSPq]</t>
  </si>
  <si>
    <t>Eixo 4: Questão 21</t>
  </si>
  <si>
    <t>Sobre as políticas e ações que envolvem o desenvolvimento da pesquisa científica e tecnológica, avalie: [As políticas de acompanhamento de projetos de pesquisa científica e tecnológica]</t>
  </si>
  <si>
    <t>Eixo 4: Questão 22</t>
  </si>
  <si>
    <t>Sobre as políticas e ações que envolvem o desenvolvimento da pesquisa científica e tecnológica, avalie: [O acesso a bases de indexação pela UFPR]</t>
  </si>
  <si>
    <t>Eixo 4: Questão 23</t>
  </si>
  <si>
    <t>A pergunta a seguir é sobre os editais anuais de apoio à pesquisa ofertados pela UFPR. Antes de responder, por gentileza, escolha seu perfil</t>
  </si>
  <si>
    <t>Eixo 4: Questão 24</t>
  </si>
  <si>
    <t>Informativa para uso da PRPPG</t>
  </si>
  <si>
    <t>Com relação à oferta de editais anuais de apoio à pesquisa destinados aos docentes, avalie os itens a seguir: [Edital de Apoio a Atividades de Pesquisa]</t>
  </si>
  <si>
    <t>Eixo 4: Questão 25</t>
  </si>
  <si>
    <t>Com relação à oferta de editais anuais de apoio à pesquisa destinados aos docentes, avalie os itens a seguir: [Edital de Apoio à Manutenção de Equipamentos de Pesquisa]</t>
  </si>
  <si>
    <t>Eixo 4: Questão 26</t>
  </si>
  <si>
    <t>Com relação à oferta de editais anuais de apoio à pesquisa destinados aos docentes, avalie os itens a seguir: [Edital de Apoio a Publicações Científicas Internacionais]</t>
  </si>
  <si>
    <t>Eixo 4: Questão 27</t>
  </si>
  <si>
    <t>Com relação à oferta de editais anuais de apoio à pesquisa destinados aos docentes, avalie os itens a seguir: [Edital de apoio à participação e organização de eventos]</t>
  </si>
  <si>
    <t>Eixo 4: Questão 28</t>
  </si>
  <si>
    <t>Com relação à oferta de editais anuais de apoio à pesquisa destinados aos técnicos, avalie os itens a seguir: [Edital de Apoio a Atividades de Pesquisa]</t>
  </si>
  <si>
    <t>Eixo 4: Questão 29</t>
  </si>
  <si>
    <t>Com relação à oferta de editais anuais de apoio à pesquisa destinados aos técnicos, avalie os itens a seguir: [Edital de Apoio à Manutenção de Equipamentos de Pesquisa]</t>
  </si>
  <si>
    <t>Eixo 4: Questão 30</t>
  </si>
  <si>
    <t>Com relação à oferta de editais anuais de apoio à pesquisa destinados aos técnicos, avalie os itens a seguir: [Edital de Apoio a Publicações Científicas Internacionais]</t>
  </si>
  <si>
    <t>Eixo 4: Questão 31</t>
  </si>
  <si>
    <t>Com relação à oferta de editais anuais de apoio à pesquisa destinados aos técnicos, avalie os itens a seguir: [Edital de apoio à participação e organização de eventos]</t>
  </si>
  <si>
    <t>Eixo 4: Questão 32</t>
  </si>
  <si>
    <t>Você participa de algum grupo de pesquisa?</t>
  </si>
  <si>
    <t>Eixo 4: Questão 33</t>
  </si>
  <si>
    <t>Com relação aos grupos de pesquisa, avalie: [O grupo de pesquisa como fórum de discussão e ampliação de conhecimento]</t>
  </si>
  <si>
    <t>Eixo 4: Questão 34</t>
  </si>
  <si>
    <t>Com relação aos grupos de pesquisa, avalie: [O fomento à Rede de Contatos Futuros (pesquisadores, empresas, etc.)]</t>
  </si>
  <si>
    <t>Eixo 4: Questão 35</t>
  </si>
  <si>
    <t>Com relação aos grupos de pesquisa, avalie: [O impacto da interação com outros grupos de pesquisa no projeto de pesquisa em andamento]</t>
  </si>
  <si>
    <t>Eixo 4: Questão 36</t>
  </si>
  <si>
    <t>Comentários e sugestões para o tema da pesquisa científica e tecnológica:</t>
  </si>
  <si>
    <t>Eixo 4: Questão 37</t>
  </si>
  <si>
    <t>Você orienta ou participa do Programa de Iniciação Científica e Tecnológica?</t>
  </si>
  <si>
    <t>Eixo 4: Questão 38</t>
  </si>
  <si>
    <t xml:space="preserve">A </t>
  </si>
  <si>
    <t>Considerando o Programa de Iniciação Científica e Tecnológica, avalie: [As políticas e normas do Programa de Iniciação Científica e de Desenvolvimento Tecnológico e Inovação (PICDTI) da UFPR]</t>
  </si>
  <si>
    <t>Eixo 4: Questão 39</t>
  </si>
  <si>
    <t>Considerando o Programa de Iniciação Científica e Tecnológica, avalie: [Os programas institucionais de bolsas (PIBIC, PIBIC - Af, PIBITI e PIBIC EM) quanto aos editais]</t>
  </si>
  <si>
    <t>Eixo 4: Questão 40</t>
  </si>
  <si>
    <t>Considerando o Programa de Iniciação Científica e Tecnológica, avalie: [Os programas institucionais de bolsas (PIBIC, PIBIC - Af, PIBITI e PIBIC EM) quanto ao processo seletivo]</t>
  </si>
  <si>
    <t>Eixo 4: Questão 41</t>
  </si>
  <si>
    <t>Considerando o Programa de Iniciação Científica e Tecnológica, avalie: [Os programas institucionais de bolsas (PIBIC, PIBIC - Af, PIBITI e PIBIC EM) quanto ao cadastro de informações]</t>
  </si>
  <si>
    <t>Eixo 4: Questão 42</t>
  </si>
  <si>
    <t>Considerando o Programa de Iniciação Científica e Tecnológica, avalie: [A disponibilidade de bolsas]</t>
  </si>
  <si>
    <t>Eixo 4: Questão 43</t>
  </si>
  <si>
    <t>Considerando o Programa de Iniciação Científica e Tecnológica, avalie: [A compatibilidade da formação do aluno com o projeto]</t>
  </si>
  <si>
    <t>Eixo 4: Questão 44</t>
  </si>
  <si>
    <t>Considerando o Programa de Iniciação Científica e Tecnológica, avalie: [A disponibilidade do aluno para as atividades de pesquisa]</t>
  </si>
  <si>
    <t>Eixo 4: Questão 45</t>
  </si>
  <si>
    <t>Considerando o Programa de Iniciação Científica e Tecnológica, avalie: [As melhorias das expectativas profissionais do aluno (acesso à PG ou ao mercado de trabalho)]</t>
  </si>
  <si>
    <t>Eixo 4: Questão 46</t>
  </si>
  <si>
    <t>Considerando o Programa de Iniciação Científica e Tecnológica, avalie: [O desempenho do aluno em relação ao seu desenvolvimento, considerando os objetivos acadêmicos e sociais do programa]</t>
  </si>
  <si>
    <t>Eixo 4: Questão 47</t>
  </si>
  <si>
    <t>Considerando o Programa de Iniciação Científica e Tecnológica, avalie: [O calendário de atividades]</t>
  </si>
  <si>
    <t>Eixo 4: Questão 48</t>
  </si>
  <si>
    <t>Comentários e sugestões para o tema da iniciação científica e tecnológica:</t>
  </si>
  <si>
    <t>Eixo 4: Questão 49</t>
  </si>
  <si>
    <t>Você está envolvido/a e/ou participou de atividades de extensão na UFPR (na condição de coordenação de atividade, membro de equipe, Comitê Setorial de Extensão, CAEX ou gestão/planejamento da política de extensão)?</t>
  </si>
  <si>
    <t>Eixo 4: Questão 50</t>
  </si>
  <si>
    <t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t>
  </si>
  <si>
    <t>Eixo 4: Questão 51</t>
  </si>
  <si>
    <t>Avalie as ações de orientação da Comissão de Implantação da Creditação da Extensão na UFPR (PROEC e PROGRAD) para revisão curricular visando implementar a creditação da extensão nos cursos:</t>
  </si>
  <si>
    <t>Eixo 4: Questão 52</t>
  </si>
  <si>
    <t>Avalie o suporte do Comitê Setorial de Extensão para o desenvolvimento das atividades extensionistas, considerando os seguintes pontos: [Incentivo para o desenvolvimento da extensão]</t>
  </si>
  <si>
    <t>Eixo 4: Questão 53</t>
  </si>
  <si>
    <t>Avalie o suporte do Comitê Setorial de Extensão para o desenvolvimento das atividades extensionistas, considerando os seguintes pontos: [Orientações sobre a tramitação de propostas e relatórios]</t>
  </si>
  <si>
    <t>Eixo 4: Questão 54</t>
  </si>
  <si>
    <t>Avalie o suporte do Comitê Setorial de Extensão para o desenvolvimento das atividades extensionistas, considerando os seguintes pontos: [Emissão de pareceres sobre as propostas]</t>
  </si>
  <si>
    <t>Eixo 4: Questão 55</t>
  </si>
  <si>
    <t>Avalie o suporte do Comitê Setorial de Extensão para o desenvolvimento das atividades extensionistas, considerando os seguintes pontos: [Publicização de orientações sobre a Extensão]</t>
  </si>
  <si>
    <t>Eixo 4: Questão 56</t>
  </si>
  <si>
    <t>Avalie o suporte do Comitê Setorial de Extensão para o desenvolvimento das atividades extensionistas, considerando os seguintes pontos: [Representação no CAEX (Comitê Assessor de Extensão)]</t>
  </si>
  <si>
    <t>Eixo 4: Questão 57</t>
  </si>
  <si>
    <t>Avalie o suporte do Comitê Setorial de Extensão para o desenvolvimento das atividades extensionistas, considerando os seguintes pontos: [Suporte para o desenvolvimento da extensão durante a pandemia]</t>
  </si>
  <si>
    <t>Eixo 4: Questão 58</t>
  </si>
  <si>
    <t>Avalie o suporte do Comitê Setorial de Extensão para o desenvolvimento das atividades extensionistas, considerando os seguintes pontos: [Cumprimento de prazos]</t>
  </si>
  <si>
    <t>Eixo 4: Questão 59</t>
  </si>
  <si>
    <t>Avalie o suporte do Comitê Setorial de Extensão para o desenvolvimento das atividades extensionistas, considerando os seguintes pontos: [Informações sobre a creditação da extensão]</t>
  </si>
  <si>
    <t>Eixo 4: Questão 60</t>
  </si>
  <si>
    <t>Como você avalia as ações institucionais de incentivo e apoio para o desenvolvimento integrado de atividades extensionistas (SIEPE integrando os campi, Ações articuladas fomentadas pelo Edital de Fortalecimento da Extensão, Criação de Redes Temáticas)?</t>
  </si>
  <si>
    <t>Eixo 4: Questão 61</t>
  </si>
  <si>
    <t>Avalie a contribuição da extensão no processo de formação de estudantes (de graduação e pós-graduação), considerando: [A formação acadêmica e profissional (habilidades e competências teóricas e metodológicas)]</t>
  </si>
  <si>
    <t>Eixo 4: Questão 62</t>
  </si>
  <si>
    <t>Avalie a contribuição da extensão no processo de formação de estudantes (de graduação e pós-graduação), considerando: [A formação cidadã]</t>
  </si>
  <si>
    <t>Eixo 4: Questão 63</t>
  </si>
  <si>
    <t>Avalie o suporte financeiro para a realização das ações extensionistas, nos quesitos: [Editais de bolsas para estudantes]</t>
  </si>
  <si>
    <t>Eixo 4: Questão 64</t>
  </si>
  <si>
    <t>Avalie o suporte financeiro para a realização das ações extensionistas, nos quesitos: [Editais de fomento para a Extensão]</t>
  </si>
  <si>
    <t>Eixo 4: Questão 65</t>
  </si>
  <si>
    <t>Com relação ao Edital de Bolsa Extensão, avalie: [A divulgação e as informações prestadas sobre o Edital]</t>
  </si>
  <si>
    <t>Eixo 4: Questão 66</t>
  </si>
  <si>
    <t>Com relação ao Edital de Bolsa Extensão, avalie: [O quantitativo de bolsas ofertadas no Edital]</t>
  </si>
  <si>
    <t>Eixo 4: Questão 67</t>
  </si>
  <si>
    <t>Com relação ao Edital de Bolsa Extensão, avalie: [O processo de inscrição ao Edital e de distribuição das bolsas]</t>
  </si>
  <si>
    <t>Eixo 4: Questão 68</t>
  </si>
  <si>
    <t>Com relação ao Edital de Bolsa Extensão, avalie: [A vigência das bolsas]</t>
  </si>
  <si>
    <t>Eixo 4: Questão 69</t>
  </si>
  <si>
    <t>Comentários e sugestões para o tema da extensão universitária:</t>
  </si>
  <si>
    <t>Eixo 4: Questão 70</t>
  </si>
  <si>
    <t>Com relação às atividades artístico-culturais, avalie as ações a seguir: [Festival de Inverno da UFPR]</t>
  </si>
  <si>
    <t>Eixo 4: Questão 71</t>
  </si>
  <si>
    <t>Com relação às atividades artístico-culturais, avalie as ações a seguir: [Meses temáticos (Março da Mulher, Abril Indígena, Junho LGBTI, Mês da Consciência Negra)]</t>
  </si>
  <si>
    <t>Eixo 4: Questão 72</t>
  </si>
  <si>
    <t>Com relação às atividades artístico-culturais, avalie as ações a seguir: [Temporada Grupos Artísticos (Companhia de Teatro, Coro, Grupo de MPB, Orquestra Filarmônica, Téssera Companhia de Dança)]</t>
  </si>
  <si>
    <t>Eixo 4: Questão 73</t>
  </si>
  <si>
    <t>Com relação às atividades artístico-culturais, avalie as ações a seguir: [Exposições e atividades educativas do Museu de Arte da UFPR – MusA]</t>
  </si>
  <si>
    <t>Eixo 4: Questão 74</t>
  </si>
  <si>
    <t>Com relação às atividades artístico-culturais, avalie as ações a seguir: [Exposições virtuais do Museu de Arqueologia e Etnologia da UFPR – MAE]</t>
  </si>
  <si>
    <t>Eixo 4: Questão 75</t>
  </si>
  <si>
    <t>Com relação às atividades artístico-culturais, avalie as ações a seguir: [Materiais educativos e outras programações do Museu de Arqueologia e Etnologia da UFPR – MAE (mesas redondas, entrevistas, oficinas)]</t>
  </si>
  <si>
    <t>Eixo 4: Questão 76</t>
  </si>
  <si>
    <t>Com relação às atividades artístico-culturais, avalie as ações a seguir: [Feira do Livro]</t>
  </si>
  <si>
    <t>Eixo 4: Questão 77</t>
  </si>
  <si>
    <t>Se desejar, especifique e avalie outras atividades artístico-culturais das quais você participou e que não foram elencadas na questão anterior:</t>
  </si>
  <si>
    <t>Eixo 4: Questão 78</t>
  </si>
  <si>
    <t>Se você não participou de nenhuma atividade artístico-cultural ofertada pela UFPR, marque o motivo:</t>
  </si>
  <si>
    <t>Eixo 4: Questão 79</t>
  </si>
  <si>
    <t>Informativa para uso da Proec</t>
  </si>
  <si>
    <t>Se você não participou de nenhuma atividade artístico-cultural ofertada pela UFPR: [Outro Motivo]</t>
  </si>
  <si>
    <t>Eixo 4: Questão 80</t>
  </si>
  <si>
    <t>Considerando as atividades mencionadas anteriormente, você julga importante o acesso por meio de plataformas digitais?</t>
  </si>
  <si>
    <t>Eixo 4: Questão 81</t>
  </si>
  <si>
    <t>Qual a plataforma digital de sua preferência?</t>
  </si>
  <si>
    <t>Eixo 4: Questão 82</t>
  </si>
  <si>
    <t>Por quê?</t>
  </si>
  <si>
    <t>Eixo 4: Questão 83</t>
  </si>
  <si>
    <t>Comentários e sugestões para o tema das atividades artístico-culturais:</t>
  </si>
  <si>
    <t>Eixo 4: Questão 84</t>
  </si>
  <si>
    <t>Por favor, escolha Sim se deseja contribuir com a avaliação da pós-graduação stricto sensu. Caso contrário, escolha Não para prosseguir:</t>
  </si>
  <si>
    <t>Eixo 4: Questão 85</t>
  </si>
  <si>
    <t>Considerando os programas de pós-graduação, avalie: [A clareza das normatizações sobre os programas de pós-graduação (regimento, processo seletivo, resoluções, etc.)]</t>
  </si>
  <si>
    <t>Eixo 4: Questão 86</t>
  </si>
  <si>
    <t>Considerando os programas de pós-graduação, avalie: [A oferta de disciplinas transversais]</t>
  </si>
  <si>
    <t>Eixo 4: Questão 87</t>
  </si>
  <si>
    <t>Considerando os programas de pós-graduação, avalie: [A orientação e as normas para a revisão dos currículos dos programas]</t>
  </si>
  <si>
    <t>Eixo 4: Questão 88</t>
  </si>
  <si>
    <t>Considerando os programas de pós-graduação, avalie: [As políticas de acolhimento de pesquisadores externos (exemplo: Editais PRINT/UFPR)]</t>
  </si>
  <si>
    <t>Eixo 4: Questão 89</t>
  </si>
  <si>
    <t>Considerando os programas de pós-graduação, avalie: [As ações institucionais para criação, expansão e manutenção da pós-graduação stricto sensu]</t>
  </si>
  <si>
    <t>Eixo 4: Questão 90</t>
  </si>
  <si>
    <t>Considerando os programas de pós-graduação, avalie: [As ações de melhoria da qualidade da pós-graduação stricto sensu]</t>
  </si>
  <si>
    <t>Eixo 4: Questão 91</t>
  </si>
  <si>
    <t>Com relação ao programa de pós-graduação onde você atua majoritariamente, avalie os seguintes itens: [Planejamento]</t>
  </si>
  <si>
    <t>Eixo 4: Questão 92</t>
  </si>
  <si>
    <t>Com relação ao programa de pós-graduação onde você atua majoritariamente, avalie os seguintes itens: [Processo Seletivo de Bolsas]</t>
  </si>
  <si>
    <t>Eixo 4: Questão 93</t>
  </si>
  <si>
    <t>Com relação ao programa de pós-graduação onde você atua majoritariamente, avalie os seguintes itens: [Disponibilidade de Bolsas]</t>
  </si>
  <si>
    <t>Eixo 4: Questão 94</t>
  </si>
  <si>
    <t>Com relação ao programa de pós-graduação onde você atua majoritariamente, avalie os seguintes itens: [Disponibilidade de disciplinas compatíveis com os créditos exigidos]</t>
  </si>
  <si>
    <t>Eixo 4: Questão 95</t>
  </si>
  <si>
    <t>Com relação ao programa de pós-graduação onde você atua majoritariamente, avalie os seguintes itens: [Pertinência das disciplinas com a área]</t>
  </si>
  <si>
    <t>Eixo 4: Questão 96</t>
  </si>
  <si>
    <t>Com relação ao programa de pós-graduação onde você atua majoritariamente, avalie os seguintes itens: [Aplicabilidade direta das disciplinas para a pesquisa]</t>
  </si>
  <si>
    <t>Eixo 4: Questão 97</t>
  </si>
  <si>
    <t>Com relação ao programa de pós-graduação onde você atua majoritariamente, avalie os seguintes itens: [Feedback do aluno quanto às disciplinas ofertadas]</t>
  </si>
  <si>
    <t>Eixo 4: Questão 98</t>
  </si>
  <si>
    <t>Com relação ao programa de pós-graduação onde você atua majoritariamente, avalie os seguintes itens: [Profundidade dos conteúdos nas disciplinas ofertadas]</t>
  </si>
  <si>
    <t>Eixo 4: Questão 99</t>
  </si>
  <si>
    <t>Com relação ao programa de pós-graduação onde você atua majoritariamente, avalie os seguintes itens: [Procedimentos usados para avaliação e feedback do desempenho discente nas disciplinas ofertadas]</t>
  </si>
  <si>
    <t>Eixo 4: Questão 100</t>
  </si>
  <si>
    <t>Com relação ao programa de pós-graduação onde você atua majoritariamente, avalie os seguintes itens: [Número de orientadores disponíveis no PPG]</t>
  </si>
  <si>
    <t>Eixo 4: Questão 101</t>
  </si>
  <si>
    <t>Com relação ao programa de pós-graduação onde você atua majoritariamente, avalie os seguintes itens: [Conhecimento e atualização dos orientadores disponíveis]</t>
  </si>
  <si>
    <t>Eixo 4: Questão 102</t>
  </si>
  <si>
    <t>Com relação ao programa de pós-graduação onde você atua majoritariamente, avalie os seguintes itens: [Disponibilidade do corpo docente para atividades de orientação]</t>
  </si>
  <si>
    <t>Eixo 4: Questão 103</t>
  </si>
  <si>
    <t>Sobre a Avaliação Quadrienal do Programa de Pós-Graduação, opine: [Pertinência dos conteúdos abordados]</t>
  </si>
  <si>
    <t>Eixo 4: Questão 104</t>
  </si>
  <si>
    <t>Sobre a Avaliação Quadrienal do Programa de Pós-Graduação, opine: [Profundidade dos temas]</t>
  </si>
  <si>
    <t>Eixo 4: Questão 105</t>
  </si>
  <si>
    <t>Sobre a Avaliação Quadrienal do Programa de Pós-Graduação, opine: [Quantidade de reuniões, workshops, lives e demais eventos de orientação sobre o tema]</t>
  </si>
  <si>
    <t>Eixo 4: Questão 106</t>
  </si>
  <si>
    <t>Sobre a Avaliação Quadrienal do Programa de Pós-Graduação, opine: [Qualidade da informação]</t>
  </si>
  <si>
    <t>Eixo 4: Questão 107</t>
  </si>
  <si>
    <t>Sobre a Avaliação Quadrienal do Programa de Pós-Graduação, opine: [Efetividade da contribuição para a melhoria da avaliação do programa]</t>
  </si>
  <si>
    <t>Eixo 4: Questão 108</t>
  </si>
  <si>
    <t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t>
  </si>
  <si>
    <t>Eixo 4: Questão 109</t>
  </si>
  <si>
    <t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t>
  </si>
  <si>
    <t>Eixo 4: Questão 110</t>
  </si>
  <si>
    <t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t>
  </si>
  <si>
    <t>Eixo 4: Questão 111</t>
  </si>
  <si>
    <t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t>
  </si>
  <si>
    <t>Eixo 4: Questão 112</t>
  </si>
  <si>
    <t>Comentários e sugestões para o tema da pós-graduação stricto sensu:</t>
  </si>
  <si>
    <t>Eixo 4: Questão 113</t>
  </si>
  <si>
    <t>Por favor, escolha Sim se deseja contribuir com a avaliação da pós-graduação lato sensu. Caso contrário, escolha Não para prosseguir:</t>
  </si>
  <si>
    <t>Eixo 4: Questão 114</t>
  </si>
  <si>
    <t>Considerando as políticas para a pós-graduação lato sensu, avalie as ações institucionais de: [Criação, ampliação e manutenção]</t>
  </si>
  <si>
    <t>Eixo 4: Questão 115</t>
  </si>
  <si>
    <t>Considerando as políticas para a pós-graduação lato sensu, avalie as ações institucionais de: [Melhoria da qualidade]</t>
  </si>
  <si>
    <t>Eixo 4: Questão 116</t>
  </si>
  <si>
    <t>Considerando as políticas para a pós-graduação lato sensu, avalie as ações institucionais de: [Acompanhamento de ocupação e evasão]</t>
  </si>
  <si>
    <t>Eixo 4: Questão 117</t>
  </si>
  <si>
    <t>Considerando as políticas para a pós-graduação lato sensu, avalie as ações institucionais de: [Avaliação e revisão dos currículos dos cursos em função das mudanças do mercado e da sociedade]</t>
  </si>
  <si>
    <t>Eixo 4: Questão 118</t>
  </si>
  <si>
    <t>Sobre os cursos de pós-graduação lato sensu, avalie os itens a seguir: [Clareza do processo seletivo para o ingresso de estudantes nos cursos]</t>
  </si>
  <si>
    <t>Eixo 4: Questão 119</t>
  </si>
  <si>
    <t>Sobre os cursos de pós-graduação lato sensu, avalie os itens a seguir: [Clareza do processo seletivo de bolsas destinadas aos estudantes]</t>
  </si>
  <si>
    <t>Eixo 4: Questão 120</t>
  </si>
  <si>
    <t>Sobre os cursos de pós-graduação lato sensu, avalie os itens a seguir: [Disponibilidade de bolsas aos estudantes]</t>
  </si>
  <si>
    <t>Eixo 4: Questão 121</t>
  </si>
  <si>
    <t>Sobre os cursos de pós-graduação lato sensu, avalie os itens a seguir: [Compatibilidade entre a oferta de disciplinas e os propósitos do curso]</t>
  </si>
  <si>
    <t>Eixo 4: Questão 122</t>
  </si>
  <si>
    <t>Sobre os cursos de pós-graduação lato sensu, avalie os itens a seguir: [Nível de satisfação dos estudantes quanto às disciplinas ofertadas]</t>
  </si>
  <si>
    <t>Eixo 4: Questão 123</t>
  </si>
  <si>
    <t>Sobre os cursos de pós-graduação lato sensu, avalie os itens a seguir: [Adequação da carga horária das disciplinas para as finalidades aos quais o curso se propõe]</t>
  </si>
  <si>
    <t>Eixo 4: Questão 124</t>
  </si>
  <si>
    <t>Sobre os cursos de pós-graduação lato sensu, avalie os itens a seguir: [Nível de qualificação profissional e acadêmica do corpo docente do curso]</t>
  </si>
  <si>
    <t>Eixo 4: Questão 125</t>
  </si>
  <si>
    <t>Sobre os cursos de pós-graduação lato sensu, avalie os itens a seguir: [Compatibilidade entre a quantidade de orientadores e as demandas monográficas do curso]</t>
  </si>
  <si>
    <t>Eixo 4: Questão 126</t>
  </si>
  <si>
    <t>Sobre os cursos de pós-graduação lato sensu, avalie os itens a seguir: [Metodologias de medição de avaliação de desempenho discente nas disciplinas ofertadas]</t>
  </si>
  <si>
    <t>Eixo 4: Questão 127</t>
  </si>
  <si>
    <t>Sobre os cursos de pós-graduação lato sensu, avalie os itens a seguir: [Qualidade da produção intelectual dos estudantes em relação aos objetivos de aprofundamento de conhecimento proposta para o curso]</t>
  </si>
  <si>
    <t>Eixo 4: Questão 128</t>
  </si>
  <si>
    <t>Comentários e sugestões para o tema da pós-graduação lato sensu:</t>
  </si>
  <si>
    <t>Eixo 4: Questão 129</t>
  </si>
  <si>
    <t>Considerando o planejamento e as políticas para a internacionalização da UFPR, escolha Sim para avaliar e Não para prosseguir:</t>
  </si>
  <si>
    <t>Eixo 4: Questão 130</t>
  </si>
  <si>
    <t>Sobre as ações para a internacionalização, no contexto das políticas acadêmicas, avalie: [A oferta de disciplinas em língua inglesa]</t>
  </si>
  <si>
    <t>Eixo 4: Questão 131</t>
  </si>
  <si>
    <t>Sobre as ações para a internacionalização, no contexto das políticas acadêmicas, avalie: [A oferta de cursos de capacitação para disciplinas em língua inglesa]</t>
  </si>
  <si>
    <t>Eixo 4: Questão 132</t>
  </si>
  <si>
    <t>Sobre as ações para a internacionalização, no contexto das políticas acadêmicas, avalie: [A oferta de cursos de língua portuguesa para estrangeiros]</t>
  </si>
  <si>
    <t>Eixo 4: Questão 133</t>
  </si>
  <si>
    <t>Sobre as ações para a internacionalização, no contexto das políticas acadêmicas, avalie: [A oferta de avaliações de proficiência em língua estrangeira]</t>
  </si>
  <si>
    <t>Eixo 4: Questão 134</t>
  </si>
  <si>
    <t>Sobre as ações para a internacionalização, no contexto das políticas acadêmicas, avalie: [O apoio à escrita de artigos científicos em língua inglesa]</t>
  </si>
  <si>
    <t>Eixo 4: Questão 135</t>
  </si>
  <si>
    <t>Sobre as ações para a internacionalização, no contexto das políticas acadêmicas, avalie: [A capacitação dos docentes para participação de editais internacionais de cooperação]</t>
  </si>
  <si>
    <t>Eixo 4: Questão 136</t>
  </si>
  <si>
    <t>4.137</t>
  </si>
  <si>
    <t>Comentários e sugestões para o tema da internacionalização:</t>
  </si>
  <si>
    <t>Eixo 4: Questão 137</t>
  </si>
  <si>
    <t>Título gráfico</t>
  </si>
  <si>
    <t>Resposta</t>
  </si>
  <si>
    <t>Técnicos</t>
  </si>
  <si>
    <t>Docentes</t>
  </si>
  <si>
    <t>Freq</t>
  </si>
  <si>
    <t>% Total</t>
  </si>
  <si>
    <t>% Válidas</t>
  </si>
  <si>
    <t>Sem resposta</t>
  </si>
  <si>
    <t>Total</t>
  </si>
  <si>
    <t>Legendas</t>
  </si>
  <si>
    <t>Ações</t>
  </si>
  <si>
    <t xml:space="preserve">Não sei responder </t>
  </si>
  <si>
    <t>Não responderam</t>
  </si>
  <si>
    <t>R1</t>
  </si>
  <si>
    <t>R2</t>
  </si>
  <si>
    <t>R3</t>
  </si>
  <si>
    <t>Legenda</t>
  </si>
  <si>
    <t>Descrição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</si>
</sst>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1"/>
    </font>
    <font>
      <sz val="11"/>
      <color rgb="FF444444"/>
      <name val="Calibri"/>
      <family val="2"/>
      <charset val="1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u/>
      <sz val="12"/>
      <color theme="6" tint="-0.49998474074526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vertAlign val="superscript"/>
      <sz val="10"/>
      <color rgb="FFFF0000"/>
      <name val="Arial"/>
      <family val="2"/>
    </font>
    <font>
      <sz val="10"/>
      <color theme="4"/>
      <name val="Arial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5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</fonts>
  <fills count="25">
    <fill>
      <patternFill patternType="none"/>
    </fill>
    <fill>
      <patternFill patternType="gray125"/>
    </fill>
    <fill>
      <patternFill patternType="solid">
        <fgColor rgb="FFB4C6E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8" tint="-0.14999847407452621"/>
        <bgColor theme="5" tint="0.79998168889431442"/>
      </patternFill>
    </fill>
    <fill>
      <patternFill patternType="solid">
        <fgColor rgb="FFC65911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4472C4"/>
        <bgColor rgb="FF000000"/>
      </patternFill>
    </fill>
    <fill>
      <patternFill patternType="solid">
        <fgColor rgb="FF548235"/>
        <bgColor rgb="FF000000"/>
      </patternFill>
    </fill>
    <fill>
      <patternFill patternType="solid">
        <fgColor theme="8" tint="-0.34998626667073579"/>
        <bgColor indexed="64"/>
      </patternFill>
    </fill>
    <fill>
      <patternFill patternType="solid">
        <fgColor theme="5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theme="6" tint="0.79998168889431442"/>
        <bgColor theme="6" tint="0.79998168889431442"/>
      </patternFill>
    </fill>
  </fills>
  <borders count="13">
    <border>
      <left/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7" tint="0.39997558519241921"/>
      </left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9" fontId="8" fillId="0" borderId="0" applyFont="0" applyFill="0" applyBorder="0" applyAlignment="0" applyProtection="0"/>
  </cellStyleXfs>
  <cellXfs count="106">
    <xf numFmtId="0" fontId="0" fillId="0" borderId="0" xfId="0"/>
    <xf numFmtId="0" fontId="1" fillId="0" borderId="0" xfId="0" applyFont="1"/>
    <xf numFmtId="0" fontId="3" fillId="0" borderId="0" xfId="0" applyFont="1"/>
    <xf numFmtId="2" fontId="3" fillId="0" borderId="0" xfId="0" applyNumberFormat="1" applyFont="1"/>
    <xf numFmtId="0" fontId="4" fillId="0" borderId="0" xfId="0" quotePrefix="1" applyFont="1"/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2" fontId="3" fillId="0" borderId="5" xfId="0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/>
    </xf>
    <xf numFmtId="0" fontId="6" fillId="0" borderId="0" xfId="0" quotePrefix="1" applyFont="1"/>
    <xf numFmtId="0" fontId="3" fillId="0" borderId="0" xfId="0" applyFont="1" applyAlignment="1">
      <alignment horizontal="right"/>
    </xf>
    <xf numFmtId="2" fontId="4" fillId="0" borderId="0" xfId="0" quotePrefix="1" applyNumberFormat="1" applyFont="1"/>
    <xf numFmtId="0" fontId="3" fillId="4" borderId="0" xfId="0" applyFont="1" applyFill="1"/>
    <xf numFmtId="0" fontId="3" fillId="5" borderId="0" xfId="0" applyFont="1" applyFill="1"/>
    <xf numFmtId="0" fontId="3" fillId="0" borderId="3" xfId="0" applyFont="1" applyBorder="1" applyAlignment="1">
      <alignment horizontal="right"/>
    </xf>
    <xf numFmtId="2" fontId="4" fillId="0" borderId="3" xfId="0" quotePrefix="1" applyNumberFormat="1" applyFont="1" applyBorder="1"/>
    <xf numFmtId="2" fontId="3" fillId="0" borderId="0" xfId="0" applyNumberFormat="1" applyFont="1" applyAlignment="1">
      <alignment horizontal="right"/>
    </xf>
    <xf numFmtId="0" fontId="3" fillId="0" borderId="1" xfId="0" applyFont="1" applyBorder="1"/>
    <xf numFmtId="0" fontId="4" fillId="0" borderId="3" xfId="0" quotePrefix="1" applyFont="1" applyBorder="1"/>
    <xf numFmtId="0" fontId="0" fillId="0" borderId="3" xfId="0" applyBorder="1"/>
    <xf numFmtId="2" fontId="3" fillId="0" borderId="3" xfId="0" applyNumberFormat="1" applyFont="1" applyBorder="1"/>
    <xf numFmtId="2" fontId="0" fillId="0" borderId="0" xfId="0" applyNumberFormat="1"/>
    <xf numFmtId="0" fontId="0" fillId="0" borderId="1" xfId="0" applyBorder="1"/>
    <xf numFmtId="3" fontId="3" fillId="0" borderId="0" xfId="0" applyNumberFormat="1" applyFont="1"/>
    <xf numFmtId="0" fontId="3" fillId="0" borderId="5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/>
    <xf numFmtId="0" fontId="3" fillId="6" borderId="3" xfId="0" applyFont="1" applyFill="1" applyBorder="1"/>
    <xf numFmtId="0" fontId="3" fillId="7" borderId="0" xfId="0" applyFont="1" applyFill="1"/>
    <xf numFmtId="2" fontId="3" fillId="7" borderId="0" xfId="0" applyNumberFormat="1" applyFont="1" applyFill="1"/>
    <xf numFmtId="0" fontId="3" fillId="7" borderId="0" xfId="0" applyFont="1" applyFill="1" applyAlignment="1">
      <alignment horizontal="center"/>
    </xf>
    <xf numFmtId="2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right"/>
    </xf>
    <xf numFmtId="2" fontId="4" fillId="7" borderId="0" xfId="0" quotePrefix="1" applyNumberFormat="1" applyFont="1" applyFill="1"/>
    <xf numFmtId="2" fontId="3" fillId="7" borderId="0" xfId="0" applyNumberFormat="1" applyFont="1" applyFill="1" applyAlignment="1">
      <alignment horizontal="right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1" fillId="8" borderId="6" xfId="0" applyFont="1" applyFill="1" applyBorder="1" applyAlignment="1">
      <alignment horizontal="center"/>
    </xf>
    <xf numFmtId="0" fontId="11" fillId="0" borderId="6" xfId="0" applyFont="1" applyBorder="1"/>
    <xf numFmtId="0" fontId="13" fillId="0" borderId="0" xfId="0" applyFont="1" applyAlignment="1">
      <alignment horizontal="left" wrapText="1"/>
    </xf>
    <xf numFmtId="9" fontId="13" fillId="0" borderId="0" xfId="1" applyFont="1" applyFill="1" applyBorder="1" applyAlignment="1">
      <alignment horizontal="left" wrapText="1"/>
    </xf>
    <xf numFmtId="0" fontId="14" fillId="0" borderId="0" xfId="0" applyFont="1" applyAlignment="1">
      <alignment horizontal="left" vertical="center" wrapText="1"/>
    </xf>
    <xf numFmtId="2" fontId="15" fillId="0" borderId="0" xfId="0" applyNumberFormat="1" applyFont="1" applyAlignment="1">
      <alignment horizontal="left"/>
    </xf>
    <xf numFmtId="0" fontId="11" fillId="0" borderId="6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3" fillId="9" borderId="6" xfId="0" applyFont="1" applyFill="1" applyBorder="1" applyAlignment="1">
      <alignment horizontal="left" wrapText="1"/>
    </xf>
    <xf numFmtId="9" fontId="13" fillId="9" borderId="6" xfId="1" applyFont="1" applyFill="1" applyBorder="1" applyAlignment="1">
      <alignment horizontal="left" wrapText="1"/>
    </xf>
    <xf numFmtId="0" fontId="11" fillId="0" borderId="0" xfId="0" applyFont="1" applyAlignment="1">
      <alignment horizontal="center"/>
    </xf>
    <xf numFmtId="0" fontId="0" fillId="10" borderId="7" xfId="0" applyFill="1" applyBorder="1" applyAlignment="1">
      <alignment vertical="center"/>
    </xf>
    <xf numFmtId="0" fontId="14" fillId="0" borderId="6" xfId="0" applyFont="1" applyBorder="1" applyAlignment="1">
      <alignment horizontal="left"/>
    </xf>
    <xf numFmtId="2" fontId="15" fillId="0" borderId="6" xfId="0" applyNumberFormat="1" applyFont="1" applyBorder="1" applyAlignment="1">
      <alignment horizontal="left"/>
    </xf>
    <xf numFmtId="0" fontId="14" fillId="11" borderId="6" xfId="0" applyFont="1" applyFill="1" applyBorder="1" applyAlignment="1">
      <alignment horizontal="left" vertical="center" wrapText="1"/>
    </xf>
    <xf numFmtId="0" fontId="13" fillId="0" borderId="6" xfId="0" applyFont="1" applyBorder="1" applyAlignment="1">
      <alignment horizontal="left"/>
    </xf>
    <xf numFmtId="0" fontId="14" fillId="0" borderId="0" xfId="0" applyFont="1" applyAlignment="1">
      <alignment horizontal="left" vertical="top" wrapText="1"/>
    </xf>
    <xf numFmtId="0" fontId="18" fillId="0" borderId="0" xfId="0" applyFont="1"/>
    <xf numFmtId="0" fontId="19" fillId="0" borderId="0" xfId="0" applyFont="1"/>
    <xf numFmtId="0" fontId="22" fillId="0" borderId="0" xfId="0" applyFont="1"/>
    <xf numFmtId="0" fontId="11" fillId="18" borderId="0" xfId="0" applyFont="1" applyFill="1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6" borderId="10" xfId="0" applyFont="1" applyFill="1" applyBorder="1"/>
    <xf numFmtId="0" fontId="3" fillId="0" borderId="10" xfId="0" applyFont="1" applyBorder="1" applyAlignment="1">
      <alignment horizontal="right"/>
    </xf>
    <xf numFmtId="2" fontId="4" fillId="0" borderId="10" xfId="0" quotePrefix="1" applyNumberFormat="1" applyFont="1" applyBorder="1"/>
    <xf numFmtId="0" fontId="20" fillId="0" borderId="0" xfId="0" applyFont="1"/>
    <xf numFmtId="0" fontId="20" fillId="12" borderId="8" xfId="0" applyFont="1" applyFill="1" applyBorder="1" applyAlignment="1">
      <alignment horizontal="center"/>
    </xf>
    <xf numFmtId="0" fontId="22" fillId="14" borderId="6" xfId="0" applyFont="1" applyFill="1" applyBorder="1"/>
    <xf numFmtId="0" fontId="22" fillId="15" borderId="6" xfId="0" applyFont="1" applyFill="1" applyBorder="1"/>
    <xf numFmtId="0" fontId="22" fillId="16" borderId="6" xfId="0" applyFont="1" applyFill="1" applyBorder="1"/>
    <xf numFmtId="0" fontId="22" fillId="17" borderId="6" xfId="0" applyFont="1" applyFill="1" applyBorder="1"/>
    <xf numFmtId="0" fontId="21" fillId="12" borderId="6" xfId="0" applyFont="1" applyFill="1" applyBorder="1" applyAlignment="1">
      <alignment horizontal="center" vertical="center" wrapText="1"/>
    </xf>
    <xf numFmtId="0" fontId="18" fillId="21" borderId="6" xfId="0" applyFont="1" applyFill="1" applyBorder="1" applyAlignment="1">
      <alignment horizontal="center"/>
    </xf>
    <xf numFmtId="0" fontId="18" fillId="22" borderId="6" xfId="0" applyFont="1" applyFill="1" applyBorder="1"/>
    <xf numFmtId="0" fontId="18" fillId="23" borderId="6" xfId="0" applyFont="1" applyFill="1" applyBorder="1"/>
    <xf numFmtId="0" fontId="23" fillId="14" borderId="6" xfId="0" applyFont="1" applyFill="1" applyBorder="1"/>
    <xf numFmtId="0" fontId="18" fillId="20" borderId="6" xfId="0" applyFont="1" applyFill="1" applyBorder="1"/>
    <xf numFmtId="0" fontId="21" fillId="12" borderId="8" xfId="0" applyFont="1" applyFill="1" applyBorder="1"/>
    <xf numFmtId="0" fontId="23" fillId="13" borderId="8" xfId="0" applyFont="1" applyFill="1" applyBorder="1"/>
    <xf numFmtId="0" fontId="21" fillId="0" borderId="0" xfId="0" applyFont="1"/>
    <xf numFmtId="0" fontId="23" fillId="0" borderId="0" xfId="0" applyFont="1"/>
    <xf numFmtId="0" fontId="22" fillId="19" borderId="6" xfId="0" applyFont="1" applyFill="1" applyBorder="1"/>
    <xf numFmtId="164" fontId="3" fillId="0" borderId="5" xfId="0" applyNumberFormat="1" applyFont="1" applyBorder="1"/>
    <xf numFmtId="164" fontId="3" fillId="0" borderId="0" xfId="0" applyNumberFormat="1" applyFont="1"/>
    <xf numFmtId="0" fontId="0" fillId="0" borderId="9" xfId="0" applyBorder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0" fillId="0" borderId="0" xfId="0" applyAlignment="1">
      <alignment vertical="top"/>
    </xf>
    <xf numFmtId="0" fontId="7" fillId="0" borderId="0" xfId="0" applyFont="1"/>
    <xf numFmtId="0" fontId="1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0" fillId="24" borderId="11" xfId="0" applyFill="1" applyBorder="1"/>
    <xf numFmtId="0" fontId="0" fillId="24" borderId="9" xfId="0" applyFill="1" applyBorder="1"/>
    <xf numFmtId="0" fontId="0" fillId="24" borderId="12" xfId="0" applyFill="1" applyBorder="1"/>
    <xf numFmtId="0" fontId="0" fillId="0" borderId="11" xfId="0" applyBorder="1"/>
    <xf numFmtId="0" fontId="0" fillId="0" borderId="12" xfId="0" applyBorder="1"/>
    <xf numFmtId="0" fontId="4" fillId="0" borderId="0" xfId="0" quotePrefix="1" applyNumberFormat="1" applyFont="1"/>
    <xf numFmtId="0" fontId="4" fillId="0" borderId="3" xfId="0" quotePrefix="1" applyNumberFormat="1" applyFont="1" applyBorder="1"/>
    <xf numFmtId="0" fontId="17" fillId="0" borderId="0" xfId="0" applyFont="1" applyAlignment="1">
      <alignment horizontal="left" vertical="top" wrapText="1"/>
    </xf>
  </cellXfs>
  <cellStyles count="2">
    <cellStyle name="Normal" xfId="0" builtinId="0"/>
    <cellStyle name="Porcentagem" xfId="1" builtinId="5"/>
  </cellStyles>
  <dxfs count="149">
    <dxf>
      <alignment wrapText="0"/>
    </dxf>
    <dxf>
      <alignment wrapTex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bottom" textRotation="0" wrapText="0" indent="0" justifyLastLine="0" shrinkToFit="0" readingOrder="0"/>
    </dxf>
    <dxf>
      <alignment wrapText="0"/>
    </dxf>
    <dxf>
      <alignment wrapText="0"/>
    </dxf>
    <dxf>
      <border outline="0">
        <top style="thin">
          <color rgb="FF000000"/>
        </top>
      </border>
    </dxf>
    <dxf>
      <alignment wrapText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rgb="FFB4C6E7"/>
        </patternFill>
      </fill>
      <alignment horizontal="left" vertical="top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QTPA!$C$5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5F0-41E2-B144-7D6CAB4E63E7}"/>
            </c:ext>
          </c:extLst>
        </c:ser>
        <c:ser>
          <c:idx val="1"/>
          <c:order val="1"/>
          <c:tx>
            <c:strRef>
              <c:f>QTPA!$D$5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QTPA!$B$6:$B$12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QTPA!$D$6:$D$12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5F0-41E2-B144-7D6CAB4E63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3629184"/>
        <c:axId val="83630720"/>
      </c:barChart>
      <c:catAx>
        <c:axId val="8362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30720"/>
        <c:crosses val="autoZero"/>
        <c:auto val="1"/>
        <c:lblAlgn val="ctr"/>
        <c:lblOffset val="100"/>
        <c:noMultiLvlLbl val="0"/>
      </c:catAx>
      <c:valAx>
        <c:axId val="836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3629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F8-4743-938C-2A3D1D327D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F8-4743-938C-2A3D1D327DA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F8-4743-938C-2A3D1D327DA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F8-4743-938C-2A3D1D327DA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A9-48A4-9CF1-0322C9A7AE2D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964-4E8F-838C-9510566416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964-4E8F-838C-9510566416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964-4E8F-838C-9510566416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964-4E8F-838C-9510566416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964-4E8F-838C-951056641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AC-4D73-BA6C-BDFABDBC87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AC-4D73-BA6C-BDFABDBC87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AC-4D73-BA6C-BDFABDBC87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AC-4D73-BA6C-BDFABDBC87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'Q4.35'!$D$25:$D$28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7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AC-4D73-BA6C-BDFABDBC8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D-4D84-8809-6B06F2B7A86B}"/>
            </c:ext>
          </c:extLst>
        </c:ser>
        <c:ser>
          <c:idx val="1"/>
          <c:order val="1"/>
          <c:tx>
            <c:strRef>
              <c:f>'Q4.36'!$D$5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'Q4.36'!$D$6:$D$12</c:f>
              <c:numCache>
                <c:formatCode>General</c:formatCode>
                <c:ptCount val="7"/>
                <c:pt idx="0">
                  <c:v>12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23D-4D84-8809-6B06F2B7A86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859136"/>
        <c:axId val="126860672"/>
      </c:barChart>
      <c:catAx>
        <c:axId val="12685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60672"/>
        <c:crosses val="autoZero"/>
        <c:auto val="1"/>
        <c:lblAlgn val="ctr"/>
        <c:lblOffset val="100"/>
        <c:noMultiLvlLbl val="0"/>
      </c:catAx>
      <c:valAx>
        <c:axId val="126860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859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A6-4877-8CE7-46F7714D42F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A6-4877-8CE7-46F7714D42F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A6-4877-8CE7-46F7714D42F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A6-4877-8CE7-46F7714D42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A6-4877-8CE7-46F7714D4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C9B-45A7-A9D2-5226B2EB42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C9B-45A7-A9D2-5226B2EB42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C9B-45A7-A9D2-5226B2EB42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C9B-45A7-A9D2-5226B2EB42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'Q4.36'!$D$25:$D$28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C9B-45A7-A9D2-5226B2EB4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'Q4.38'!$C$5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474-4ADD-8EE6-9D526EDF9F86}"/>
            </c:ext>
          </c:extLst>
        </c:ser>
        <c:ser>
          <c:idx val="1"/>
          <c:order val="1"/>
          <c:tx>
            <c:strRef>
              <c:f>'Q4.38'!$D$5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'Q4.38'!$B$6:$B$8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'Q4.38'!$D$6:$D$8</c:f>
              <c:numCache>
                <c:formatCode>General</c:formatCode>
                <c:ptCount val="3"/>
                <c:pt idx="0">
                  <c:v>0</c:v>
                </c:pt>
                <c:pt idx="1">
                  <c:v>18</c:v>
                </c:pt>
                <c:pt idx="2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474-4ADD-8EE6-9D526EDF9F8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273984"/>
        <c:axId val="127283968"/>
      </c:barChart>
      <c:catAx>
        <c:axId val="12727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83968"/>
        <c:crosses val="autoZero"/>
        <c:auto val="1"/>
        <c:lblAlgn val="ctr"/>
        <c:lblOffset val="100"/>
        <c:noMultiLvlLbl val="0"/>
      </c:catAx>
      <c:valAx>
        <c:axId val="12728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273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39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1B-4E04-98EC-CC6268237D0D}"/>
            </c:ext>
          </c:extLst>
        </c:ser>
        <c:ser>
          <c:idx val="1"/>
          <c:order val="1"/>
          <c:tx>
            <c:strRef>
              <c:f>'Q4.39'!$D$5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'Q4.39'!$D$6:$D$12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9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1B-4E04-98EC-CC6268237D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344640"/>
        <c:axId val="127346176"/>
      </c:barChart>
      <c:catAx>
        <c:axId val="12734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46176"/>
        <c:crosses val="autoZero"/>
        <c:auto val="1"/>
        <c:lblAlgn val="ctr"/>
        <c:lblOffset val="100"/>
        <c:noMultiLvlLbl val="0"/>
      </c:catAx>
      <c:valAx>
        <c:axId val="12734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34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6D2-4C81-9804-06C3CA5EB2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6D2-4C81-9804-06C3CA5EB2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6D2-4C81-9804-06C3CA5EB2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6D2-4C81-9804-06C3CA5EB2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6D2-4C81-9804-06C3CA5EB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FC-45B3-B681-B750D4598C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FC-45B3-B681-B750D4598C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FC-45B3-B681-B750D4598C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FC-45B3-B681-B750D4598C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'Q4.39'!$D$25:$D$28</c:f>
              <c:numCache>
                <c:formatCode>General</c:formatCode>
                <c:ptCount val="4"/>
                <c:pt idx="0">
                  <c:v>4</c:v>
                </c:pt>
                <c:pt idx="1">
                  <c:v>1</c:v>
                </c:pt>
                <c:pt idx="2">
                  <c:v>1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FC-45B3-B681-B750D4598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C-4C14-BCF3-A9E024A99EB0}"/>
            </c:ext>
          </c:extLst>
        </c:ser>
        <c:ser>
          <c:idx val="1"/>
          <c:order val="1"/>
          <c:tx>
            <c:strRef>
              <c:f>'Q4.40'!$D$5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'Q4.40'!$D$6:$D$12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11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9C-4C14-BCF3-A9E024A99EB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739392"/>
        <c:axId val="127740928"/>
      </c:barChart>
      <c:catAx>
        <c:axId val="12773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40928"/>
        <c:crosses val="autoZero"/>
        <c:auto val="1"/>
        <c:lblAlgn val="ctr"/>
        <c:lblOffset val="100"/>
        <c:noMultiLvlLbl val="0"/>
      </c:catAx>
      <c:valAx>
        <c:axId val="127740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73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A45-4679-BB80-13B9CF150BFE}"/>
            </c:ext>
          </c:extLst>
        </c:ser>
        <c:ser>
          <c:idx val="1"/>
          <c:order val="1"/>
          <c:tx>
            <c:strRef>
              <c:f>'Q4.02'!$D$5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'Q4.02'!$D$6:$D$12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A45-4679-BB80-13B9CF150B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796544"/>
        <c:axId val="84798080"/>
      </c:barChart>
      <c:catAx>
        <c:axId val="8479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98080"/>
        <c:crosses val="autoZero"/>
        <c:auto val="1"/>
        <c:lblAlgn val="ctr"/>
        <c:lblOffset val="100"/>
        <c:noMultiLvlLbl val="0"/>
      </c:catAx>
      <c:valAx>
        <c:axId val="847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79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79-4D41-8919-774A660CDCC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79-4D41-8919-774A660CDCC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79-4D41-8919-774A660CDCC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79-4D41-8919-774A660CDCC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79-4D41-8919-774A660CD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C5-4AB2-AD01-FE67143383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C5-4AB2-AD01-FE67143383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C5-4AB2-AD01-FE67143383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C5-4AB2-AD01-FE67143383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'Q4.40'!$D$25:$D$28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C5-4AB2-AD01-FE6714338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6-4F03-81BD-310B4CB49E09}"/>
            </c:ext>
          </c:extLst>
        </c:ser>
        <c:ser>
          <c:idx val="1"/>
          <c:order val="1"/>
          <c:tx>
            <c:strRef>
              <c:f>'Q4.41'!$D$5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'Q4.41'!$D$6:$D$12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2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6-4F03-81BD-310B4CB49E0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7896576"/>
        <c:axId val="127906560"/>
      </c:barChart>
      <c:catAx>
        <c:axId val="1278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906560"/>
        <c:crosses val="autoZero"/>
        <c:auto val="1"/>
        <c:lblAlgn val="ctr"/>
        <c:lblOffset val="100"/>
        <c:noMultiLvlLbl val="0"/>
      </c:catAx>
      <c:valAx>
        <c:axId val="12790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7896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6C0-41E4-8FE1-72A841E4F6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6C0-41E4-8FE1-72A841E4F6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6C0-41E4-8FE1-72A841E4F6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6C0-41E4-8FE1-72A841E4F6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6C0-41E4-8FE1-72A841E4F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72-4F64-82E7-DCE5169EB7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72-4F64-82E7-DCE5169EB7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72-4F64-82E7-DCE5169EB7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72-4F64-82E7-DCE5169EB7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72-4F64-82E7-DCE5169E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0D-4105-864B-03E0D12AEC2D}"/>
            </c:ext>
          </c:extLst>
        </c:ser>
        <c:ser>
          <c:idx val="1"/>
          <c:order val="1"/>
          <c:tx>
            <c:strRef>
              <c:f>'Q4.42'!$D$5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'Q4.42'!$D$6:$D$12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0D-4105-864B-03E0D12AEC2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697088"/>
        <c:axId val="128698624"/>
      </c:barChart>
      <c:catAx>
        <c:axId val="1286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98624"/>
        <c:crosses val="autoZero"/>
        <c:auto val="1"/>
        <c:lblAlgn val="ctr"/>
        <c:lblOffset val="100"/>
        <c:noMultiLvlLbl val="0"/>
      </c:catAx>
      <c:valAx>
        <c:axId val="128698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697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4E-4979-A64F-CB0BC4A707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4E-4979-A64F-CB0BC4A707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24E-4979-A64F-CB0BC4A707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24E-4979-A64F-CB0BC4A707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24E-4979-A64F-CB0BC4A70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F2-48A2-B253-B16552EB570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F2-48A2-B253-B16552EB57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F2-48A2-B253-B16552EB570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F2-48A2-B253-B16552EB57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'Q4.42'!$D$25:$D$28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F2-48A2-B253-B16552EB5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59-4175-81DD-FA9B5228295F}"/>
            </c:ext>
          </c:extLst>
        </c:ser>
        <c:ser>
          <c:idx val="1"/>
          <c:order val="1"/>
          <c:tx>
            <c:strRef>
              <c:f>'Q4.43'!$D$5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'Q4.43'!$D$6:$D$12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959-4175-81DD-FA9B5228295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8841216"/>
        <c:axId val="128842752"/>
      </c:barChart>
      <c:catAx>
        <c:axId val="12884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842752"/>
        <c:crosses val="autoZero"/>
        <c:auto val="1"/>
        <c:lblAlgn val="ctr"/>
        <c:lblOffset val="100"/>
        <c:noMultiLvlLbl val="0"/>
      </c:catAx>
      <c:valAx>
        <c:axId val="12884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884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BFB-4239-A59F-72702D8458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BFB-4239-A59F-72702D8458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BFB-4239-A59F-72702D8458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BFB-4239-A59F-72702D845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BFB-4239-A59F-72702D84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FA-4851-B550-27D1072F3657}"/>
            </c:ext>
          </c:extLst>
        </c:ser>
        <c:ser>
          <c:idx val="1"/>
          <c:order val="1"/>
          <c:tx>
            <c:strRef>
              <c:f>'Q4.03'!$D$5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'Q4.03'!$D$6:$D$12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15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FA-4851-B550-27D1072F36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5521920"/>
        <c:axId val="85523456"/>
      </c:barChart>
      <c:catAx>
        <c:axId val="8552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523456"/>
        <c:crosses val="autoZero"/>
        <c:auto val="1"/>
        <c:lblAlgn val="ctr"/>
        <c:lblOffset val="100"/>
        <c:noMultiLvlLbl val="0"/>
      </c:catAx>
      <c:valAx>
        <c:axId val="8552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552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035-4B2C-A072-96A1B6B09D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035-4B2C-A072-96A1B6B09D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035-4B2C-A072-96A1B6B09D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035-4B2C-A072-96A1B6B09D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'Q4.43'!$D$25:$D$28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7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035-4B2C-A072-96A1B6B09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B-4832-B26C-C3994DA18C3E}"/>
            </c:ext>
          </c:extLst>
        </c:ser>
        <c:ser>
          <c:idx val="1"/>
          <c:order val="1"/>
          <c:tx>
            <c:strRef>
              <c:f>'Q4.44'!$D$5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'Q4.44'!$D$6:$D$12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F7B-4832-B26C-C3994DA18C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510016"/>
        <c:axId val="129511808"/>
      </c:barChart>
      <c:catAx>
        <c:axId val="129510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511808"/>
        <c:crosses val="autoZero"/>
        <c:auto val="1"/>
        <c:lblAlgn val="ctr"/>
        <c:lblOffset val="100"/>
        <c:noMultiLvlLbl val="0"/>
      </c:catAx>
      <c:valAx>
        <c:axId val="12951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510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C78-4B00-9BE5-C5C77ABF34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C78-4B00-9BE5-C5C77ABF34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C78-4B00-9BE5-C5C77ABF34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C78-4B00-9BE5-C5C77ABF3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C78-4B00-9BE5-C5C77ABF3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B2C-4CF1-A017-287B19E457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B2C-4CF1-A017-287B19E457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B2C-4CF1-A017-287B19E457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B2C-4CF1-A017-287B19E457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'Q4.44'!$D$25:$D$28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2C-4CF1-A017-287B19E457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7D-4B55-9349-E3B14CCB76DE}"/>
            </c:ext>
          </c:extLst>
        </c:ser>
        <c:ser>
          <c:idx val="1"/>
          <c:order val="1"/>
          <c:tx>
            <c:strRef>
              <c:f>'Q4.45'!$D$5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'Q4.45'!$D$6:$D$12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7D-4B55-9349-E3B14CCB76D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9687552"/>
        <c:axId val="129689088"/>
      </c:barChart>
      <c:catAx>
        <c:axId val="129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689088"/>
        <c:crosses val="autoZero"/>
        <c:auto val="1"/>
        <c:lblAlgn val="ctr"/>
        <c:lblOffset val="100"/>
        <c:noMultiLvlLbl val="0"/>
      </c:catAx>
      <c:valAx>
        <c:axId val="12968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968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71-4060-A894-6EBF2320036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71-4060-A894-6EBF2320036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71-4060-A894-6EBF2320036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71-4060-A894-6EBF232003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171-4060-A894-6EBF23200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BF-442E-854C-A36699B907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BF-442E-854C-A36699B907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BF-442E-854C-A36699B907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BF-442E-854C-A36699B907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'Q4.45'!$D$25:$D$28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BF-442E-854C-A36699B90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62-400B-9129-35309F882507}"/>
            </c:ext>
          </c:extLst>
        </c:ser>
        <c:ser>
          <c:idx val="1"/>
          <c:order val="1"/>
          <c:tx>
            <c:strRef>
              <c:f>'Q4.46'!$D$5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'Q4.46'!$D$6:$D$12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62-400B-9129-35309F88250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332160"/>
        <c:axId val="130333696"/>
      </c:barChart>
      <c:catAx>
        <c:axId val="13033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333696"/>
        <c:crosses val="autoZero"/>
        <c:auto val="1"/>
        <c:lblAlgn val="ctr"/>
        <c:lblOffset val="100"/>
        <c:noMultiLvlLbl val="0"/>
      </c:catAx>
      <c:valAx>
        <c:axId val="13033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33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94-423C-A9DB-96169470AC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94-423C-A9DB-96169470AC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94-423C-A9DB-96169470AC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94-423C-A9DB-96169470AC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94-423C-A9DB-96169470A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DF-4759-81A9-4AB85AB7D13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DF-4759-81A9-4AB85AB7D13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DF-4759-81A9-4AB85AB7D13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DF-4759-81A9-4AB85AB7D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'Q4.46'!$D$25:$D$28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DF-4759-81A9-4AB85AB7D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E4-4859-89AA-126845F2ABA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E4-4859-89AA-126845F2ABA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E4-4859-89AA-126845F2ABA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E4-4859-89AA-126845F2A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E4-4859-89AA-126845F2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73-4F1A-A837-81822D804157}"/>
            </c:ext>
          </c:extLst>
        </c:ser>
        <c:ser>
          <c:idx val="1"/>
          <c:order val="1"/>
          <c:tx>
            <c:strRef>
              <c:f>'Q4.47'!$D$5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'Q4.47'!$D$6:$D$12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9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73-4F1A-A837-81822D80415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0808832"/>
        <c:axId val="130892544"/>
      </c:barChart>
      <c:catAx>
        <c:axId val="13080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892544"/>
        <c:crosses val="autoZero"/>
        <c:auto val="1"/>
        <c:lblAlgn val="ctr"/>
        <c:lblOffset val="100"/>
        <c:noMultiLvlLbl val="0"/>
      </c:catAx>
      <c:valAx>
        <c:axId val="13089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0808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E46-42C4-8994-BBFCA89B0F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E46-42C4-8994-BBFCA89B0F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E46-42C4-8994-BBFCA89B0F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E46-42C4-8994-BBFCA89B0F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E46-42C4-8994-BBFCA89B0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211-40A6-B5A1-4D397D496C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211-40A6-B5A1-4D397D496C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211-40A6-B5A1-4D397D496C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211-40A6-B5A1-4D397D496C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211-40A6-B5A1-4D397D496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'Q4.48'!$C$5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1-49AA-A1A5-33EA49806A96}"/>
            </c:ext>
          </c:extLst>
        </c:ser>
        <c:ser>
          <c:idx val="1"/>
          <c:order val="1"/>
          <c:tx>
            <c:strRef>
              <c:f>'Q4.48'!$D$5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'Q4.48'!$B$6:$B$12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'Q4.48'!$D$6:$D$12</c:f>
              <c:numCache>
                <c:formatCode>General</c:formatCode>
                <c:ptCount val="7"/>
                <c:pt idx="0">
                  <c:v>16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12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1-49AA-A1A5-33EA49806A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530560"/>
        <c:axId val="132532096"/>
      </c:barChart>
      <c:catAx>
        <c:axId val="13253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32096"/>
        <c:crosses val="autoZero"/>
        <c:auto val="1"/>
        <c:lblAlgn val="ctr"/>
        <c:lblOffset val="100"/>
        <c:noMultiLvlLbl val="0"/>
      </c:catAx>
      <c:valAx>
        <c:axId val="132532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53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E4-4692-9CC8-8934C03969E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E4-4692-9CC8-8934C03969E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E4-4692-9CC8-8934C03969E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E4-4692-9CC8-8934C0396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E4-4692-9CC8-8934C0396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'Q4.48'!$D$24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55A-4460-8095-BD43CDE054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55A-4460-8095-BD43CDE054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55A-4460-8095-BD43CDE054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55A-4460-8095-BD43CDE054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'Q4.48'!$C$25:$C$28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'Q4.48'!$D$25:$D$28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55A-4460-8095-BD43CDE05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'Q4.50'!$C$5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9DF-417B-9DA2-3DA1C1929E82}"/>
            </c:ext>
          </c:extLst>
        </c:ser>
        <c:ser>
          <c:idx val="1"/>
          <c:order val="1"/>
          <c:tx>
            <c:strRef>
              <c:f>'Q4.50'!$D$5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'Q4.50'!$D$6:$D$8</c:f>
              <c:numCache>
                <c:formatCode>General</c:formatCode>
                <c:ptCount val="3"/>
                <c:pt idx="0">
                  <c:v>0</c:v>
                </c:pt>
                <c:pt idx="1">
                  <c:v>13</c:v>
                </c:pt>
                <c:pt idx="2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9DF-417B-9DA2-3DA1C1929E8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2802048"/>
        <c:axId val="132803584"/>
      </c:barChart>
      <c:catAx>
        <c:axId val="13280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3584"/>
        <c:crosses val="autoZero"/>
        <c:auto val="1"/>
        <c:lblAlgn val="ctr"/>
        <c:lblOffset val="100"/>
        <c:noMultiLvlLbl val="0"/>
      </c:catAx>
      <c:valAx>
        <c:axId val="13280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280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'Q4.51'!$C$6:$C$8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27-45FA-96B2-80CBFF7638E0}"/>
            </c:ext>
          </c:extLst>
        </c:ser>
        <c:ser>
          <c:idx val="1"/>
          <c:order val="1"/>
          <c:tx>
            <c:strRef>
              <c:f>'Q4.51'!$D$5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'Q4.51'!$D$6:$D$8</c:f>
              <c:numCache>
                <c:formatCode>General</c:formatCode>
                <c:ptCount val="3"/>
                <c:pt idx="0">
                  <c:v>0</c:v>
                </c:pt>
                <c:pt idx="1">
                  <c:v>11</c:v>
                </c:pt>
                <c:pt idx="2">
                  <c:v>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527-45FA-96B2-80CBFF7638E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293952"/>
        <c:axId val="133295488"/>
      </c:barChart>
      <c:catAx>
        <c:axId val="13329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95488"/>
        <c:crosses val="autoZero"/>
        <c:auto val="1"/>
        <c:lblAlgn val="ctr"/>
        <c:lblOffset val="100"/>
        <c:noMultiLvlLbl val="0"/>
      </c:catAx>
      <c:valAx>
        <c:axId val="133295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293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'Q4.52'!$C$6:$C$12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25-4218-8E4D-21D2D915CB1A}"/>
            </c:ext>
          </c:extLst>
        </c:ser>
        <c:ser>
          <c:idx val="1"/>
          <c:order val="1"/>
          <c:tx>
            <c:strRef>
              <c:f>'Q4.52'!$D$5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'Q4.52'!$D$6:$D$12</c:f>
              <c:numCache>
                <c:formatCode>General</c:formatCode>
                <c:ptCount val="7"/>
                <c:pt idx="0">
                  <c:v>23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25-4218-8E4D-21D2D915CB1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3442176"/>
        <c:axId val="133443968"/>
      </c:barChart>
      <c:catAx>
        <c:axId val="13344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43968"/>
        <c:crosses val="autoZero"/>
        <c:auto val="1"/>
        <c:lblAlgn val="ctr"/>
        <c:lblOffset val="100"/>
        <c:noMultiLvlLbl val="0"/>
      </c:catAx>
      <c:valAx>
        <c:axId val="13344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44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A7F-4E92-92BA-97D8EB98C3B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A7F-4E92-92BA-97D8EB98C3B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A7F-4E92-92BA-97D8EB98C3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A7F-4E92-92BA-97D8EB98C3B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A7F-4E92-92BA-97D8EB98C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FC-4A1B-8E32-9FB896B7ACC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FC-4A1B-8E32-9FB896B7ACC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FC-4A1B-8E32-9FB896B7ACC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FC-4A1B-8E32-9FB896B7ACC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'Q4.03'!$D$25:$D$28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FC-4A1B-8E32-9FB896B7A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9B-49D7-A888-416A2B857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9B-49D7-A888-416A2B857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9B-49D7-A888-416A2B857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9B-49D7-A888-416A2B857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'Q4.52'!$D$25:$D$28</c:f>
              <c:numCache>
                <c:formatCode>General</c:formatCode>
                <c:ptCount val="4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9B-49D7-A888-416A2B857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5A-4020-8365-8A0E66C6EC4B}"/>
            </c:ext>
          </c:extLst>
        </c:ser>
        <c:ser>
          <c:idx val="1"/>
          <c:order val="1"/>
          <c:tx>
            <c:strRef>
              <c:f>'Q4.53'!$D$5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'Q4.53'!$D$6:$D$12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5A-4020-8365-8A0E66C6E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4287744"/>
        <c:axId val="134289280"/>
      </c:barChart>
      <c:catAx>
        <c:axId val="1342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89280"/>
        <c:crosses val="autoZero"/>
        <c:auto val="1"/>
        <c:lblAlgn val="ctr"/>
        <c:lblOffset val="100"/>
        <c:noMultiLvlLbl val="0"/>
      </c:catAx>
      <c:valAx>
        <c:axId val="13428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428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64E-4813-8D6E-B5A5FABA00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64E-4813-8D6E-B5A5FABA00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64E-4813-8D6E-B5A5FABA00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64E-4813-8D6E-B5A5FABA00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64E-4813-8D6E-B5A5FABA0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EA6-4E24-9FCD-C03AC4C35B2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EA6-4E24-9FCD-C03AC4C35B2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EA6-4E24-9FCD-C03AC4C35B2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EA6-4E24-9FCD-C03AC4C35B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'Q4.53'!$D$25:$D$28</c:f>
              <c:numCache>
                <c:formatCode>General</c:formatCode>
                <c:ptCount val="4"/>
                <c:pt idx="0">
                  <c:v>5</c:v>
                </c:pt>
                <c:pt idx="1">
                  <c:v>0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EA6-4E24-9FCD-C03AC4C35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'Q4.54'!$C$6:$C$12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0C-47EA-9D15-0B356D4B3344}"/>
            </c:ext>
          </c:extLst>
        </c:ser>
        <c:ser>
          <c:idx val="1"/>
          <c:order val="1"/>
          <c:tx>
            <c:strRef>
              <c:f>'Q4.54'!$D$5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'Q4.54'!$D$6:$D$12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15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0C-47EA-9D15-0B356D4B334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037888"/>
        <c:axId val="136039424"/>
      </c:barChart>
      <c:catAx>
        <c:axId val="13603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39424"/>
        <c:crosses val="autoZero"/>
        <c:auto val="1"/>
        <c:lblAlgn val="ctr"/>
        <c:lblOffset val="100"/>
        <c:noMultiLvlLbl val="0"/>
      </c:catAx>
      <c:valAx>
        <c:axId val="136039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037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95-4ED7-B16A-5386A3A397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95-4ED7-B16A-5386A3A397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95-4ED7-B16A-5386A3A397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95-4ED7-B16A-5386A3A397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95-4ED7-B16A-5386A3A39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F12-44CF-80CC-A30B6ADB5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F12-44CF-80CC-A30B6ADB5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F12-44CF-80CC-A30B6ADB5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F12-44CF-80CC-A30B6ADB5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'Q4.54'!$D$25:$D$28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F12-44CF-80CC-A30B6ADB5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60-4D0A-B700-DC0F9EB20788}"/>
            </c:ext>
          </c:extLst>
        </c:ser>
        <c:ser>
          <c:idx val="1"/>
          <c:order val="1"/>
          <c:tx>
            <c:strRef>
              <c:f>'Q4.55'!$D$5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'Q4.55'!$D$6:$D$12</c:f>
              <c:numCache>
                <c:formatCode>General</c:formatCode>
                <c:ptCount val="7"/>
                <c:pt idx="0">
                  <c:v>21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60-4D0A-B700-DC0F9EB2078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219648"/>
        <c:axId val="136233728"/>
      </c:barChart>
      <c:catAx>
        <c:axId val="13621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33728"/>
        <c:crosses val="autoZero"/>
        <c:auto val="1"/>
        <c:lblAlgn val="ctr"/>
        <c:lblOffset val="100"/>
        <c:noMultiLvlLbl val="0"/>
      </c:catAx>
      <c:valAx>
        <c:axId val="13623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219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6D3-BABB-F5A1D6EB6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6D3-BABB-F5A1D6EB6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6D3-BABB-F5A1D6EB6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6D3-BABB-F5A1D6EB6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6D3-BABB-F5A1D6EB6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CA-447C-80F4-9158A98675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CA-447C-80F4-9158A98675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CA-447C-80F4-9158A98675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8CA-447C-80F4-9158A98675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'Q4.55'!$D$25:$D$28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8CA-447C-80F4-9158A986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0-44EE-B071-53F6686254C7}"/>
            </c:ext>
          </c:extLst>
        </c:ser>
        <c:ser>
          <c:idx val="1"/>
          <c:order val="1"/>
          <c:tx>
            <c:strRef>
              <c:f>'Q4.04'!$D$5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'Q4.04'!$D$6:$D$12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6</c:v>
                </c:pt>
                <c:pt idx="5">
                  <c:v>13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0-44EE-B071-53F6686254C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735488"/>
        <c:axId val="86737280"/>
      </c:barChart>
      <c:catAx>
        <c:axId val="867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37280"/>
        <c:crosses val="autoZero"/>
        <c:auto val="1"/>
        <c:lblAlgn val="ctr"/>
        <c:lblOffset val="100"/>
        <c:noMultiLvlLbl val="0"/>
      </c:catAx>
      <c:valAx>
        <c:axId val="8673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73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ED-4B23-8DF5-E56743CEE893}"/>
            </c:ext>
          </c:extLst>
        </c:ser>
        <c:ser>
          <c:idx val="1"/>
          <c:order val="1"/>
          <c:tx>
            <c:strRef>
              <c:f>'Q4.56'!$D$5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'Q4.56'!$D$6:$D$12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9ED-4B23-8DF5-E56743CEE89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467200"/>
        <c:axId val="136468736"/>
      </c:barChart>
      <c:catAx>
        <c:axId val="13646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68736"/>
        <c:crosses val="autoZero"/>
        <c:auto val="1"/>
        <c:lblAlgn val="ctr"/>
        <c:lblOffset val="100"/>
        <c:noMultiLvlLbl val="0"/>
      </c:catAx>
      <c:valAx>
        <c:axId val="13646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467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21-4845-8F19-6E0C66D52C0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21-4845-8F19-6E0C66D52C0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21-4845-8F19-6E0C66D52C0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21-4845-8F19-6E0C66D52C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21-4845-8F19-6E0C66D52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7A7-46D3-9D2C-55A903B3E4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7A7-46D3-9D2C-55A903B3E4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7A7-46D3-9D2C-55A903B3E4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7A7-46D3-9D2C-55A903B3E4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'Q4.56'!$D$25:$D$28</c:f>
              <c:numCache>
                <c:formatCode>General</c:formatCode>
                <c:ptCount val="4"/>
                <c:pt idx="0">
                  <c:v>5</c:v>
                </c:pt>
                <c:pt idx="1">
                  <c:v>2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7A7-46D3-9D2C-55A903B3E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48-4627-99F7-E3B7351A61C2}"/>
            </c:ext>
          </c:extLst>
        </c:ser>
        <c:ser>
          <c:idx val="1"/>
          <c:order val="1"/>
          <c:tx>
            <c:strRef>
              <c:f>'Q4.57'!$D$5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'Q4.57'!$D$6:$D$12</c:f>
              <c:numCache>
                <c:formatCode>General</c:formatCode>
                <c:ptCount val="7"/>
                <c:pt idx="0">
                  <c:v>21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48-4627-99F7-E3B7351A61C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6730880"/>
        <c:axId val="136732672"/>
      </c:barChart>
      <c:catAx>
        <c:axId val="13673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32672"/>
        <c:crosses val="autoZero"/>
        <c:auto val="1"/>
        <c:lblAlgn val="ctr"/>
        <c:lblOffset val="100"/>
        <c:noMultiLvlLbl val="0"/>
      </c:catAx>
      <c:valAx>
        <c:axId val="13673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673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D01-425E-9A1E-59178DE52F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D01-425E-9A1E-59178DE52F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D01-425E-9A1E-59178DE52F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D01-425E-9A1E-59178DE52F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D01-425E-9A1E-59178DE52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55-459E-A9E4-8CCD40F06C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55-459E-A9E4-8CCD40F06C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55-459E-A9E4-8CCD40F06C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55-459E-A9E4-8CCD40F06C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'Q4.57'!$D$25:$D$28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55-459E-A9E4-8CCD40F06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4-410E-ABAF-8B324E25E47D}"/>
            </c:ext>
          </c:extLst>
        </c:ser>
        <c:ser>
          <c:idx val="1"/>
          <c:order val="1"/>
          <c:tx>
            <c:strRef>
              <c:f>'Q4.58'!$D$5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'Q4.58'!$D$6:$D$12</c:f>
              <c:numCache>
                <c:formatCode>General</c:formatCode>
                <c:ptCount val="7"/>
                <c:pt idx="0">
                  <c:v>21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54-410E-ABAF-8B324E25E4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7022848"/>
        <c:axId val="137024640"/>
      </c:barChart>
      <c:catAx>
        <c:axId val="1370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024640"/>
        <c:crosses val="autoZero"/>
        <c:auto val="1"/>
        <c:lblAlgn val="ctr"/>
        <c:lblOffset val="100"/>
        <c:noMultiLvlLbl val="0"/>
      </c:catAx>
      <c:valAx>
        <c:axId val="13702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702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5E-4020-B85B-71B00789888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5E-4020-B85B-71B00789888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5E-4020-B85B-71B00789888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5E-4020-B85B-71B0078988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5E-4020-B85B-71B007898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E9-46C9-B25D-26535BC2F8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E9-46C9-B25D-26535BC2F8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E9-46C9-B25D-26535BC2F8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E9-46C9-B25D-26535BC2F8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'Q4.58'!$D$25:$D$28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E9-46C9-B25D-26535BC2F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'Q4.59'!$C$5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46-4B34-8372-EE7A2B9AFB4F}"/>
            </c:ext>
          </c:extLst>
        </c:ser>
        <c:ser>
          <c:idx val="1"/>
          <c:order val="1"/>
          <c:tx>
            <c:strRef>
              <c:f>'Q4.59'!$D$5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'Q4.59'!$B$6:$B$12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'Q4.59'!$D$6:$D$12</c:f>
              <c:numCache>
                <c:formatCode>General</c:formatCode>
                <c:ptCount val="7"/>
                <c:pt idx="0">
                  <c:v>21</c:v>
                </c:pt>
                <c:pt idx="1">
                  <c:v>4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46-4B34-8372-EE7A2B9AF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8445568"/>
        <c:axId val="138447104"/>
      </c:barChart>
      <c:catAx>
        <c:axId val="1384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47104"/>
        <c:crosses val="autoZero"/>
        <c:auto val="1"/>
        <c:lblAlgn val="ctr"/>
        <c:lblOffset val="100"/>
        <c:noMultiLvlLbl val="0"/>
      </c:catAx>
      <c:valAx>
        <c:axId val="13844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44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3E-4066-A8B2-2C4FB18017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3E-4066-A8B2-2C4FB18017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3E-4066-A8B2-2C4FB18017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3E-4066-A8B2-2C4FB18017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3E-4066-A8B2-2C4FB1801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540-4AF0-BBB9-573A6556681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540-4AF0-BBB9-573A6556681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540-4AF0-BBB9-573A6556681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540-4AF0-BBB9-573A655668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540-4AF0-BBB9-573A6556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'Q4.59'!$D$24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960-4E8F-90DC-E5FD256F3B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960-4E8F-90DC-E5FD256F3B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960-4E8F-90DC-E5FD256F3B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960-4E8F-90DC-E5FD256F3B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'Q4.59'!$C$25:$C$28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'Q4.59'!$D$25:$D$28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960-4E8F-90DC-E5FD256F3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2-4458-860F-94B489D6CAF0}"/>
            </c:ext>
          </c:extLst>
        </c:ser>
        <c:ser>
          <c:idx val="1"/>
          <c:order val="1"/>
          <c:tx>
            <c:strRef>
              <c:f>'Q4.60'!$D$5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'Q4.60'!$D$6:$D$12</c:f>
              <c:numCache>
                <c:formatCode>General</c:formatCode>
                <c:ptCount val="7"/>
                <c:pt idx="0">
                  <c:v>21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72-4458-860F-94B489D6CA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39286784"/>
        <c:axId val="139292672"/>
      </c:barChart>
      <c:catAx>
        <c:axId val="13928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92672"/>
        <c:crosses val="autoZero"/>
        <c:auto val="1"/>
        <c:lblAlgn val="ctr"/>
        <c:lblOffset val="100"/>
        <c:noMultiLvlLbl val="0"/>
      </c:catAx>
      <c:valAx>
        <c:axId val="13929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928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AE-4FDE-B0CC-D292438D0F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AE-4FDE-B0CC-D292438D0F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AE-4FDE-B0CC-D292438D0F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AE-4FDE-B0CC-D292438D0F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AE-4FDE-B0CC-D292438D0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0C-4B48-9E6B-B29C9E08F6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0C-4B48-9E6B-B29C9E08F6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0C-4B48-9E6B-B29C9E08F6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0C-4B48-9E6B-B29C9E08F6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'Q4.60'!$D$25:$D$28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0C-4B48-9E6B-B29C9E08F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E6-4D01-AD8A-FA59A1F6A028}"/>
            </c:ext>
          </c:extLst>
        </c:ser>
        <c:ser>
          <c:idx val="1"/>
          <c:order val="1"/>
          <c:tx>
            <c:strRef>
              <c:f>'Q4.61'!$D$5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'Q4.61'!$D$6:$D$12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E6-4D01-AD8A-FA59A1F6A02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0348800"/>
        <c:axId val="140350592"/>
      </c:barChart>
      <c:catAx>
        <c:axId val="1403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350592"/>
        <c:crosses val="autoZero"/>
        <c:auto val="1"/>
        <c:lblAlgn val="ctr"/>
        <c:lblOffset val="100"/>
        <c:noMultiLvlLbl val="0"/>
      </c:catAx>
      <c:valAx>
        <c:axId val="14035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034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150-4A86-92B0-CF39D09107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150-4A86-92B0-CF39D09107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150-4A86-92B0-CF39D09107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150-4A86-92B0-CF39D09107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150-4A86-92B0-CF39D091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BE-4D75-A714-2DA40136F5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BE-4D75-A714-2DA40136F5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BE-4D75-A714-2DA40136F5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BE-4D75-A714-2DA40136F5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'Q4.61'!$D$25:$D$28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BE-4D75-A714-2DA40136F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F3-4315-9954-556383545CD8}"/>
            </c:ext>
          </c:extLst>
        </c:ser>
        <c:ser>
          <c:idx val="1"/>
          <c:order val="1"/>
          <c:tx>
            <c:strRef>
              <c:f>'Q4.62'!$D$5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'Q4.62'!$D$6:$D$12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7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F3-4315-9954-556383545C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112064"/>
        <c:axId val="141113600"/>
      </c:barChart>
      <c:catAx>
        <c:axId val="14111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13600"/>
        <c:crosses val="autoZero"/>
        <c:auto val="1"/>
        <c:lblAlgn val="ctr"/>
        <c:lblOffset val="100"/>
        <c:noMultiLvlLbl val="0"/>
      </c:catAx>
      <c:valAx>
        <c:axId val="14111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11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B7-4E9B-828F-89D69C45C3C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B7-4E9B-828F-89D69C45C3C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B7-4E9B-828F-89D69C45C3C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B7-4E9B-828F-89D69C45C3C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B7-4E9B-828F-89D69C45C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BC-486A-801A-0ED7EE64DAC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BC-486A-801A-0ED7EE64DAC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BC-486A-801A-0ED7EE64DAC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BC-486A-801A-0ED7EE64DA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'Q4.04'!$D$25:$D$28</c:f>
              <c:numCache>
                <c:formatCode>General</c:formatCode>
                <c:ptCount val="4"/>
                <c:pt idx="0">
                  <c:v>4</c:v>
                </c:pt>
                <c:pt idx="1">
                  <c:v>0</c:v>
                </c:pt>
                <c:pt idx="2">
                  <c:v>6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6BC-486A-801A-0ED7EE64D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05-4266-B475-B123A58A53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05-4266-B475-B123A58A53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05-4266-B475-B123A58A53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05-4266-B475-B123A58A53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05-4266-B475-B123A58A5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D-4404-B64E-578A5120A639}"/>
            </c:ext>
          </c:extLst>
        </c:ser>
        <c:ser>
          <c:idx val="1"/>
          <c:order val="1"/>
          <c:tx>
            <c:strRef>
              <c:f>'Q4.63'!$D$5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'Q4.63'!$D$6:$D$12</c:f>
              <c:numCache>
                <c:formatCode>General</c:formatCode>
                <c:ptCount val="7"/>
                <c:pt idx="0">
                  <c:v>21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7D-4404-B64E-578A5120A63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330304"/>
        <c:axId val="141331840"/>
      </c:barChart>
      <c:catAx>
        <c:axId val="14133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31840"/>
        <c:crosses val="autoZero"/>
        <c:auto val="1"/>
        <c:lblAlgn val="ctr"/>
        <c:lblOffset val="100"/>
        <c:noMultiLvlLbl val="0"/>
      </c:catAx>
      <c:valAx>
        <c:axId val="14133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33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30-4855-AD4E-F48262880D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30-4855-AD4E-F48262880D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30-4855-AD4E-F48262880D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30-4855-AD4E-F48262880D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30-4855-AD4E-F48262880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15-4AC9-943F-8C33AE3F10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15-4AC9-943F-8C33AE3F10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15-4AC9-943F-8C33AE3F10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15-4AC9-943F-8C33AE3F10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15-4AC9-943F-8C33AE3F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D8-43B8-8578-26376804F8F9}"/>
            </c:ext>
          </c:extLst>
        </c:ser>
        <c:ser>
          <c:idx val="1"/>
          <c:order val="1"/>
          <c:tx>
            <c:strRef>
              <c:f>'Q4.64'!$D$5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'Q4.64'!$D$6:$D$12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1D8-43B8-8578-26376804F8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1847552"/>
        <c:axId val="141865728"/>
      </c:barChart>
      <c:catAx>
        <c:axId val="14184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65728"/>
        <c:crosses val="autoZero"/>
        <c:auto val="1"/>
        <c:lblAlgn val="ctr"/>
        <c:lblOffset val="100"/>
        <c:noMultiLvlLbl val="0"/>
      </c:catAx>
      <c:valAx>
        <c:axId val="14186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1847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38E-4FEC-9650-03E8A5D383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38E-4FEC-9650-03E8A5D383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38E-4FEC-9650-03E8A5D383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38E-4FEC-9650-03E8A5D383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38E-4FEC-9650-03E8A5D38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0A8-499F-A33A-07A84F97B3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0A8-499F-A33A-07A84F97B3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0A8-499F-A33A-07A84F97B3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0A8-499F-A33A-07A84F97B3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'Q4.64'!$D$25:$D$28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0A8-499F-A33A-07A84F97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3A-4150-8486-767CC3F76F69}"/>
            </c:ext>
          </c:extLst>
        </c:ser>
        <c:ser>
          <c:idx val="1"/>
          <c:order val="1"/>
          <c:tx>
            <c:strRef>
              <c:f>'Q4.65'!$D$5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'Q4.65'!$D$6:$D$12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53A-4150-8486-767CC3F76F6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3585664"/>
        <c:axId val="143587200"/>
      </c:barChart>
      <c:catAx>
        <c:axId val="143585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587200"/>
        <c:crosses val="autoZero"/>
        <c:auto val="1"/>
        <c:lblAlgn val="ctr"/>
        <c:lblOffset val="100"/>
        <c:noMultiLvlLbl val="0"/>
      </c:catAx>
      <c:valAx>
        <c:axId val="14358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3585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82-4E66-B9B3-E7C0C55959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82-4E66-B9B3-E7C0C55959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82-4E66-B9B3-E7C0C55959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82-4E66-B9B3-E7C0C55959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82-4E66-B9B3-E7C0C5595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212-4B38-A013-5480233961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212-4B38-A013-5480233961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212-4B38-A013-5480233961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212-4B38-A013-5480233961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'Q4.65'!$D$25:$D$28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212-4B38-A013-54802339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A6-41EB-9D66-5CBED4969F80}"/>
            </c:ext>
          </c:extLst>
        </c:ser>
        <c:ser>
          <c:idx val="1"/>
          <c:order val="1"/>
          <c:tx>
            <c:strRef>
              <c:f>'Q4.05'!$D$5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'Q4.05'!$D$6:$D$12</c:f>
              <c:numCache>
                <c:formatCode>General</c:formatCode>
                <c:ptCount val="7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A6-41EB-9D66-5CBED4969F8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6884352"/>
        <c:axId val="86885888"/>
      </c:barChart>
      <c:catAx>
        <c:axId val="868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5888"/>
        <c:crosses val="autoZero"/>
        <c:auto val="1"/>
        <c:lblAlgn val="ctr"/>
        <c:lblOffset val="100"/>
        <c:noMultiLvlLbl val="0"/>
      </c:catAx>
      <c:valAx>
        <c:axId val="8688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688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8-44DA-9213-5BB6D73EAAC0}"/>
            </c:ext>
          </c:extLst>
        </c:ser>
        <c:ser>
          <c:idx val="1"/>
          <c:order val="1"/>
          <c:tx>
            <c:strRef>
              <c:f>'Q4.66'!$D$5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'Q4.66'!$D$6:$D$12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18-44DA-9213-5BB6D73EAAC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4135680"/>
        <c:axId val="144137216"/>
      </c:barChart>
      <c:catAx>
        <c:axId val="14413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37216"/>
        <c:crosses val="autoZero"/>
        <c:auto val="1"/>
        <c:lblAlgn val="ctr"/>
        <c:lblOffset val="100"/>
        <c:noMultiLvlLbl val="0"/>
      </c:catAx>
      <c:valAx>
        <c:axId val="14413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413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8E8-4B66-95C2-19494A68DA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8E8-4B66-95C2-19494A68DA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8E8-4B66-95C2-19494A68DA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8E8-4B66-95C2-19494A68DA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8E8-4B66-95C2-19494A68D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296-4079-990F-56E2E5D8838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296-4079-990F-56E2E5D8838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296-4079-990F-56E2E5D8838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296-4079-990F-56E2E5D883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'Q4.66'!$D$25:$D$28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296-4079-990F-56E2E5D88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12-460A-8873-77CDF5C32384}"/>
            </c:ext>
          </c:extLst>
        </c:ser>
        <c:ser>
          <c:idx val="1"/>
          <c:order val="1"/>
          <c:tx>
            <c:strRef>
              <c:f>'Q4.67'!$D$5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'Q4.67'!$D$6:$D$12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4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112-460A-8873-77CDF5C3238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5525376"/>
        <c:axId val="145543552"/>
      </c:barChart>
      <c:catAx>
        <c:axId val="14552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43552"/>
        <c:crosses val="autoZero"/>
        <c:auto val="1"/>
        <c:lblAlgn val="ctr"/>
        <c:lblOffset val="100"/>
        <c:noMultiLvlLbl val="0"/>
      </c:catAx>
      <c:valAx>
        <c:axId val="145543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5525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59-450C-9919-4D8A7E9BB8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59-450C-9919-4D8A7E9BB8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59-450C-9919-4D8A7E9BB89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59-450C-9919-4D8A7E9BB8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359-450C-9919-4D8A7E9B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049-47DE-88B6-643DE87A862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049-47DE-88B6-643DE87A862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049-47DE-88B6-643DE87A862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049-47DE-88B6-643DE87A862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'Q4.67'!$D$25:$D$28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049-47DE-88B6-643DE87A8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78-4785-B469-6DC4CFEB5433}"/>
            </c:ext>
          </c:extLst>
        </c:ser>
        <c:ser>
          <c:idx val="1"/>
          <c:order val="1"/>
          <c:tx>
            <c:strRef>
              <c:f>'Q4.68'!$D$5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'Q4.68'!$D$6:$D$12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78-4785-B469-6DC4CFEB543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210816"/>
        <c:axId val="146212352"/>
      </c:barChart>
      <c:catAx>
        <c:axId val="1462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12352"/>
        <c:crosses val="autoZero"/>
        <c:auto val="1"/>
        <c:lblAlgn val="ctr"/>
        <c:lblOffset val="100"/>
        <c:noMultiLvlLbl val="0"/>
      </c:catAx>
      <c:valAx>
        <c:axId val="14621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21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5AC-4182-9258-F2157F60730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5AC-4182-9258-F2157F60730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5AC-4182-9258-F2157F60730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5AC-4182-9258-F2157F6073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5AC-4182-9258-F2157F607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B8-413C-BEA7-A58427F2188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B8-413C-BEA7-A58427F2188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B8-413C-BEA7-A58427F2188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B8-413C-BEA7-A58427F2188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'Q4.68'!$D$25:$D$28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B8-413C-BEA7-A58427F2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'Q4.69'!$C$5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7C4-48D0-B6E3-E6E8F0AAE885}"/>
            </c:ext>
          </c:extLst>
        </c:ser>
        <c:ser>
          <c:idx val="1"/>
          <c:order val="1"/>
          <c:tx>
            <c:strRef>
              <c:f>'Q4.69'!$D$5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'Q4.69'!$B$6:$B$12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'Q4.69'!$D$6:$D$12</c:f>
              <c:numCache>
                <c:formatCode>General</c:formatCode>
                <c:ptCount val="7"/>
                <c:pt idx="0">
                  <c:v>21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7C4-48D0-B6E3-E6E8F0AAE88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6773120"/>
        <c:axId val="146774656"/>
      </c:barChart>
      <c:catAx>
        <c:axId val="14677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74656"/>
        <c:crosses val="autoZero"/>
        <c:auto val="1"/>
        <c:lblAlgn val="ctr"/>
        <c:lblOffset val="100"/>
        <c:noMultiLvlLbl val="0"/>
      </c:catAx>
      <c:valAx>
        <c:axId val="146774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6773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1F-4D27-960A-C0B8AEE332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1F-4D27-960A-C0B8AEE332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1F-4D27-960A-C0B8AEE332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1F-4D27-960A-C0B8AEE332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1F-4D27-960A-C0B8AEE33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B2-451A-9C58-002630BC6ED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B2-451A-9C58-002630BC6ED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B2-451A-9C58-002630BC6ED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B2-451A-9C58-002630BC6ED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B2-451A-9C58-002630BC6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'Q4.69'!$D$24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F3D-4BB2-9DC5-64E24B6FF0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F3D-4BB2-9DC5-64E24B6FF0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F3D-4BB2-9DC5-64E24B6FF0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F3D-4BB2-9DC5-64E24B6FF06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'Q4.69'!$C$25:$C$28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'Q4.69'!$D$25:$D$28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1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F3D-4BB2-9DC5-64E24B6FF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'Q4.71'!$C$6:$C$12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5-4979-A661-4D75B47F53F0}"/>
            </c:ext>
          </c:extLst>
        </c:ser>
        <c:ser>
          <c:idx val="1"/>
          <c:order val="1"/>
          <c:tx>
            <c:strRef>
              <c:f>'Q4.71'!$D$5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'Q4.71'!$B$6:$B$12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'Q4.71'!$D$6:$D$12</c:f>
              <c:numCache>
                <c:formatCode>General</c:formatCode>
                <c:ptCount val="7"/>
                <c:pt idx="0">
                  <c:v>7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95-4979-A661-4D75B47F53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48236544"/>
        <c:axId val="148570112"/>
      </c:barChart>
      <c:catAx>
        <c:axId val="1482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570112"/>
        <c:crosses val="autoZero"/>
        <c:auto val="1"/>
        <c:lblAlgn val="ctr"/>
        <c:lblOffset val="100"/>
        <c:noMultiLvlLbl val="0"/>
      </c:catAx>
      <c:valAx>
        <c:axId val="148570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823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A8-4863-84C7-DC6137993C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A8-4863-84C7-DC6137993C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A8-4863-84C7-DC6137993C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A8-4863-84C7-DC6137993C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2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A8-4863-84C7-DC6137993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E65-48CC-9A77-FF674C041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E65-48CC-9A77-FF674C041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E65-48CC-9A77-FF674C041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E65-48CC-9A77-FF674C041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'Q4.71'!$D$25:$D$28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E65-48CC-9A77-FF674C041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'Q4.72'!$C$6:$C$12</c:f>
              <c:numCache>
                <c:formatCode>General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8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6A-4160-A65E-DC61F44648E5}"/>
            </c:ext>
          </c:extLst>
        </c:ser>
        <c:ser>
          <c:idx val="1"/>
          <c:order val="1"/>
          <c:tx>
            <c:strRef>
              <c:f>'Q4.72'!$D$5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'Q4.72'!$B$6:$B$12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'Q4.72'!$D$6:$D$12</c:f>
              <c:numCache>
                <c:formatCode>General</c:formatCode>
                <c:ptCount val="7"/>
                <c:pt idx="0">
                  <c:v>9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6A-4160-A65E-DC61F44648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0417408"/>
        <c:axId val="150418944"/>
      </c:barChart>
      <c:catAx>
        <c:axId val="15041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18944"/>
        <c:crosses val="autoZero"/>
        <c:auto val="1"/>
        <c:lblAlgn val="ctr"/>
        <c:lblOffset val="100"/>
        <c:noMultiLvlLbl val="0"/>
      </c:catAx>
      <c:valAx>
        <c:axId val="15041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041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7E-491E-B717-2E42D1D494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7E-491E-B717-2E42D1D494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7E-491E-B717-2E42D1D494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7E-491E-B717-2E42D1D494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2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7E-491E-B717-2E42D1D4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BF-4D05-A26B-5298AA098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BF-4D05-A26B-5298AA098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BF-4D05-A26B-5298AA098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BF-4D05-A26B-5298AA0987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'Q4.72'!$D$25:$D$28</c:f>
              <c:numCache>
                <c:formatCode>General</c:formatCode>
                <c:ptCount val="4"/>
                <c:pt idx="0">
                  <c:v>0</c:v>
                </c:pt>
                <c:pt idx="1">
                  <c:v>18</c:v>
                </c:pt>
                <c:pt idx="2">
                  <c:v>1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BF-4D05-A26B-5298AA098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'Q4.73'!$C$6:$C$12</c:f>
              <c:numCache>
                <c:formatCode>General</c:formatCode>
                <c:ptCount val="7"/>
                <c:pt idx="0">
                  <c:v>4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8</c:v>
                </c:pt>
                <c:pt idx="6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06-4875-97D1-2CB226BC413E}"/>
            </c:ext>
          </c:extLst>
        </c:ser>
        <c:ser>
          <c:idx val="1"/>
          <c:order val="1"/>
          <c:tx>
            <c:strRef>
              <c:f>'Q4.73'!$D$5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'Q4.73'!$B$6:$B$12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'Q4.73'!$D$6:$D$12</c:f>
              <c:numCache>
                <c:formatCode>General</c:formatCode>
                <c:ptCount val="7"/>
                <c:pt idx="0">
                  <c:v>10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06-4875-97D1-2CB226BC41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028288"/>
        <c:axId val="152029824"/>
      </c:barChart>
      <c:catAx>
        <c:axId val="15202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29824"/>
        <c:crosses val="autoZero"/>
        <c:auto val="1"/>
        <c:lblAlgn val="ctr"/>
        <c:lblOffset val="100"/>
        <c:noMultiLvlLbl val="0"/>
      </c:catAx>
      <c:valAx>
        <c:axId val="15202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02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B5B-40C6-BE51-DB5DFEE064A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5B-40C6-BE51-DB5DFEE064A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B5B-40C6-BE51-DB5DFEE064A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B5B-40C6-BE51-DB5DFEE064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3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B5B-40C6-BE51-DB5DFEE0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B0-4CBB-8A11-8E1190182A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B0-4CBB-8A11-8E1190182A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B0-4CBB-8A11-8E1190182A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B0-4CBB-8A11-8E1190182A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3-48D1-B23E-CB92E65CF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88D-4487-96FB-4DEC854BB0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88D-4487-96FB-4DEC854BB0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88D-4487-96FB-4DEC854BB0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88D-4487-96FB-4DEC854BB0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'Q4.05'!$D$25:$D$28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88D-4487-96FB-4DEC854BB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9E6-47F2-B9FD-55A4914D024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9E6-47F2-B9FD-55A4914D024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9E6-47F2-B9FD-55A4914D024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9E6-47F2-B9FD-55A4914D0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'Q4.73'!$D$25:$D$28</c:f>
              <c:numCache>
                <c:formatCode>General</c:formatCode>
                <c:ptCount val="4"/>
                <c:pt idx="0">
                  <c:v>0</c:v>
                </c:pt>
                <c:pt idx="1">
                  <c:v>18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9E6-47F2-B9FD-55A4914D0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'Q4.74'!$C$6:$C$12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CF-49FE-8190-7515527969F9}"/>
            </c:ext>
          </c:extLst>
        </c:ser>
        <c:ser>
          <c:idx val="1"/>
          <c:order val="1"/>
          <c:tx>
            <c:strRef>
              <c:f>'Q4.74'!$D$5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'Q4.74'!$B$6:$B$12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'Q4.74'!$D$6:$D$12</c:f>
              <c:numCache>
                <c:formatCode>General</c:formatCode>
                <c:ptCount val="7"/>
                <c:pt idx="0">
                  <c:v>10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9CF-49FE-8190-7515527969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2897792"/>
        <c:axId val="152899584"/>
      </c:barChart>
      <c:catAx>
        <c:axId val="15289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899584"/>
        <c:crosses val="autoZero"/>
        <c:auto val="1"/>
        <c:lblAlgn val="ctr"/>
        <c:lblOffset val="100"/>
        <c:noMultiLvlLbl val="0"/>
      </c:catAx>
      <c:valAx>
        <c:axId val="15289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2897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7BF-4C21-BC1F-6E759F6123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7BF-4C21-BC1F-6E759F6123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7BF-4C21-BC1F-6E759F6123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7BF-4C21-BC1F-6E759F6123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3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7-4B01-805C-29ABFC569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12-4507-B08C-AF4000DC29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12-4507-B08C-AF4000DC29E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12-4507-B08C-AF4000DC29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12-4507-B08C-AF4000DC29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'Q4.74'!$D$25:$D$28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90-417E-8BA6-0D783F2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'Q4.75'!$C$6:$C$12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35-4D84-9F65-E9BA0BBBA41C}"/>
            </c:ext>
          </c:extLst>
        </c:ser>
        <c:ser>
          <c:idx val="1"/>
          <c:order val="1"/>
          <c:tx>
            <c:strRef>
              <c:f>'Q4.75'!$D$5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'Q4.75'!$B$6:$B$12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'Q4.75'!$D$6:$D$12</c:f>
              <c:numCache>
                <c:formatCode>General</c:formatCode>
                <c:ptCount val="7"/>
                <c:pt idx="0">
                  <c:v>11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35-4D84-9F65-E9BA0BBBA4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3050496"/>
        <c:axId val="153052288"/>
      </c:barChart>
      <c:catAx>
        <c:axId val="1530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52288"/>
        <c:crosses val="autoZero"/>
        <c:auto val="1"/>
        <c:lblAlgn val="ctr"/>
        <c:lblOffset val="100"/>
        <c:noMultiLvlLbl val="0"/>
      </c:catAx>
      <c:valAx>
        <c:axId val="153052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3050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059-4EFC-A011-C9A04E693E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059-4EFC-A011-C9A04E693E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059-4EFC-A011-C9A04E693E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059-4EFC-A011-C9A04E693E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059-4EFC-A011-C9A04E693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A96-415A-A19C-236EB94686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A96-415A-A19C-236EB94686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A96-415A-A19C-236EB94686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A96-415A-A19C-236EB94686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'Q4.75'!$D$25:$D$28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A96-415A-A19C-236EB9468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'Q4.76'!$C$6:$C$12</c:f>
              <c:numCache>
                <c:formatCode>General</c:formatCode>
                <c:ptCount val="7"/>
                <c:pt idx="0">
                  <c:v>8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A2-40D8-A207-4FBD13FB5189}"/>
            </c:ext>
          </c:extLst>
        </c:ser>
        <c:ser>
          <c:idx val="1"/>
          <c:order val="1"/>
          <c:tx>
            <c:strRef>
              <c:f>'Q4.76'!$D$5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'Q4.76'!$B$6:$B$12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'Q4.76'!$D$6:$D$12</c:f>
              <c:numCache>
                <c:formatCode>General</c:formatCode>
                <c:ptCount val="7"/>
                <c:pt idx="0">
                  <c:v>12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8A2-40D8-A207-4FBD13FB518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4309376"/>
        <c:axId val="154310912"/>
      </c:barChart>
      <c:catAx>
        <c:axId val="1543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10912"/>
        <c:crosses val="autoZero"/>
        <c:auto val="1"/>
        <c:lblAlgn val="ctr"/>
        <c:lblOffset val="100"/>
        <c:noMultiLvlLbl val="0"/>
      </c:catAx>
      <c:valAx>
        <c:axId val="15431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4309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F8-450B-B7CB-8A74D7862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F8-450B-B7CB-8A74D7862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F8-450B-B7CB-8A74D7862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F8-450B-B7CB-8A74D7862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F8-450B-B7CB-8A74D7862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58-43CD-B7C1-359CC698D4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58-43CD-B7C1-359CC698D4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58-43CD-B7C1-359CC698D4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58-43CD-B7C1-359CC698D4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'Q4.76'!$D$25:$D$28</c:f>
              <c:numCache>
                <c:formatCode>General</c:formatCode>
                <c:ptCount val="4"/>
                <c:pt idx="0">
                  <c:v>0</c:v>
                </c:pt>
                <c:pt idx="1">
                  <c:v>18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58-43CD-B7C1-359CC698D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'Q4.06'!$C$6:$C$12</c:f>
              <c:numCache>
                <c:formatCode>General</c:formatCode>
                <c:ptCount val="7"/>
                <c:pt idx="0">
                  <c:v>29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B1-4E96-BC76-290A0F81FBC8}"/>
            </c:ext>
          </c:extLst>
        </c:ser>
        <c:ser>
          <c:idx val="1"/>
          <c:order val="1"/>
          <c:tx>
            <c:strRef>
              <c:f>'Q4.06'!$D$5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'Q4.06'!$D$6:$D$12</c:f>
              <c:numCache>
                <c:formatCode>General</c:formatCode>
                <c:ptCount val="7"/>
                <c:pt idx="0">
                  <c:v>9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B1-4E96-BC76-290A0F81FB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409216"/>
        <c:axId val="88410752"/>
      </c:barChart>
      <c:catAx>
        <c:axId val="8840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10752"/>
        <c:crosses val="autoZero"/>
        <c:auto val="1"/>
        <c:lblAlgn val="ctr"/>
        <c:lblOffset val="100"/>
        <c:noMultiLvlLbl val="0"/>
      </c:catAx>
      <c:valAx>
        <c:axId val="8841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409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'Q4.77'!$C$6:$C$12</c:f>
              <c:numCache>
                <c:formatCode>General</c:formatCode>
                <c:ptCount val="7"/>
                <c:pt idx="0">
                  <c:v>6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7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C2-4153-AAAC-5E05DFD9C4DF}"/>
            </c:ext>
          </c:extLst>
        </c:ser>
        <c:ser>
          <c:idx val="1"/>
          <c:order val="1"/>
          <c:tx>
            <c:strRef>
              <c:f>'Q4.77'!$D$5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'Q4.77'!$B$6:$B$12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'Q4.77'!$D$6:$D$12</c:f>
              <c:numCache>
                <c:formatCode>General</c:formatCode>
                <c:ptCount val="7"/>
                <c:pt idx="0">
                  <c:v>11</c:v>
                </c:pt>
                <c:pt idx="1">
                  <c:v>18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C2-4153-AAAC-5E05DFD9C4D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9991680"/>
        <c:axId val="159993216"/>
      </c:barChart>
      <c:catAx>
        <c:axId val="1599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9993216"/>
        <c:crosses val="autoZero"/>
        <c:auto val="1"/>
        <c:lblAlgn val="ctr"/>
        <c:lblOffset val="100"/>
        <c:noMultiLvlLbl val="0"/>
      </c:catAx>
      <c:valAx>
        <c:axId val="15999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99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C3A-49C7-896D-D06AADC60E9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C3A-49C7-896D-D06AADC60E9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C3A-49C7-896D-D06AADC60E9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C3A-49C7-896D-D06AADC60E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3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C3A-49C7-896D-D06AADC60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'Q4.77'!$D$24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9E-4758-A02C-80BE6D5F64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9E-4758-A02C-80BE6D5F64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9E-4758-A02C-80BE6D5F64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9E-4758-A02C-80BE6D5F64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'Q4.77'!$C$25:$C$28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'Q4.77'!$D$25:$D$28</c:f>
              <c:numCache>
                <c:formatCode>General</c:formatCode>
                <c:ptCount val="4"/>
                <c:pt idx="0">
                  <c:v>0</c:v>
                </c:pt>
                <c:pt idx="1">
                  <c:v>18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9E-4758-A02C-80BE6D5F6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'Q4.79'!$C$5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'Q4.79'!$C$6:$C$10</c:f>
              <c:numCache>
                <c:formatCode>General</c:formatCode>
                <c:ptCount val="5"/>
                <c:pt idx="0">
                  <c:v>0</c:v>
                </c:pt>
                <c:pt idx="1">
                  <c:v>9</c:v>
                </c:pt>
                <c:pt idx="2">
                  <c:v>6</c:v>
                </c:pt>
                <c:pt idx="3">
                  <c:v>11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16-47F3-B521-92138F6E2D62}"/>
            </c:ext>
          </c:extLst>
        </c:ser>
        <c:ser>
          <c:idx val="1"/>
          <c:order val="1"/>
          <c:tx>
            <c:strRef>
              <c:f>'Q4.79'!$D$5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'Q4.79'!$B$6:$B$10</c:f>
              <c:strCache>
                <c:ptCount val="5"/>
                <c:pt idx="0">
                  <c:v>Não responderam</c:v>
                </c:pt>
                <c:pt idx="1">
                  <c:v>R1</c:v>
                </c:pt>
                <c:pt idx="2">
                  <c:v>R2</c:v>
                </c:pt>
                <c:pt idx="3">
                  <c:v>R3</c:v>
                </c:pt>
                <c:pt idx="4">
                  <c:v>Outro</c:v>
                </c:pt>
              </c:strCache>
            </c:strRef>
          </c:cat>
          <c:val>
            <c:numRef>
              <c:f>'Q4.79'!$D$6:$D$10</c:f>
              <c:numCache>
                <c:formatCode>General</c:formatCode>
                <c:ptCount val="5"/>
                <c:pt idx="0">
                  <c:v>0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016-47F3-B521-92138F6E2D6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13024"/>
        <c:axId val="160523008"/>
      </c:barChart>
      <c:catAx>
        <c:axId val="16051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23008"/>
        <c:crosses val="autoZero"/>
        <c:auto val="1"/>
        <c:lblAlgn val="ctr"/>
        <c:lblOffset val="100"/>
        <c:noMultiLvlLbl val="0"/>
      </c:catAx>
      <c:valAx>
        <c:axId val="160523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1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'Q4.81'!$C$6:$C$8</c:f>
              <c:numCache>
                <c:formatCode>General</c:formatCode>
                <c:ptCount val="3"/>
                <c:pt idx="0">
                  <c:v>0</c:v>
                </c:pt>
                <c:pt idx="1">
                  <c:v>34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2B-4A3F-AF1E-6C3735F77C4B}"/>
            </c:ext>
          </c:extLst>
        </c:ser>
        <c:ser>
          <c:idx val="1"/>
          <c:order val="1"/>
          <c:tx>
            <c:strRef>
              <c:f>'Q4.81'!$D$5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'Q4.81'!$D$6:$D$8</c:f>
              <c:numCache>
                <c:formatCode>General</c:formatCode>
                <c:ptCount val="3"/>
                <c:pt idx="0">
                  <c:v>0</c:v>
                </c:pt>
                <c:pt idx="1">
                  <c:v>29</c:v>
                </c:pt>
                <c:pt idx="2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B-4A3F-AF1E-6C3735F77C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0587136"/>
        <c:axId val="160588928"/>
      </c:barChart>
      <c:catAx>
        <c:axId val="16058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88928"/>
        <c:crosses val="autoZero"/>
        <c:auto val="1"/>
        <c:lblAlgn val="ctr"/>
        <c:lblOffset val="100"/>
        <c:noMultiLvlLbl val="0"/>
      </c:catAx>
      <c:valAx>
        <c:axId val="16058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0587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'Q4.85'!$C$5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ED-4FB5-96F4-6049CA046BEE}"/>
            </c:ext>
          </c:extLst>
        </c:ser>
        <c:ser>
          <c:idx val="1"/>
          <c:order val="1"/>
          <c:tx>
            <c:strRef>
              <c:f>'Q4.85'!$D$5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'Q4.85'!$B$6:$B$8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'Q4.85'!$D$6:$D$8</c:f>
              <c:numCache>
                <c:formatCode>General</c:formatCode>
                <c:ptCount val="3"/>
                <c:pt idx="0">
                  <c:v>0</c:v>
                </c:pt>
                <c:pt idx="1">
                  <c:v>19</c:v>
                </c:pt>
                <c:pt idx="2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ED-4FB5-96F4-6049CA046B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087488"/>
        <c:axId val="161089024"/>
      </c:barChart>
      <c:catAx>
        <c:axId val="161087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089024"/>
        <c:crosses val="autoZero"/>
        <c:auto val="1"/>
        <c:lblAlgn val="ctr"/>
        <c:lblOffset val="100"/>
        <c:noMultiLvlLbl val="0"/>
      </c:catAx>
      <c:valAx>
        <c:axId val="1610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087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4C-4C09-A26E-54D554B56781}"/>
            </c:ext>
          </c:extLst>
        </c:ser>
        <c:ser>
          <c:idx val="1"/>
          <c:order val="1"/>
          <c:tx>
            <c:strRef>
              <c:f>'Q4.86'!$D$5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'Q4.86'!$D$6:$D$12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13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34C-4C09-A26E-54D554B5678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1170176"/>
        <c:axId val="161171712"/>
      </c:barChart>
      <c:catAx>
        <c:axId val="16117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71712"/>
        <c:crosses val="autoZero"/>
        <c:auto val="1"/>
        <c:lblAlgn val="ctr"/>
        <c:lblOffset val="100"/>
        <c:noMultiLvlLbl val="0"/>
      </c:catAx>
      <c:valAx>
        <c:axId val="161171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170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56-44B4-AE57-DA744F6241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56-44B4-AE57-DA744F6241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56-44B4-AE57-DA744F6241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56-44B4-AE57-DA744F6241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56-44B4-AE57-DA744F624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147-4B8C-A2BA-BE7DE001D9E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147-4B8C-A2BA-BE7DE001D9E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147-4B8C-A2BA-BE7DE001D9E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147-4B8C-A2BA-BE7DE001D9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147-4B8C-A2BA-BE7DE001D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3A-47C5-91AD-5F27A82791D8}"/>
            </c:ext>
          </c:extLst>
        </c:ser>
        <c:ser>
          <c:idx val="1"/>
          <c:order val="1"/>
          <c:tx>
            <c:strRef>
              <c:f>'Q4.87'!$D$5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'Q4.87'!$D$6:$D$12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12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3A-47C5-91AD-5F27A82791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3600256"/>
        <c:axId val="163601792"/>
      </c:barChart>
      <c:catAx>
        <c:axId val="163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01792"/>
        <c:crosses val="autoZero"/>
        <c:auto val="1"/>
        <c:lblAlgn val="ctr"/>
        <c:lblOffset val="100"/>
        <c:noMultiLvlLbl val="0"/>
      </c:catAx>
      <c:valAx>
        <c:axId val="16360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3600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8BE-4B4B-8932-570F11245B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8BE-4B4B-8932-570F11245B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8BE-4B4B-8932-570F11245B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8BE-4B4B-8932-570F11245B7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8BE-4B4B-8932-570F11245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48-4C88-8310-6883C6B5826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48-4C88-8310-6883C6B5826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48-4C88-8310-6883C6B5826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48-4C88-8310-6883C6B582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48-4C88-8310-6883C6B5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AC2-47F0-8A4D-9ABB591DA85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AC2-47F0-8A4D-9ABB591DA85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AC2-47F0-8A4D-9ABB591DA85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C2-47F0-8A4D-9ABB591DA85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'Q4.87'!$D$25:$D$28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AC2-47F0-8A4D-9ABB591DA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CA-4CA0-965B-DD338321CC5A}"/>
            </c:ext>
          </c:extLst>
        </c:ser>
        <c:ser>
          <c:idx val="1"/>
          <c:order val="1"/>
          <c:tx>
            <c:strRef>
              <c:f>'Q4.88'!$D$5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'Q4.88'!$D$6:$D$12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8CA-4CA0-965B-DD338321CC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289536"/>
        <c:axId val="164365056"/>
      </c:barChart>
      <c:catAx>
        <c:axId val="16428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365056"/>
        <c:crosses val="autoZero"/>
        <c:auto val="1"/>
        <c:lblAlgn val="ctr"/>
        <c:lblOffset val="100"/>
        <c:noMultiLvlLbl val="0"/>
      </c:catAx>
      <c:valAx>
        <c:axId val="16436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28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3A-4F2A-B86D-E75C2EA4F4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3A-4F2A-B86D-E75C2EA4F4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3A-4F2A-B86D-E75C2EA4F4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3A-4F2A-B86D-E75C2EA4F4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3A-4F2A-B86D-E75C2EA4F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717-4871-8B54-C2C2646723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17-4871-8B54-C2C2646723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717-4871-8B54-C2C2646723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717-4871-8B54-C2C2646723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'Q4.88'!$D$25:$D$28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717-4871-8B54-C2C264672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'Q4.89'!$C$5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AA-48F9-97EA-02079EB50F48}"/>
            </c:ext>
          </c:extLst>
        </c:ser>
        <c:ser>
          <c:idx val="1"/>
          <c:order val="1"/>
          <c:tx>
            <c:strRef>
              <c:f>'Q4.89'!$D$5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'Q4.89'!$B$6:$B$12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'Q4.89'!$D$6:$D$12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AA-48F9-97EA-02079EB50F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843904"/>
        <c:axId val="164845440"/>
      </c:barChart>
      <c:catAx>
        <c:axId val="16484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45440"/>
        <c:crosses val="autoZero"/>
        <c:auto val="1"/>
        <c:lblAlgn val="ctr"/>
        <c:lblOffset val="100"/>
        <c:noMultiLvlLbl val="0"/>
      </c:catAx>
      <c:valAx>
        <c:axId val="16484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843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6-442C-9E69-6CCCF0550F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6-442C-9E69-6CCCF0550F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6-442C-9E69-6CCCF0550F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6-442C-9E69-6CCCF0550F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6-442C-9E69-6CCCF0550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'Q4.89'!$D$24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C44-4D33-A2C9-4DC8FC496B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C44-4D33-A2C9-4DC8FC496B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C44-4D33-A2C9-4DC8FC496B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C44-4D33-A2C9-4DC8FC496BD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'Q4.89'!$C$25:$C$28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'Q4.89'!$D$25:$D$28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C44-4D33-A2C9-4DC8FC496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7-4E61-94A6-E017970184CC}"/>
            </c:ext>
          </c:extLst>
        </c:ser>
        <c:ser>
          <c:idx val="1"/>
          <c:order val="1"/>
          <c:tx>
            <c:strRef>
              <c:f>'Q4.90'!$D$5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'Q4.90'!$D$6:$D$12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B7-4E61-94A6-E017970184C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4996608"/>
        <c:axId val="164998144"/>
      </c:barChart>
      <c:catAx>
        <c:axId val="16499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98144"/>
        <c:crosses val="autoZero"/>
        <c:auto val="1"/>
        <c:lblAlgn val="ctr"/>
        <c:lblOffset val="100"/>
        <c:noMultiLvlLbl val="0"/>
      </c:catAx>
      <c:valAx>
        <c:axId val="164998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499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59E-442F-9F20-0E50B6235E2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59E-442F-9F20-0E50B6235E2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59E-442F-9F20-0E50B6235E2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59E-442F-9F20-0E50B6235E2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59E-442F-9F20-0E50B6235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8B-47C3-8E03-84EAEB5955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8B-47C3-8E03-84EAEB5955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8B-47C3-8E03-84EAEB5955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8B-47C3-8E03-84EAEB5955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'Q4.06'!$D$25:$D$28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8B-47C3-8E03-84EAEB59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FB-4F86-A1CA-20EB1E3265A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FB-4F86-A1CA-20EB1E3265A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FB-4F86-A1CA-20EB1E3265A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FB-4F86-A1CA-20EB1E3265A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'Q4.90'!$D$25:$D$28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FB-4F86-A1CA-20EB1E326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E6-4FE8-8061-30BF8516FDFC}"/>
            </c:ext>
          </c:extLst>
        </c:ser>
        <c:ser>
          <c:idx val="1"/>
          <c:order val="1"/>
          <c:tx>
            <c:strRef>
              <c:f>'Q4.91'!$D$5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'Q4.91'!$D$6:$D$12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2</c:v>
                </c:pt>
                <c:pt idx="4">
                  <c:v>4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E6-4FE8-8061-30BF8516FD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5276288"/>
        <c:axId val="165278080"/>
      </c:barChart>
      <c:catAx>
        <c:axId val="1652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78080"/>
        <c:crosses val="autoZero"/>
        <c:auto val="1"/>
        <c:lblAlgn val="ctr"/>
        <c:lblOffset val="100"/>
        <c:noMultiLvlLbl val="0"/>
      </c:catAx>
      <c:valAx>
        <c:axId val="16527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5276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79-4C88-A1B9-B7BADFFA7D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79-4C88-A1B9-B7BADFFA7D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79-4C88-A1B9-B7BADFFA7D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79-4C88-A1B9-B7BADFFA7D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479-4C88-A1B9-B7BADFFA7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DB-4F35-8F88-12266ECF91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DB-4F35-8F88-12266ECF91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DB-4F35-8F88-12266ECF91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DB-4F35-8F88-12266ECF91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'Q4.91'!$D$25:$D$28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4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DB-4F35-8F88-12266ECF9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E3-411A-B024-F0E71423BEBE}"/>
            </c:ext>
          </c:extLst>
        </c:ser>
        <c:ser>
          <c:idx val="1"/>
          <c:order val="1"/>
          <c:tx>
            <c:strRef>
              <c:f>'Q4.92'!$D$5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'Q4.92'!$D$6:$D$12</c:f>
              <c:numCache>
                <c:formatCode>General</c:formatCode>
                <c:ptCount val="7"/>
                <c:pt idx="0">
                  <c:v>16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E3-411A-B024-F0E71423BE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6432768"/>
        <c:axId val="166434304"/>
      </c:barChart>
      <c:catAx>
        <c:axId val="16643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34304"/>
        <c:crosses val="autoZero"/>
        <c:auto val="1"/>
        <c:lblAlgn val="ctr"/>
        <c:lblOffset val="100"/>
        <c:noMultiLvlLbl val="0"/>
      </c:catAx>
      <c:valAx>
        <c:axId val="1664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432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DD0-491B-8B66-6329E24D51D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DD0-491B-8B66-6329E24D51D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DD0-491B-8B66-6329E24D51D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DD0-491B-8B66-6329E24D51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DD0-491B-8B66-6329E24D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A8C-4E23-9EB6-7A0DF30F45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A8C-4E23-9EB6-7A0DF30F45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A8C-4E23-9EB6-7A0DF30F45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8C-4E23-9EB6-7A0DF30F45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A8C-4E23-9EB6-7A0DF30F4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9B-492C-BC40-CE834F688E9A}"/>
            </c:ext>
          </c:extLst>
        </c:ser>
        <c:ser>
          <c:idx val="1"/>
          <c:order val="1"/>
          <c:tx>
            <c:strRef>
              <c:f>'Q4.93'!$D$5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'Q4.93'!$D$6:$D$12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9B-492C-BC40-CE834F688E9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8273024"/>
        <c:axId val="168274560"/>
      </c:barChart>
      <c:catAx>
        <c:axId val="168273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74560"/>
        <c:crosses val="autoZero"/>
        <c:auto val="1"/>
        <c:lblAlgn val="ctr"/>
        <c:lblOffset val="100"/>
        <c:noMultiLvlLbl val="0"/>
      </c:catAx>
      <c:valAx>
        <c:axId val="168274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273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53-422D-A999-E9D12E5F6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53-422D-A999-E9D12E5F6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53-422D-A999-E9D12E5F65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53-422D-A999-E9D12E5F65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353-422D-A999-E9D12E5F6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F5-47AA-A652-73DA03DF4E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F5-47AA-A652-73DA03DF4E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F5-47AA-A652-73DA03DF4E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F5-47AA-A652-73DA03DF4E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F5-47AA-A652-73DA03DF4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2-46B4-8ECD-3C29503BBC73}"/>
            </c:ext>
          </c:extLst>
        </c:ser>
        <c:ser>
          <c:idx val="1"/>
          <c:order val="1"/>
          <c:tx>
            <c:strRef>
              <c:f>'Q4.07'!$D$5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'Q4.07'!$D$6:$D$12</c:f>
              <c:numCache>
                <c:formatCode>General</c:formatCode>
                <c:ptCount val="7"/>
                <c:pt idx="0">
                  <c:v>9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8</c:v>
                </c:pt>
                <c:pt idx="5">
                  <c:v>12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BA2-46B4-8ECD-3C29503BBC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672512"/>
        <c:axId val="88678400"/>
      </c:barChart>
      <c:catAx>
        <c:axId val="8867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78400"/>
        <c:crosses val="autoZero"/>
        <c:auto val="1"/>
        <c:lblAlgn val="ctr"/>
        <c:lblOffset val="100"/>
        <c:noMultiLvlLbl val="0"/>
      </c:catAx>
      <c:valAx>
        <c:axId val="8867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6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9F-4AB7-B2AB-192CCAA2B48B}"/>
            </c:ext>
          </c:extLst>
        </c:ser>
        <c:ser>
          <c:idx val="1"/>
          <c:order val="1"/>
          <c:tx>
            <c:strRef>
              <c:f>'Q4.94'!$D$5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'Q4.94'!$D$6:$D$12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6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9F-4AB7-B2AB-192CCAA2B4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072896"/>
        <c:axId val="169164800"/>
      </c:barChart>
      <c:catAx>
        <c:axId val="16907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164800"/>
        <c:crosses val="autoZero"/>
        <c:auto val="1"/>
        <c:lblAlgn val="ctr"/>
        <c:lblOffset val="100"/>
        <c:noMultiLvlLbl val="0"/>
      </c:catAx>
      <c:valAx>
        <c:axId val="16916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07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972-4EBB-AEA6-E687DECFB6C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972-4EBB-AEA6-E687DECFB6C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972-4EBB-AEA6-E687DECFB6C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972-4EBB-AEA6-E687DECFB6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972-4EBB-AEA6-E687DECFB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402-41B6-9640-2A0016046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402-41B6-9640-2A0016046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402-41B6-9640-2A0016046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402-41B6-9640-2A0016046F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'Q4.94'!$D$25:$D$28</c:f>
              <c:numCache>
                <c:formatCode>General</c:formatCode>
                <c:ptCount val="4"/>
                <c:pt idx="0">
                  <c:v>8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402-41B6-9640-2A0016046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74-4A94-8E49-D6E457BD9612}"/>
            </c:ext>
          </c:extLst>
        </c:ser>
        <c:ser>
          <c:idx val="1"/>
          <c:order val="1"/>
          <c:tx>
            <c:strRef>
              <c:f>'Q4.95'!$D$5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'Q4.95'!$D$6:$D$12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74-4A94-8E49-D6E457BD961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69811968"/>
        <c:axId val="169813504"/>
      </c:barChart>
      <c:catAx>
        <c:axId val="169811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13504"/>
        <c:crosses val="autoZero"/>
        <c:auto val="1"/>
        <c:lblAlgn val="ctr"/>
        <c:lblOffset val="100"/>
        <c:noMultiLvlLbl val="0"/>
      </c:catAx>
      <c:valAx>
        <c:axId val="16981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9811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FA-4E81-B45B-53C2EFE80A5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FA-4E81-B45B-53C2EFE80A5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FA-4E81-B45B-53C2EFE80A5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FA-4E81-B45B-53C2EFE80A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6FA-4E81-B45B-53C2EFE80A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5D1-4C00-A42F-D87DE6784A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5D1-4C00-A42F-D87DE6784A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5D1-4C00-A42F-D87DE6784A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5D1-4C00-A42F-D87DE6784A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'Q4.95'!$D$25:$D$28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4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5D1-4C00-A42F-D87DE6784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8B-4608-A95F-D5888A7EDB7D}"/>
            </c:ext>
          </c:extLst>
        </c:ser>
        <c:ser>
          <c:idx val="1"/>
          <c:order val="1"/>
          <c:tx>
            <c:strRef>
              <c:f>'Q4.96'!$D$5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'Q4.96'!$D$6:$D$12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10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8B-4608-A95F-D5888A7EDB7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0501248"/>
        <c:axId val="170502784"/>
      </c:barChart>
      <c:catAx>
        <c:axId val="17050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02784"/>
        <c:crosses val="autoZero"/>
        <c:auto val="1"/>
        <c:lblAlgn val="ctr"/>
        <c:lblOffset val="100"/>
        <c:noMultiLvlLbl val="0"/>
      </c:catAx>
      <c:valAx>
        <c:axId val="17050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050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A2-4FC4-BF53-C1FC8854537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A2-4FC4-BF53-C1FC8854537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A2-4FC4-BF53-C1FC8854537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A2-4FC4-BF53-C1FC885453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A2-4FC4-BF53-C1FC88545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54-47EF-A806-98A4231D2D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54-47EF-A806-98A4231D2D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54-47EF-A806-98A4231D2D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54-47EF-A806-98A4231D2D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54-47EF-A806-98A4231D2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EA-4F5A-A85A-6900AA8F1BE2}"/>
            </c:ext>
          </c:extLst>
        </c:ser>
        <c:ser>
          <c:idx val="1"/>
          <c:order val="1"/>
          <c:tx>
            <c:strRef>
              <c:f>'Q4.97'!$D$5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'Q4.97'!$D$6:$D$12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EA-4F5A-A85A-6900AA8F1B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1567360"/>
        <c:axId val="171712512"/>
      </c:barChart>
      <c:catAx>
        <c:axId val="17156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712512"/>
        <c:crosses val="autoZero"/>
        <c:auto val="1"/>
        <c:lblAlgn val="ctr"/>
        <c:lblOffset val="100"/>
        <c:noMultiLvlLbl val="0"/>
      </c:catAx>
      <c:valAx>
        <c:axId val="17171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156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55B-4E7A-AD98-17CADB0827B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55B-4E7A-AD98-17CADB0827B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55B-4E7A-AD98-17CADB0827B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55B-4E7A-AD98-17CADB0827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55B-4E7A-AD98-17CADB08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DB-4F8A-9D02-3EC08AFBBCA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DB-4F8A-9D02-3EC08AFBBCA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DB-4F8A-9D02-3EC08AFBBCA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DB-4F8A-9D02-3EC08AFBBC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EDB-4F8A-9D02-3EC08AFB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701-4513-9F29-A31EA2EED54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701-4513-9F29-A31EA2EED54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701-4513-9F29-A31EA2EED54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701-4513-9F29-A31EA2EED5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701-4513-9F29-A31EA2EED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25-4A09-8B33-993C3A8F2D02}"/>
            </c:ext>
          </c:extLst>
        </c:ser>
        <c:ser>
          <c:idx val="1"/>
          <c:order val="1"/>
          <c:tx>
            <c:strRef>
              <c:f>'Q4.98'!$D$5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'Q4.98'!$D$6:$D$12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25-4A09-8B33-993C3A8F2D0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2723584"/>
        <c:axId val="172733568"/>
      </c:barChart>
      <c:catAx>
        <c:axId val="17272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33568"/>
        <c:crosses val="autoZero"/>
        <c:auto val="1"/>
        <c:lblAlgn val="ctr"/>
        <c:lblOffset val="100"/>
        <c:noMultiLvlLbl val="0"/>
      </c:catAx>
      <c:valAx>
        <c:axId val="17273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2723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FC7-40DF-A9CC-FC17DE08B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FC7-40DF-A9CC-FC17DE08B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FC7-40DF-A9CC-FC17DE08B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FC7-40DF-A9CC-FC17DE08BB0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FC7-40DF-A9CC-FC17DE08B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69-40D8-B3AE-8106E0301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69-40D8-B3AE-8106E030136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69-40D8-B3AE-8106E030136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69-40D8-B3AE-8106E03013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'Q4.98'!$D$25:$D$28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5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69-40D8-B3AE-8106E0301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'Q4.99'!$C$5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3-4D37-A124-19C2EA88A366}"/>
            </c:ext>
          </c:extLst>
        </c:ser>
        <c:ser>
          <c:idx val="1"/>
          <c:order val="1"/>
          <c:tx>
            <c:strRef>
              <c:f>'Q4.99'!$D$5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'Q4.99'!$B$6:$B$12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'Q4.99'!$D$6:$D$12</c:f>
              <c:numCache>
                <c:formatCode>General</c:formatCode>
                <c:ptCount val="7"/>
                <c:pt idx="0">
                  <c:v>15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9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73-4D37-A124-19C2EA88A36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789952"/>
        <c:axId val="173791488"/>
      </c:barChart>
      <c:catAx>
        <c:axId val="1737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91488"/>
        <c:crosses val="autoZero"/>
        <c:auto val="1"/>
        <c:lblAlgn val="ctr"/>
        <c:lblOffset val="100"/>
        <c:noMultiLvlLbl val="0"/>
      </c:catAx>
      <c:valAx>
        <c:axId val="17379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78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9A-400E-9665-298796A87B4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9A-400E-9665-298796A87B4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9A-400E-9665-298796A87B4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9A-400E-9665-298796A87B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49A-400E-9665-298796A87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'Q4.99'!$D$24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71-4563-A569-074AC68CA4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71-4563-A569-074AC68CA4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71-4563-A569-074AC68CA4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71-4563-A569-074AC68CA4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'Q4.99'!$C$25:$C$28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'Q4.99'!$D$25:$D$28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71-4563-A569-074AC68CA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6D-45F7-877F-79F21505CC4F}"/>
            </c:ext>
          </c:extLst>
        </c:ser>
        <c:ser>
          <c:idx val="1"/>
          <c:order val="1"/>
          <c:tx>
            <c:strRef>
              <c:f>'Q4.100'!$D$5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'Q4.100'!$D$6:$D$12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5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26D-45F7-877F-79F21505CC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3959040"/>
        <c:axId val="173960576"/>
      </c:barChart>
      <c:catAx>
        <c:axId val="173959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60576"/>
        <c:crosses val="autoZero"/>
        <c:auto val="1"/>
        <c:lblAlgn val="ctr"/>
        <c:lblOffset val="100"/>
        <c:noMultiLvlLbl val="0"/>
      </c:catAx>
      <c:valAx>
        <c:axId val="17396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3959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69E-4551-A79C-7786AD7068C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69E-4551-A79C-7786AD7068C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69E-4551-A79C-7786AD7068C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69E-4551-A79C-7786AD7068C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69E-4551-A79C-7786AD706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5A1-4DFF-A21F-A6D7F11EE1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5A1-4DFF-A21F-A6D7F11EE1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5A1-4DFF-A21F-A6D7F11EE1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5A1-4DFF-A21F-A6D7F11EE1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'Q4.07'!$D$25:$D$28</c:f>
              <c:numCache>
                <c:formatCode>General</c:formatCode>
                <c:ptCount val="4"/>
                <c:pt idx="0">
                  <c:v>3</c:v>
                </c:pt>
                <c:pt idx="1">
                  <c:v>0</c:v>
                </c:pt>
                <c:pt idx="2">
                  <c:v>8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5A1-4DFF-A21F-A6D7F11EE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E46-4DF6-BDAC-21CF1DD561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E46-4DF6-BDAC-21CF1DD561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E46-4DF6-BDAC-21CF1DD561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E46-4DF6-BDAC-21CF1DD5611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'Q4.100'!$D$25:$D$28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46-4DF6-BDAC-21CF1DD56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'Q4.101'!$C$6:$C$12</c:f>
              <c:numCache>
                <c:formatCode>General</c:formatCode>
                <c:ptCount val="7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8F-45FE-A697-53BDE6FC5971}"/>
            </c:ext>
          </c:extLst>
        </c:ser>
        <c:ser>
          <c:idx val="1"/>
          <c:order val="1"/>
          <c:tx>
            <c:strRef>
              <c:f>'Q4.101'!$D$5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'Q4.101'!$D$6:$D$12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9</c:v>
                </c:pt>
                <c:pt idx="6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58F-45FE-A697-53BDE6FC59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4873600"/>
        <c:axId val="174883584"/>
      </c:barChart>
      <c:catAx>
        <c:axId val="17487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83584"/>
        <c:crosses val="autoZero"/>
        <c:auto val="1"/>
        <c:lblAlgn val="ctr"/>
        <c:lblOffset val="100"/>
        <c:noMultiLvlLbl val="0"/>
      </c:catAx>
      <c:valAx>
        <c:axId val="17488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4873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DC2-4ED6-A56E-D4627CAA25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DC2-4ED6-A56E-D4627CAA25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DC2-4ED6-A56E-D4627CAA25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DC2-4ED6-A56E-D4627CAA25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DC2-4ED6-A56E-D4627CAA2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7F-48C3-A68D-B28B16712B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7F-48C3-A68D-B28B16712B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7F-48C3-A68D-B28B16712B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7F-48C3-A68D-B28B16712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47F-48C3-A68D-B28B16712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69-4A5B-A62B-DBEDBDC2C652}"/>
            </c:ext>
          </c:extLst>
        </c:ser>
        <c:ser>
          <c:idx val="1"/>
          <c:order val="1"/>
          <c:tx>
            <c:strRef>
              <c:f>'Q4.102'!$D$5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'Q4.102'!$D$6:$D$12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6</c:v>
                </c:pt>
                <c:pt idx="6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69-4A5B-A62B-DBEDBDC2C6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6693632"/>
        <c:axId val="176695168"/>
      </c:barChart>
      <c:catAx>
        <c:axId val="176693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95168"/>
        <c:crosses val="autoZero"/>
        <c:auto val="1"/>
        <c:lblAlgn val="ctr"/>
        <c:lblOffset val="100"/>
        <c:noMultiLvlLbl val="0"/>
      </c:catAx>
      <c:valAx>
        <c:axId val="17669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6693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B75-46F4-9A9F-CCD44EE92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B75-46F4-9A9F-CCD44EE92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B75-46F4-9A9F-CCD44EE92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B75-46F4-9A9F-CCD44EE92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B75-46F4-9A9F-CCD44EE92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096-4B98-87D4-FA2AA71E55A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096-4B98-87D4-FA2AA71E55A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096-4B98-87D4-FA2AA71E55A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096-4B98-87D4-FA2AA71E55A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'Q4.102'!$D$25:$D$28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096-4B98-87D4-FA2AA71E5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FE-4E87-BCEE-0DB253BCC3EA}"/>
            </c:ext>
          </c:extLst>
        </c:ser>
        <c:ser>
          <c:idx val="1"/>
          <c:order val="1"/>
          <c:tx>
            <c:strRef>
              <c:f>'Q4.103'!$D$5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'Q4.103'!$D$6:$D$12</c:f>
              <c:numCache>
                <c:formatCode>General</c:formatCode>
                <c:ptCount val="7"/>
                <c:pt idx="0">
                  <c:v>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FE-4E87-BCEE-0DB253BCC3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289088"/>
        <c:axId val="177290624"/>
      </c:barChart>
      <c:catAx>
        <c:axId val="17728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90624"/>
        <c:crosses val="autoZero"/>
        <c:auto val="1"/>
        <c:lblAlgn val="ctr"/>
        <c:lblOffset val="100"/>
        <c:noMultiLvlLbl val="0"/>
      </c:catAx>
      <c:valAx>
        <c:axId val="17729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28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E0-48E6-B13D-EF0EC2C3A5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E0-48E6-B13D-EF0EC2C3A5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E0-48E6-B13D-EF0EC2C3A5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E0-48E6-B13D-EF0EC2C3A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E0-48E6-B13D-EF0EC2C3A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E2-4AFB-A899-62D2D57476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E2-4AFB-A899-62D2D57476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E2-4AFB-A899-62D2D57476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E2-4AFB-A899-62D2D5747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E2-4AFB-A899-62D2D5747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57-46D7-9599-9F3416275E51}"/>
            </c:ext>
          </c:extLst>
        </c:ser>
        <c:ser>
          <c:idx val="1"/>
          <c:order val="1"/>
          <c:tx>
            <c:strRef>
              <c:f>'Q4.08'!$D$5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'Q4.08'!$D$6:$D$12</c:f>
              <c:numCache>
                <c:formatCode>General</c:formatCode>
                <c:ptCount val="7"/>
                <c:pt idx="0">
                  <c:v>9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12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57-46D7-9599-9F3416275E5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8882560"/>
        <c:axId val="88888448"/>
      </c:barChart>
      <c:catAx>
        <c:axId val="8888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88448"/>
        <c:crosses val="autoZero"/>
        <c:auto val="1"/>
        <c:lblAlgn val="ctr"/>
        <c:lblOffset val="100"/>
        <c:noMultiLvlLbl val="0"/>
      </c:catAx>
      <c:valAx>
        <c:axId val="88888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888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20-493C-A4C7-F1C01081FB8C}"/>
            </c:ext>
          </c:extLst>
        </c:ser>
        <c:ser>
          <c:idx val="1"/>
          <c:order val="1"/>
          <c:tx>
            <c:strRef>
              <c:f>'Q4.104'!$D$5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'Q4.104'!$D$6:$D$12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3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020-493C-A4C7-F1C01081FB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7736704"/>
        <c:axId val="177738496"/>
      </c:barChart>
      <c:catAx>
        <c:axId val="1777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38496"/>
        <c:crosses val="autoZero"/>
        <c:auto val="1"/>
        <c:lblAlgn val="ctr"/>
        <c:lblOffset val="100"/>
        <c:noMultiLvlLbl val="0"/>
      </c:catAx>
      <c:valAx>
        <c:axId val="177738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77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AF3-492A-9DEA-163A337497A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AF3-492A-9DEA-163A337497A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AF3-492A-9DEA-163A337497A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AF3-492A-9DEA-163A337497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AF3-492A-9DEA-163A33749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69-4300-B919-7190F9FD2FC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69-4300-B919-7190F9FD2FC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69-4300-B919-7190F9FD2FC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169-4300-B919-7190F9FD2F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'Q4.104'!$D$25:$D$28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69-4300-B919-7190F9FD2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80-432E-AC77-9A8D268D538B}"/>
            </c:ext>
          </c:extLst>
        </c:ser>
        <c:ser>
          <c:idx val="1"/>
          <c:order val="1"/>
          <c:tx>
            <c:strRef>
              <c:f>'Q4.105'!$D$5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'Q4.105'!$D$6:$D$12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480-432E-AC77-9A8D268D53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078080"/>
        <c:axId val="178079616"/>
      </c:barChart>
      <c:catAx>
        <c:axId val="17807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79616"/>
        <c:crosses val="autoZero"/>
        <c:auto val="1"/>
        <c:lblAlgn val="ctr"/>
        <c:lblOffset val="100"/>
        <c:noMultiLvlLbl val="0"/>
      </c:catAx>
      <c:valAx>
        <c:axId val="17807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07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9AF-425A-A2DA-1CAED28DFB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9AF-425A-A2DA-1CAED28DFB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9AF-425A-A2DA-1CAED28DFB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9AF-425A-A2DA-1CAED28DFB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AF-425A-A2DA-1CAED28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0E-4219-B58C-4BD136F84A8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0E-4219-B58C-4BD136F84A8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0E-4219-B58C-4BD136F84A8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0E-4219-B58C-4BD136F84A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'Q4.105'!$D$25:$D$28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B0E-4219-B58C-4BD136F8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4D-4526-8D39-ECAAAEF82B8B}"/>
            </c:ext>
          </c:extLst>
        </c:ser>
        <c:ser>
          <c:idx val="1"/>
          <c:order val="1"/>
          <c:tx>
            <c:strRef>
              <c:f>'Q4.106'!$D$5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'Q4.106'!$D$6:$D$12</c:f>
              <c:numCache>
                <c:formatCode>General</c:formatCode>
                <c:ptCount val="7"/>
                <c:pt idx="0">
                  <c:v>15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5</c:v>
                </c:pt>
                <c:pt idx="5">
                  <c:v>7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4D-4526-8D39-ECAAAEF82B8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292224"/>
        <c:axId val="178293760"/>
      </c:barChart>
      <c:catAx>
        <c:axId val="17829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93760"/>
        <c:crosses val="autoZero"/>
        <c:auto val="1"/>
        <c:lblAlgn val="ctr"/>
        <c:lblOffset val="100"/>
        <c:noMultiLvlLbl val="0"/>
      </c:catAx>
      <c:valAx>
        <c:axId val="178293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7829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D6-417A-A0AF-BE01FB5764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D6-417A-A0AF-BE01FB5764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D6-417A-A0AF-BE01FB5764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D6-417A-A0AF-BE01FB5764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D6-417A-A0AF-BE01FB57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37-48AE-87A8-8A406D3D10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37-48AE-87A8-8A406D3D10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37-48AE-87A8-8A406D3D10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37-48AE-87A8-8A406D3D10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'Q4.106'!$D$25:$D$28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5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37-48AE-87A8-8A406D3D1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3F-44E2-BB5F-4437EC37D4EA}"/>
            </c:ext>
          </c:extLst>
        </c:ser>
        <c:ser>
          <c:idx val="1"/>
          <c:order val="1"/>
          <c:tx>
            <c:strRef>
              <c:f>'Q4.107'!$D$5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'Q4.107'!$D$6:$D$12</c:f>
              <c:numCache>
                <c:formatCode>General</c:formatCode>
                <c:ptCount val="7"/>
                <c:pt idx="0">
                  <c:v>15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3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3F-44E2-BB5F-4437EC37D4E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0513408"/>
        <c:axId val="180523392"/>
      </c:barChart>
      <c:catAx>
        <c:axId val="18051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23392"/>
        <c:crosses val="autoZero"/>
        <c:auto val="1"/>
        <c:lblAlgn val="ctr"/>
        <c:lblOffset val="100"/>
        <c:noMultiLvlLbl val="0"/>
      </c:catAx>
      <c:valAx>
        <c:axId val="180523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051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DAF-4C96-AA75-4C0FF8A054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DAF-4C96-AA75-4C0FF8A054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DAF-4C96-AA75-4C0FF8A054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DAF-4C96-AA75-4C0FF8A054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DAF-4C96-AA75-4C0FF8A05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809-4F07-B06C-8E10B86C2F6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809-4F07-B06C-8E10B86C2F6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809-4F07-B06C-8E10B86C2F6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809-4F07-B06C-8E10B86C2F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809-4F07-B06C-8E10B86C2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130-44C8-A719-15E6E56A2D0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130-44C8-A719-15E6E56A2D0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130-44C8-A719-15E6E56A2D0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130-44C8-A719-15E6E56A2D0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'Q4.107'!$D$25:$D$28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130-44C8-A719-15E6E56A2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9C-41DA-8856-7B4BF370BDA0}"/>
            </c:ext>
          </c:extLst>
        </c:ser>
        <c:ser>
          <c:idx val="1"/>
          <c:order val="1"/>
          <c:tx>
            <c:strRef>
              <c:f>'Q4.108'!$D$5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'Q4.108'!$D$6:$D$12</c:f>
              <c:numCache>
                <c:formatCode>General</c:formatCode>
                <c:ptCount val="7"/>
                <c:pt idx="0">
                  <c:v>15</c:v>
                </c:pt>
                <c:pt idx="1">
                  <c:v>3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9C-41DA-8856-7B4BF370BDA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112256"/>
        <c:axId val="182113792"/>
      </c:barChart>
      <c:catAx>
        <c:axId val="18211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13792"/>
        <c:crosses val="autoZero"/>
        <c:auto val="1"/>
        <c:lblAlgn val="ctr"/>
        <c:lblOffset val="100"/>
        <c:noMultiLvlLbl val="0"/>
      </c:catAx>
      <c:valAx>
        <c:axId val="18211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112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728-44EB-ADB3-769C78963A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728-44EB-ADB3-769C78963A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728-44EB-ADB3-769C78963A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728-44EB-ADB3-769C78963A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728-44EB-ADB3-769C789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1A0-454F-A700-5E335F3E64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1A0-454F-A700-5E335F3E64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1A0-454F-A700-5E335F3E64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1A0-454F-A700-5E335F3E64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'Q4.108'!$D$25:$D$28</c:f>
              <c:numCache>
                <c:formatCode>General</c:formatCode>
                <c:ptCount val="4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1A0-454F-A700-5E335F3E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EF-49FE-A536-3F17B43D06B2}"/>
            </c:ext>
          </c:extLst>
        </c:ser>
        <c:ser>
          <c:idx val="1"/>
          <c:order val="1"/>
          <c:tx>
            <c:strRef>
              <c:f>'Q4.109'!$D$5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'Q4.109'!$D$6:$D$12</c:f>
              <c:numCache>
                <c:formatCode>General</c:formatCode>
                <c:ptCount val="7"/>
                <c:pt idx="0">
                  <c:v>16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EF-49FE-A536-3F17B43D06B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2498432"/>
        <c:axId val="182499968"/>
      </c:barChart>
      <c:catAx>
        <c:axId val="182498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99968"/>
        <c:crosses val="autoZero"/>
        <c:auto val="1"/>
        <c:lblAlgn val="ctr"/>
        <c:lblOffset val="100"/>
        <c:noMultiLvlLbl val="0"/>
      </c:catAx>
      <c:valAx>
        <c:axId val="18249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2498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FEB-4172-A600-69020516D7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FEB-4172-A600-69020516D7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FEB-4172-A600-69020516D7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FEB-4172-A600-69020516D7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FEB-4172-A600-69020516D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FF5-460C-B1EA-AF5AF09BDE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FF5-460C-B1EA-AF5AF09BDE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FF5-460C-B1EA-AF5AF09BDE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FF5-460C-B1EA-AF5AF09BDE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'Q4.109'!$D$25:$D$28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2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FF5-460C-B1EA-AF5AF09BD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6F-4E54-BEF7-EC223D5ABA8C}"/>
            </c:ext>
          </c:extLst>
        </c:ser>
        <c:ser>
          <c:idx val="1"/>
          <c:order val="1"/>
          <c:tx>
            <c:strRef>
              <c:f>'Q4.110'!$D$5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'Q4.110'!$D$6:$D$12</c:f>
              <c:numCache>
                <c:formatCode>General</c:formatCode>
                <c:ptCount val="7"/>
                <c:pt idx="0">
                  <c:v>16</c:v>
                </c:pt>
                <c:pt idx="1">
                  <c:v>5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F-4E54-BEF7-EC223D5ABA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6153216"/>
        <c:axId val="186171392"/>
      </c:barChart>
      <c:catAx>
        <c:axId val="1861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71392"/>
        <c:crosses val="autoZero"/>
        <c:auto val="1"/>
        <c:lblAlgn val="ctr"/>
        <c:lblOffset val="100"/>
        <c:noMultiLvlLbl val="0"/>
      </c:catAx>
      <c:valAx>
        <c:axId val="18617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615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D36-48A6-A21A-8313C771EA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D36-48A6-A21A-8313C771EA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D36-48A6-A21A-8313C771EA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D36-48A6-A21A-8313C771EA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D36-48A6-A21A-8313C771E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C7E-42C4-BF6F-2A5ED8BCA64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C7E-42C4-BF6F-2A5ED8BCA64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C7E-42C4-BF6F-2A5ED8BCA64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C7E-42C4-BF6F-2A5ED8BCA6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'Q4.08'!$D$25:$D$28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C7E-42C4-BF6F-2A5ED8BCA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10-424D-9B28-B8C50E5599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10-424D-9B28-B8C50E5599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10-424D-9B28-B8C50E5599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10-424D-9B28-B8C50E5599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'Q4.110'!$D$25:$D$28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10-424D-9B28-B8C50E559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8B-482D-88CA-20C95F46B27F}"/>
            </c:ext>
          </c:extLst>
        </c:ser>
        <c:ser>
          <c:idx val="1"/>
          <c:order val="1"/>
          <c:tx>
            <c:strRef>
              <c:f>'Q4.111'!$D$5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'Q4.111'!$D$6:$D$12</c:f>
              <c:numCache>
                <c:formatCode>General</c:formatCode>
                <c:ptCount val="7"/>
                <c:pt idx="0">
                  <c:v>16</c:v>
                </c:pt>
                <c:pt idx="1">
                  <c:v>7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7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88B-482D-88CA-20C95F46B27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7198848"/>
        <c:axId val="187212928"/>
      </c:barChart>
      <c:catAx>
        <c:axId val="18719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212928"/>
        <c:crosses val="autoZero"/>
        <c:auto val="1"/>
        <c:lblAlgn val="ctr"/>
        <c:lblOffset val="100"/>
        <c:noMultiLvlLbl val="0"/>
      </c:catAx>
      <c:valAx>
        <c:axId val="18721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19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B6-4C8E-AF91-2CAA81B6D4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B6-4C8E-AF91-2CAA81B6D4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B6-4C8E-AF91-2CAA81B6D4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B6-4C8E-AF91-2CAA81B6D4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4B6-4C8E-AF91-2CAA81B6D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9A4-45D7-AF0E-8BF05AFAA52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9A4-45D7-AF0E-8BF05AFAA52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9A4-45D7-AF0E-8BF05AFAA52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9A4-45D7-AF0E-8BF05AFAA5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'Q4.111'!$D$25:$D$28</c:f>
              <c:numCache>
                <c:formatCode>General</c:formatCode>
                <c:ptCount val="4"/>
                <c:pt idx="0">
                  <c:v>0</c:v>
                </c:pt>
                <c:pt idx="1">
                  <c:v>7</c:v>
                </c:pt>
                <c:pt idx="2">
                  <c:v>2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9A4-45D7-AF0E-8BF05AFAA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1A-442E-984D-95C5F1BC7714}"/>
            </c:ext>
          </c:extLst>
        </c:ser>
        <c:ser>
          <c:idx val="1"/>
          <c:order val="1"/>
          <c:tx>
            <c:strRef>
              <c:f>'Q4.112'!$D$5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'Q4.112'!$D$6:$D$12</c:f>
              <c:numCache>
                <c:formatCode>General</c:formatCode>
                <c:ptCount val="7"/>
                <c:pt idx="0">
                  <c:v>16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1A-442E-984D-95C5F1BC77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113664"/>
        <c:axId val="188115200"/>
      </c:barChart>
      <c:catAx>
        <c:axId val="1881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15200"/>
        <c:crosses val="autoZero"/>
        <c:auto val="1"/>
        <c:lblAlgn val="ctr"/>
        <c:lblOffset val="100"/>
        <c:noMultiLvlLbl val="0"/>
      </c:catAx>
      <c:valAx>
        <c:axId val="18811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11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AA-4A5B-9F1D-D94000C281D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AA-4A5B-9F1D-D94000C281D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AA-4A5B-9F1D-D94000C281D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AA-4A5B-9F1D-D94000C281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'Q4.112'!$D$18:$D$21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AA-4A5B-9F1D-D94000C28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BF-4B1C-906B-33A67EFFCB0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BF-4B1C-906B-33A67EFFCB0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BF-4B1C-906B-33A67EFFCB0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BF-4B1C-906B-33A67EFFCB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'Q4.112'!$D$25:$D$28</c:f>
              <c:numCache>
                <c:formatCode>General</c:formatCode>
                <c:ptCount val="4"/>
                <c:pt idx="0">
                  <c:v>0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BF-4B1C-906B-33A67EF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'Q4.114'!$C$6:$C$8</c:f>
              <c:numCache>
                <c:formatCode>General</c:formatCode>
                <c:ptCount val="3"/>
                <c:pt idx="0">
                  <c:v>0</c:v>
                </c:pt>
                <c:pt idx="1">
                  <c:v>2</c:v>
                </c:pt>
                <c:pt idx="2">
                  <c:v>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1-4971-8774-A8B906F5CFAD}"/>
            </c:ext>
          </c:extLst>
        </c:ser>
        <c:ser>
          <c:idx val="1"/>
          <c:order val="1"/>
          <c:tx>
            <c:strRef>
              <c:f>'Q4.114'!$D$5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'Q4.114'!$B$6:$B$8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'Q4.114'!$D$6:$D$8</c:f>
              <c:numCache>
                <c:formatCode>General</c:formatCode>
                <c:ptCount val="3"/>
                <c:pt idx="0">
                  <c:v>0</c:v>
                </c:pt>
                <c:pt idx="1">
                  <c:v>4</c:v>
                </c:pt>
                <c:pt idx="2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1-4971-8774-A8B906F5CFA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454784"/>
        <c:axId val="188456320"/>
      </c:barChart>
      <c:catAx>
        <c:axId val="18845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56320"/>
        <c:crosses val="autoZero"/>
        <c:auto val="1"/>
        <c:lblAlgn val="ctr"/>
        <c:lblOffset val="100"/>
        <c:noMultiLvlLbl val="0"/>
      </c:catAx>
      <c:valAx>
        <c:axId val="188456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454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E-4FB2-8362-D832A2C1EC1C}"/>
            </c:ext>
          </c:extLst>
        </c:ser>
        <c:ser>
          <c:idx val="1"/>
          <c:order val="1"/>
          <c:tx>
            <c:strRef>
              <c:f>'Q4.115'!$D$5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'Q4.115'!$D$6:$D$12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E-4FB2-8362-D832A2C1EC1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8545280"/>
        <c:axId val="188559360"/>
      </c:barChart>
      <c:catAx>
        <c:axId val="18854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59360"/>
        <c:crosses val="autoZero"/>
        <c:auto val="1"/>
        <c:lblAlgn val="ctr"/>
        <c:lblOffset val="100"/>
        <c:noMultiLvlLbl val="0"/>
      </c:catAx>
      <c:valAx>
        <c:axId val="18855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545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ACE-40B6-AE74-44F80457E1E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CE-40B6-AE74-44F80457E1E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ACE-40B6-AE74-44F80457E1E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ACE-40B6-AE74-44F80457E1E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ACE-40B6-AE74-44F80457E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QTPA!$D$24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DA-46D8-9620-10D067D96D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DA-46D8-9620-10D067D96D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DA-46D8-9620-10D067D96D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DA-46D8-9620-10D067D96D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QTPA!$C$25:$C$28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QTPA!$D$25:$D$28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7E-412A-AAAD-7200BEC3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CB-49F5-B08F-76312CBD2FE1}"/>
            </c:ext>
          </c:extLst>
        </c:ser>
        <c:ser>
          <c:idx val="1"/>
          <c:order val="1"/>
          <c:tx>
            <c:strRef>
              <c:f>'Q4.09'!$D$5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'Q4.09'!$D$6:$D$12</c:f>
              <c:numCache>
                <c:formatCode>General</c:formatCode>
                <c:ptCount val="7"/>
                <c:pt idx="0">
                  <c:v>9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8</c:v>
                </c:pt>
                <c:pt idx="5">
                  <c:v>7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CB-49F5-B08F-76312CBD2FE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6349312"/>
        <c:axId val="106350848"/>
      </c:barChart>
      <c:catAx>
        <c:axId val="1063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50848"/>
        <c:crosses val="autoZero"/>
        <c:auto val="1"/>
        <c:lblAlgn val="ctr"/>
        <c:lblOffset val="100"/>
        <c:noMultiLvlLbl val="0"/>
      </c:catAx>
      <c:valAx>
        <c:axId val="10635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6349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CE9-4783-9649-9A8A7FDF42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CE9-4783-9649-9A8A7FDF42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CE9-4783-9649-9A8A7FDF42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CE9-4783-9649-9A8A7FDF42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CE9-4783-9649-9A8A7FDF4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D2-45AB-8E39-E315A7A5CFF0}"/>
            </c:ext>
          </c:extLst>
        </c:ser>
        <c:ser>
          <c:idx val="1"/>
          <c:order val="1"/>
          <c:tx>
            <c:strRef>
              <c:f>'Q4.116'!$D$5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'Q4.116'!$D$6:$D$12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D2-45AB-8E39-E315A7A5CF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89099392"/>
        <c:axId val="189117568"/>
      </c:barChart>
      <c:catAx>
        <c:axId val="18909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117568"/>
        <c:crosses val="autoZero"/>
        <c:auto val="1"/>
        <c:lblAlgn val="ctr"/>
        <c:lblOffset val="100"/>
        <c:noMultiLvlLbl val="0"/>
      </c:catAx>
      <c:valAx>
        <c:axId val="18911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909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827-4682-8568-A3ECBEEBFC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827-4682-8568-A3ECBEEBFC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827-4682-8568-A3ECBEEBFC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827-4682-8568-A3ECBEEBFC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827-4682-8568-A3ECBEEBF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AE-4C52-B68D-D7D254B506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AE-4C52-B68D-D7D254B506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AE-4C52-B68D-D7D254B506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AE-4C52-B68D-D7D254B506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AE-4C52-B68D-D7D254B5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F9-4164-995B-30DCDBCC9430}"/>
            </c:ext>
          </c:extLst>
        </c:ser>
        <c:ser>
          <c:idx val="1"/>
          <c:order val="1"/>
          <c:tx>
            <c:strRef>
              <c:f>'Q4.117'!$D$5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'Q4.117'!$D$6:$D$12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F9-4164-995B-30DCDBCC94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1447808"/>
        <c:axId val="191449344"/>
      </c:barChart>
      <c:catAx>
        <c:axId val="1914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49344"/>
        <c:crosses val="autoZero"/>
        <c:auto val="1"/>
        <c:lblAlgn val="ctr"/>
        <c:lblOffset val="100"/>
        <c:noMultiLvlLbl val="0"/>
      </c:catAx>
      <c:valAx>
        <c:axId val="19144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144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97-4AB5-8CC4-77A0E0FB79F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97-4AB5-8CC4-77A0E0FB79F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97-4AB5-8CC4-77A0E0FB79F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97-4AB5-8CC4-77A0E0FB79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C97-4AB5-8CC4-77A0E0FB7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039-44A7-91C2-79D8CD8B447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039-44A7-91C2-79D8CD8B447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039-44A7-91C2-79D8CD8B447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039-44A7-91C2-79D8CD8B44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'Q4.117'!$D$25:$D$28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039-44A7-91C2-79D8CD8B4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49-4556-980D-5298F75003C8}"/>
            </c:ext>
          </c:extLst>
        </c:ser>
        <c:ser>
          <c:idx val="1"/>
          <c:order val="1"/>
          <c:tx>
            <c:strRef>
              <c:f>'Q4.118'!$D$5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'Q4.118'!$D$6:$D$12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49-4556-980D-5298F75003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5848448"/>
        <c:axId val="195862528"/>
      </c:barChart>
      <c:catAx>
        <c:axId val="1958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62528"/>
        <c:crosses val="autoZero"/>
        <c:auto val="1"/>
        <c:lblAlgn val="ctr"/>
        <c:lblOffset val="100"/>
        <c:noMultiLvlLbl val="0"/>
      </c:catAx>
      <c:valAx>
        <c:axId val="195862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848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CD-4479-A6FA-8CA6E5B7B21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CD-4479-A6FA-8CA6E5B7B21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CD-4479-A6FA-8CA6E5B7B21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CD-4479-A6FA-8CA6E5B7B2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CD-4479-A6FA-8CA6E5B7B2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426-417C-B9B3-47459C1282C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426-417C-B9B3-47459C1282C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426-417C-B9B3-47459C1282C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426-417C-B9B3-47459C1282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426-417C-B9B3-47459C12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52-401C-B291-CA1552ACC6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52-401C-B291-CA1552ACC6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52-401C-B291-CA1552ACC6E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52-401C-B291-CA1552ACC6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52-401C-B291-CA1552ACC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8B-4419-B376-67A0BD0D9410}"/>
            </c:ext>
          </c:extLst>
        </c:ser>
        <c:ser>
          <c:idx val="1"/>
          <c:order val="1"/>
          <c:tx>
            <c:strRef>
              <c:f>'Q4.119'!$D$5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'Q4.119'!$D$6:$D$12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18B-4419-B376-67A0BD0D941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6406656"/>
        <c:axId val="196482176"/>
      </c:barChart>
      <c:catAx>
        <c:axId val="1964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82176"/>
        <c:crosses val="autoZero"/>
        <c:auto val="1"/>
        <c:lblAlgn val="ctr"/>
        <c:lblOffset val="100"/>
        <c:noMultiLvlLbl val="0"/>
      </c:catAx>
      <c:valAx>
        <c:axId val="19648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64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46-4DE1-8408-2B5CCC06DC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46-4DE1-8408-2B5CCC06DC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46-4DE1-8408-2B5CCC06DC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46-4DE1-8408-2B5CCC06DCB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46-4DE1-8408-2B5CCC06D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331-4DCB-813C-A899F5E6D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331-4DCB-813C-A899F5E6D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331-4DCB-813C-A899F5E6D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331-4DCB-813C-A899F5E6D4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331-4DCB-813C-A899F5E6D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03-4597-890D-E85CD73A22F8}"/>
            </c:ext>
          </c:extLst>
        </c:ser>
        <c:ser>
          <c:idx val="1"/>
          <c:order val="1"/>
          <c:tx>
            <c:strRef>
              <c:f>'Q4.120'!$D$5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'Q4.120'!$D$6:$D$12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03-4597-890D-E85CD73A22F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8697728"/>
        <c:axId val="198699264"/>
      </c:barChart>
      <c:catAx>
        <c:axId val="19869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99264"/>
        <c:crosses val="autoZero"/>
        <c:auto val="1"/>
        <c:lblAlgn val="ctr"/>
        <c:lblOffset val="100"/>
        <c:noMultiLvlLbl val="0"/>
      </c:catAx>
      <c:valAx>
        <c:axId val="19869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8697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939-4EBA-BD0C-EB0ED1BEBA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939-4EBA-BD0C-EB0ED1BEBA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939-4EBA-BD0C-EB0ED1BEBA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939-4EBA-BD0C-EB0ED1BEBA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939-4EBA-BD0C-EB0ED1BEB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D2E-4D4C-8861-009A823496D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D2E-4D4C-8861-009A823496D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D2E-4D4C-8861-009A823496D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D2E-4D4C-8861-009A823496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D2E-4D4C-8861-009A82349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D7-4A94-B94F-ADA51DD4C203}"/>
            </c:ext>
          </c:extLst>
        </c:ser>
        <c:ser>
          <c:idx val="1"/>
          <c:order val="1"/>
          <c:tx>
            <c:strRef>
              <c:f>'Q4.121'!$D$5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'Q4.121'!$D$6:$D$12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D7-4A94-B94F-ADA51DD4C2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99739264"/>
        <c:axId val="199740800"/>
      </c:barChart>
      <c:catAx>
        <c:axId val="199739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40800"/>
        <c:crosses val="autoZero"/>
        <c:auto val="1"/>
        <c:lblAlgn val="ctr"/>
        <c:lblOffset val="100"/>
        <c:noMultiLvlLbl val="0"/>
      </c:catAx>
      <c:valAx>
        <c:axId val="19974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9739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4BB-47B3-9431-2632FD72C43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BB-47B3-9431-2632FD72C43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BB-47B3-9431-2632FD72C43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BB-47B3-9431-2632FD72C4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4BB-47B3-9431-2632FD72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91-47FB-A790-D9C2974B3C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291-47FB-A790-D9C2974B3C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291-47FB-A790-D9C2974B3C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91-47FB-A790-D9C2974B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291-47FB-A790-D9C2974B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3E-4A13-B102-697FCD41DF22}"/>
            </c:ext>
          </c:extLst>
        </c:ser>
        <c:ser>
          <c:idx val="1"/>
          <c:order val="1"/>
          <c:tx>
            <c:strRef>
              <c:f>'Q4.122'!$D$5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'Q4.122'!$D$6:$D$12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B3E-4A13-B102-697FCD41D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0383488"/>
        <c:axId val="200397568"/>
      </c:barChart>
      <c:catAx>
        <c:axId val="200383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97568"/>
        <c:crosses val="autoZero"/>
        <c:auto val="1"/>
        <c:lblAlgn val="ctr"/>
        <c:lblOffset val="100"/>
        <c:noMultiLvlLbl val="0"/>
      </c:catAx>
      <c:valAx>
        <c:axId val="2003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0383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'Q4.09'!$D$24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64F-401B-B5B6-F861985B4EB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64F-401B-B5B6-F861985B4EB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64F-401B-B5B6-F861985B4EB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64F-401B-B5B6-F861985B4EB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'Q4.09'!$D$25:$D$28</c:f>
              <c:numCache>
                <c:formatCode>General</c:formatCode>
                <c:ptCount val="4"/>
                <c:pt idx="0">
                  <c:v>3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64F-401B-B5B6-F861985B4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3B-4D01-A452-6E3C4EECDF9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3B-4D01-A452-6E3C4EECDF9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3B-4D01-A452-6E3C4EECDF9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3B-4D01-A452-6E3C4EECDF9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3B-4D01-A452-6E3C4EEC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E63-4736-AC8A-9087B4DA36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E63-4736-AC8A-9087B4DA36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E63-4736-AC8A-9087B4DA36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E63-4736-AC8A-9087B4DA36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E63-4736-AC8A-9087B4DA3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'Q4.123'!$C$6:$C$12</c:f>
              <c:numCache>
                <c:formatCode>General</c:formatCode>
                <c:ptCount val="7"/>
                <c:pt idx="0">
                  <c:v>32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52-46B8-9E17-E26526842A63}"/>
            </c:ext>
          </c:extLst>
        </c:ser>
        <c:ser>
          <c:idx val="1"/>
          <c:order val="1"/>
          <c:tx>
            <c:strRef>
              <c:f>'Q4.123'!$D$5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'Q4.123'!$D$6:$D$12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52-46B8-9E17-E26526842A6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258560"/>
        <c:axId val="206260096"/>
      </c:barChart>
      <c:catAx>
        <c:axId val="20625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60096"/>
        <c:crosses val="autoZero"/>
        <c:auto val="1"/>
        <c:lblAlgn val="ctr"/>
        <c:lblOffset val="100"/>
        <c:noMultiLvlLbl val="0"/>
      </c:catAx>
      <c:valAx>
        <c:axId val="20626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25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7D0-454E-806E-7FD12D029E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7D0-454E-806E-7FD12D029E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7D0-454E-806E-7FD12D029E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7D0-454E-806E-7FD12D029E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D0-454E-806E-7FD12D02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024-4550-8698-22372544A97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024-4550-8698-22372544A97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024-4550-8698-22372544A97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024-4550-8698-22372544A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'Q4.123'!$D$25:$D$28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024-4550-8698-22372544A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4C-4FAC-8F55-C835568B524E}"/>
            </c:ext>
          </c:extLst>
        </c:ser>
        <c:ser>
          <c:idx val="1"/>
          <c:order val="1"/>
          <c:tx>
            <c:strRef>
              <c:f>'Q4.124'!$D$5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'Q4.124'!$D$6:$D$12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4C-4FAC-8F55-C835568B52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6870400"/>
        <c:axId val="206871936"/>
      </c:barChart>
      <c:catAx>
        <c:axId val="20687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1936"/>
        <c:crosses val="autoZero"/>
        <c:auto val="1"/>
        <c:lblAlgn val="ctr"/>
        <c:lblOffset val="100"/>
        <c:noMultiLvlLbl val="0"/>
      </c:catAx>
      <c:valAx>
        <c:axId val="206871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687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48C-4E93-944D-E4EC4224B7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48C-4E93-944D-E4EC4224B7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48C-4E93-944D-E4EC4224B7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48C-4E93-944D-E4EC4224B7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48C-4E93-944D-E4EC4224B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F55-4A6B-A1E5-E4A1A50B637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F55-4A6B-A1E5-E4A1A50B637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F55-4A6B-A1E5-E4A1A50B637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F55-4A6B-A1E5-E4A1A50B637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'Q4.124'!$D$25:$D$28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F55-4A6B-A1E5-E4A1A50B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0E-4706-AF10-2F8E5AC88535}"/>
            </c:ext>
          </c:extLst>
        </c:ser>
        <c:ser>
          <c:idx val="1"/>
          <c:order val="1"/>
          <c:tx>
            <c:strRef>
              <c:f>'Q4.125'!$D$5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'Q4.125'!$D$6:$D$12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0E-4706-AF10-2F8E5AC885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424512"/>
        <c:axId val="207434496"/>
      </c:barChart>
      <c:catAx>
        <c:axId val="20742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34496"/>
        <c:crosses val="autoZero"/>
        <c:auto val="1"/>
        <c:lblAlgn val="ctr"/>
        <c:lblOffset val="100"/>
        <c:noMultiLvlLbl val="0"/>
      </c:catAx>
      <c:valAx>
        <c:axId val="20743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7424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045-4F34-AB2A-F374026F156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045-4F34-AB2A-F374026F156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045-4F34-AB2A-F374026F156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045-4F34-AB2A-F374026F15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045-4F34-AB2A-F374026F1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1-4DAC-8BFE-139438CCBF3C}"/>
            </c:ext>
          </c:extLst>
        </c:ser>
        <c:ser>
          <c:idx val="1"/>
          <c:order val="1"/>
          <c:tx>
            <c:strRef>
              <c:f>'Q4.10'!$D$5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'Q4.10'!$D$6:$D$12</c:f>
              <c:numCache>
                <c:formatCode>General</c:formatCode>
                <c:ptCount val="7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7</c:v>
                </c:pt>
                <c:pt idx="5">
                  <c:v>8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E1-4DAC-8BFE-139438CCBF3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230336"/>
        <c:axId val="109232128"/>
      </c:barChart>
      <c:catAx>
        <c:axId val="109230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32128"/>
        <c:crosses val="autoZero"/>
        <c:auto val="1"/>
        <c:lblAlgn val="ctr"/>
        <c:lblOffset val="100"/>
        <c:noMultiLvlLbl val="0"/>
      </c:catAx>
      <c:valAx>
        <c:axId val="109232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30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59C-4AA3-B141-0CC7AFD46D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59C-4AA3-B141-0CC7AFD46D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59C-4AA3-B141-0CC7AFD46D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59C-4AA3-B141-0CC7AFD46D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'Q4.125'!$D$25:$D$28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59C-4AA3-B141-0CC7AFD46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25-42A4-B8E3-F04E788800DC}"/>
            </c:ext>
          </c:extLst>
        </c:ser>
        <c:ser>
          <c:idx val="1"/>
          <c:order val="1"/>
          <c:tx>
            <c:strRef>
              <c:f>'Q4.126'!$D$5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'Q4.126'!$D$6:$D$12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25-42A4-B8E3-F04E788800D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8228736"/>
        <c:axId val="208230272"/>
      </c:barChart>
      <c:catAx>
        <c:axId val="2082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30272"/>
        <c:crosses val="autoZero"/>
        <c:auto val="1"/>
        <c:lblAlgn val="ctr"/>
        <c:lblOffset val="100"/>
        <c:noMultiLvlLbl val="0"/>
      </c:catAx>
      <c:valAx>
        <c:axId val="20823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8228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F10-44EA-888F-2926B690FCE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F10-44EA-888F-2926B690FCE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F10-44EA-888F-2926B690FCE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F10-44EA-888F-2926B690FC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F10-44EA-888F-2926B690F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EE8-417D-A1D1-95C048A690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EE8-417D-A1D1-95C048A690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EE8-417D-A1D1-95C048A690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EE8-417D-A1D1-95C048A69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'Q4.126'!$D$25:$D$28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EE8-417D-A1D1-95C048A69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52-484A-9391-9543FAFEC0B1}"/>
            </c:ext>
          </c:extLst>
        </c:ser>
        <c:ser>
          <c:idx val="1"/>
          <c:order val="1"/>
          <c:tx>
            <c:strRef>
              <c:f>'Q4.127'!$D$5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'Q4.127'!$D$6:$D$12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52-484A-9391-9543FAFEC0B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188352"/>
        <c:axId val="209189888"/>
      </c:barChart>
      <c:catAx>
        <c:axId val="209188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89888"/>
        <c:crosses val="autoZero"/>
        <c:auto val="1"/>
        <c:lblAlgn val="ctr"/>
        <c:lblOffset val="100"/>
        <c:noMultiLvlLbl val="0"/>
      </c:catAx>
      <c:valAx>
        <c:axId val="20918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18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631-4664-AC71-329B7C7DAF0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631-4664-AC71-329B7C7DAF0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631-4664-AC71-329B7C7DAF0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631-4664-AC71-329B7C7DAF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631-4664-AC71-329B7C7DA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73-48A3-9B66-DD2CABDB122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73-48A3-9B66-DD2CABDB122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73-48A3-9B66-DD2CABDB122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73-48A3-9B66-DD2CABDB12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'Q4.127'!$D$25:$D$28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73-48A3-9B66-DD2CABDB1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'Q4.128'!$C$6:$C$12</c:f>
              <c:numCache>
                <c:formatCode>General</c:formatCode>
                <c:ptCount val="7"/>
                <c:pt idx="0">
                  <c:v>32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0-4645-A07E-F420F4E42CA7}"/>
            </c:ext>
          </c:extLst>
        </c:ser>
        <c:ser>
          <c:idx val="1"/>
          <c:order val="1"/>
          <c:tx>
            <c:strRef>
              <c:f>'Q4.128'!$D$5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'Q4.128'!$D$6:$D$12</c:f>
              <c:numCache>
                <c:formatCode>General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CF0-4645-A07E-F420F4E42C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9975936"/>
        <c:axId val="210112896"/>
      </c:barChart>
      <c:catAx>
        <c:axId val="20997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112896"/>
        <c:crosses val="autoZero"/>
        <c:auto val="1"/>
        <c:lblAlgn val="ctr"/>
        <c:lblOffset val="100"/>
        <c:noMultiLvlLbl val="0"/>
      </c:catAx>
      <c:valAx>
        <c:axId val="210112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9975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F78-4518-8AA2-CBBD32667F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F78-4518-8AA2-CBBD32667F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F78-4518-8AA2-CBBD32667F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F78-4518-8AA2-CBBD32667F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F78-4518-8AA2-CBBD32667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865-43D1-ADCA-FD852DD60D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865-43D1-ADCA-FD852DD60D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865-43D1-ADCA-FD852DD60D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865-43D1-ADCA-FD852DD60D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'Q4.128'!$D$25:$D$28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865-43D1-ADCA-FD852DD60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9A2-4864-8E36-8515B1E58B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9A2-4864-8E36-8515B1E58B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9A2-4864-8E36-8515B1E58B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9A2-4864-8E36-8515B1E58B3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9A2-4864-8E36-8515B1E58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9-4AF2-B00E-E41507A200CA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'Q4.130'!$B$6:$B$8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'Q4.130'!$D$6:$D$8</c:f>
              <c:numCache>
                <c:formatCode>General</c:formatCode>
                <c:ptCount val="3"/>
                <c:pt idx="0">
                  <c:v>0</c:v>
                </c:pt>
                <c:pt idx="1">
                  <c:v>7</c:v>
                </c:pt>
                <c:pt idx="2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CB9-4AF2-B00E-E41507A200C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534400"/>
        <c:axId val="210535936"/>
      </c:barChart>
      <c:catAx>
        <c:axId val="2105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35936"/>
        <c:crosses val="autoZero"/>
        <c:auto val="1"/>
        <c:lblAlgn val="ctr"/>
        <c:lblOffset val="100"/>
        <c:noMultiLvlLbl val="0"/>
      </c:catAx>
      <c:valAx>
        <c:axId val="21053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53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02-47CE-911A-09D4F11D66F6}"/>
            </c:ext>
          </c:extLst>
        </c:ser>
        <c:ser>
          <c:idx val="1"/>
          <c:order val="1"/>
          <c:tx>
            <c:strRef>
              <c:f>'Q4.131'!$D$5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'Q4.131'!$D$6:$D$12</c:f>
              <c:numCache>
                <c:formatCode>General</c:formatCode>
                <c:ptCount val="7"/>
                <c:pt idx="0">
                  <c:v>27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02-47CE-911A-09D4F11D66F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0903424"/>
        <c:axId val="210904960"/>
      </c:barChart>
      <c:catAx>
        <c:axId val="21090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04960"/>
        <c:crosses val="autoZero"/>
        <c:auto val="1"/>
        <c:lblAlgn val="ctr"/>
        <c:lblOffset val="100"/>
        <c:noMultiLvlLbl val="0"/>
      </c:catAx>
      <c:valAx>
        <c:axId val="210904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090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078-4117-8350-66EA5BCCB68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078-4117-8350-66EA5BCCB68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078-4117-8350-66EA5BCCB68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078-4117-8350-66EA5BCCB68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078-4117-8350-66EA5BCCB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673-4527-9591-2F1CB2D11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673-4527-9591-2F1CB2D11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673-4527-9591-2F1CB2D118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673-4527-9591-2F1CB2D118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'Q4.131'!$D$25:$D$28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673-4527-9591-2F1CB2D11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54-4AE3-993C-22627439A93F}"/>
            </c:ext>
          </c:extLst>
        </c:ser>
        <c:ser>
          <c:idx val="1"/>
          <c:order val="1"/>
          <c:tx>
            <c:strRef>
              <c:f>'Q4.132'!$D$5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'Q4.132'!$D$6:$D$12</c:f>
              <c:numCache>
                <c:formatCode>General</c:formatCode>
                <c:ptCount val="7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054-4AE3-993C-22627439A93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158528"/>
        <c:axId val="211160064"/>
      </c:barChart>
      <c:catAx>
        <c:axId val="21115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60064"/>
        <c:crosses val="autoZero"/>
        <c:auto val="1"/>
        <c:lblAlgn val="ctr"/>
        <c:lblOffset val="100"/>
        <c:noMultiLvlLbl val="0"/>
      </c:catAx>
      <c:valAx>
        <c:axId val="21116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15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733-4465-8F76-C801355FDE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733-4465-8F76-C801355FDE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733-4465-8F76-C801355FDE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733-4465-8F76-C801355FDE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733-4465-8F76-C801355FD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2C-421A-8DA7-FFDA38ABA2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2C-421A-8DA7-FFDA38ABA2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2C-421A-8DA7-FFDA38ABA2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2C-421A-8DA7-FFDA38ABA2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'Q4.132'!$D$25:$D$28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72C-421A-8DA7-FFDA38ABA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'Q4.133'!$C$6:$C$12</c:f>
              <c:numCache>
                <c:formatCode>General</c:formatCode>
                <c:ptCount val="7"/>
                <c:pt idx="0">
                  <c:v>28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4-432B-B129-9AD218DFE241}"/>
            </c:ext>
          </c:extLst>
        </c:ser>
        <c:ser>
          <c:idx val="1"/>
          <c:order val="1"/>
          <c:tx>
            <c:strRef>
              <c:f>'Q4.133'!$D$5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'Q4.133'!$D$6:$D$12</c:f>
              <c:numCache>
                <c:formatCode>General</c:formatCode>
                <c:ptCount val="7"/>
                <c:pt idx="0">
                  <c:v>27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4-432B-B129-9AD218DFE24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1552896"/>
        <c:axId val="211571072"/>
      </c:barChart>
      <c:catAx>
        <c:axId val="21155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71072"/>
        <c:crosses val="autoZero"/>
        <c:auto val="1"/>
        <c:lblAlgn val="ctr"/>
        <c:lblOffset val="100"/>
        <c:noMultiLvlLbl val="0"/>
      </c:catAx>
      <c:valAx>
        <c:axId val="211571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155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7E1-42C1-BC05-E0E8930C21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7E1-42C1-BC05-E0E8930C21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7E1-42C1-BC05-E0E8930C21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7E1-42C1-BC05-E0E8930C2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'Q4.133'!$D$18:$D$21</c:f>
              <c:numCache>
                <c:formatCode>General</c:formatCode>
                <c:ptCount val="4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7E1-42C1-BC05-E0E8930C2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F8-491F-A428-99A485DE3A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4F8-491F-A428-99A485DE3A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F8-491F-A428-99A485DE3A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4F8-491F-A428-99A485DE3A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'Q4.133'!$D$25:$D$28</c:f>
              <c:numCache>
                <c:formatCode>General</c:formatCode>
                <c:ptCount val="4"/>
                <c:pt idx="0">
                  <c:v>0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4F8-491F-A428-99A485DE3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D5F-4BE1-BDD0-4997BD0C41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D5F-4BE1-BDD0-4997BD0C41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D5F-4BE1-BDD0-4997BD0C41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D5F-4BE1-BDD0-4997BD0C41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'Q4.10'!$D$25:$D$28</c:f>
              <c:numCache>
                <c:formatCode>General</c:formatCode>
                <c:ptCount val="4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D5F-4BE1-BDD0-4997BD0C4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3F-4F2A-B757-25C87118AC6A}"/>
            </c:ext>
          </c:extLst>
        </c:ser>
        <c:ser>
          <c:idx val="1"/>
          <c:order val="1"/>
          <c:tx>
            <c:strRef>
              <c:f>'Q4.134'!$D$5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'Q4.134'!$D$6:$D$12</c:f>
              <c:numCache>
                <c:formatCode>General</c:formatCode>
                <c:ptCount val="7"/>
                <c:pt idx="0">
                  <c:v>27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B3F-4F2A-B757-25C87118AC6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2516864"/>
        <c:axId val="212518400"/>
      </c:barChart>
      <c:catAx>
        <c:axId val="21251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518400"/>
        <c:crosses val="autoZero"/>
        <c:auto val="1"/>
        <c:lblAlgn val="ctr"/>
        <c:lblOffset val="100"/>
        <c:noMultiLvlLbl val="0"/>
      </c:catAx>
      <c:valAx>
        <c:axId val="21251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2516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A7B-4977-8A86-437BC3DF3B3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A7B-4977-8A86-437BC3DF3B3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A7B-4977-8A86-437BC3DF3B3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A7B-4977-8A86-437BC3DF3B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A7B-4977-8A86-437BC3DF3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CBC-40F5-B26F-6DD20EA483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CBC-40F5-B26F-6DD20EA483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CBC-40F5-B26F-6DD20EA48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CBC-40F5-B26F-6DD20EA48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'Q4.134'!$D$25:$D$28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CBC-40F5-B26F-6DD20EA4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FD-4589-8829-96FBAE00699B}"/>
            </c:ext>
          </c:extLst>
        </c:ser>
        <c:ser>
          <c:idx val="1"/>
          <c:order val="1"/>
          <c:tx>
            <c:strRef>
              <c:f>'Q4.135'!$D$5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'Q4.135'!$D$6:$D$12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3</c:v>
                </c:pt>
                <c:pt idx="5">
                  <c:v>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FD-4589-8829-96FBAE00699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3972096"/>
        <c:axId val="213973632"/>
      </c:barChart>
      <c:catAx>
        <c:axId val="2139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973632"/>
        <c:crosses val="autoZero"/>
        <c:auto val="1"/>
        <c:lblAlgn val="ctr"/>
        <c:lblOffset val="100"/>
        <c:noMultiLvlLbl val="0"/>
      </c:catAx>
      <c:valAx>
        <c:axId val="213973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397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E4F-4ADA-92EB-2E13C64AF4F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E4F-4ADA-92EB-2E13C64AF4F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E4F-4ADA-92EB-2E13C64AF4F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E4F-4ADA-92EB-2E13C64AF4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E4F-4ADA-92EB-2E13C64AF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234-4A4F-8B21-34C765A7F1F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234-4A4F-8B21-34C765A7F1F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234-4A4F-8B21-34C765A7F1F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234-4A4F-8B21-34C765A7F1F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'Q4.135'!$D$25:$D$28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234-4A4F-8B21-34C765A7F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9-4F7C-84C1-28182CE09D4B}"/>
            </c:ext>
          </c:extLst>
        </c:ser>
        <c:ser>
          <c:idx val="1"/>
          <c:order val="1"/>
          <c:tx>
            <c:strRef>
              <c:f>'Q4.136'!$D$5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'Q4.136'!$D$6:$D$12</c:f>
              <c:numCache>
                <c:formatCode>General</c:formatCode>
                <c:ptCount val="7"/>
                <c:pt idx="0">
                  <c:v>27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9-4F7C-84C1-28182CE09D4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14370944"/>
        <c:axId val="214376832"/>
      </c:barChart>
      <c:catAx>
        <c:axId val="21437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376832"/>
        <c:crosses val="autoZero"/>
        <c:auto val="1"/>
        <c:lblAlgn val="ctr"/>
        <c:lblOffset val="100"/>
        <c:noMultiLvlLbl val="0"/>
      </c:catAx>
      <c:valAx>
        <c:axId val="2143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14370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3F-494F-99BC-BB9A8083991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3F-494F-99BC-BB9A8083991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3F-494F-99BC-BB9A8083991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3F-494F-99BC-BB9A80839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3F-494F-99BC-BB9A80839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DA9-477A-B38F-50B5B3AFBA5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DA9-477A-B38F-50B5B3AFBA5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DA9-477A-B38F-50B5B3AFBA5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DA9-477A-B38F-50B5B3AFBA5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'Q4.136'!$D$25:$D$28</c:f>
              <c:numCache>
                <c:formatCode>General</c:formatCode>
                <c:ptCount val="4"/>
                <c:pt idx="0">
                  <c:v>2</c:v>
                </c:pt>
                <c:pt idx="1">
                  <c:v>1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A9-477A-B38F-50B5B3AFB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A1-4950-A440-63C4273E2897}"/>
            </c:ext>
          </c:extLst>
        </c:ser>
        <c:ser>
          <c:idx val="1"/>
          <c:order val="1"/>
          <c:tx>
            <c:strRef>
              <c:f>'Q4.11'!$D$5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'Q4.11'!$D$6:$D$12</c:f>
              <c:numCache>
                <c:formatCode>General</c:formatCode>
                <c:ptCount val="7"/>
                <c:pt idx="0">
                  <c:v>9</c:v>
                </c:pt>
                <c:pt idx="1">
                  <c:v>3</c:v>
                </c:pt>
                <c:pt idx="2">
                  <c:v>4</c:v>
                </c:pt>
                <c:pt idx="3">
                  <c:v>2</c:v>
                </c:pt>
                <c:pt idx="4">
                  <c:v>10</c:v>
                </c:pt>
                <c:pt idx="5">
                  <c:v>5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1A1-4950-A440-63C4273E28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538688"/>
        <c:axId val="109540480"/>
      </c:barChart>
      <c:catAx>
        <c:axId val="10953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40480"/>
        <c:crosses val="autoZero"/>
        <c:auto val="1"/>
        <c:lblAlgn val="ctr"/>
        <c:lblOffset val="100"/>
        <c:noMultiLvlLbl val="0"/>
      </c:catAx>
      <c:valAx>
        <c:axId val="10954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538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C8-45F6-B65F-590BFBAB372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7C8-45F6-B65F-590BFBAB372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7C8-45F6-B65F-590BFBAB372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7C8-45F6-B65F-590BFBAB37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7C8-45F6-B65F-590BFBAB3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125-40A3-B231-88F0D25F9E0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125-40A3-B231-88F0D25F9E0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125-40A3-B231-88F0D25F9E0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125-40A3-B231-88F0D25F9E0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'Q4.11'!$D$25:$D$28</c:f>
              <c:numCache>
                <c:formatCode>General</c:formatCode>
                <c:ptCount val="4"/>
                <c:pt idx="0">
                  <c:v>6</c:v>
                </c:pt>
                <c:pt idx="1">
                  <c:v>3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125-40A3-B231-88F0D25F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4B-43F3-8380-521165568FB4}"/>
            </c:ext>
          </c:extLst>
        </c:ser>
        <c:ser>
          <c:idx val="1"/>
          <c:order val="1"/>
          <c:tx>
            <c:strRef>
              <c:f>'Q4.12'!$D$5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'Q4.12'!$D$6:$D$12</c:f>
              <c:numCache>
                <c:formatCode>General</c:formatCode>
                <c:ptCount val="7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7</c:v>
                </c:pt>
                <c:pt idx="5">
                  <c:v>6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4B-43F3-8380-521165568F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704704"/>
        <c:axId val="109706240"/>
      </c:barChart>
      <c:catAx>
        <c:axId val="109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06240"/>
        <c:crosses val="autoZero"/>
        <c:auto val="1"/>
        <c:lblAlgn val="ctr"/>
        <c:lblOffset val="100"/>
        <c:noMultiLvlLbl val="0"/>
      </c:catAx>
      <c:valAx>
        <c:axId val="109706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704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QTPB!$C$5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QTPB!$C$6:$C$8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80-4092-B2CC-7AEEBFED05DA}"/>
            </c:ext>
          </c:extLst>
        </c:ser>
        <c:ser>
          <c:idx val="1"/>
          <c:order val="1"/>
          <c:tx>
            <c:strRef>
              <c:f>QTPB!$D$5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QTPB!$B$6:$B$8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QTPB!$D$6:$D$8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80-4092-B2CC-7AEEBFED05D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551936"/>
        <c:axId val="84557824"/>
      </c:barChart>
      <c:catAx>
        <c:axId val="8455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7824"/>
        <c:crosses val="autoZero"/>
        <c:auto val="1"/>
        <c:lblAlgn val="ctr"/>
        <c:lblOffset val="100"/>
        <c:noMultiLvlLbl val="0"/>
      </c:catAx>
      <c:valAx>
        <c:axId val="8455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551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575-42AA-B649-DD9DCD9199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575-42AA-B649-DD9DCD9199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575-42AA-B649-DD9DCD9199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575-42AA-B649-DD9DCD9199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'Q4.12'!$D$18:$D$21</c:f>
              <c:numCache>
                <c:formatCode>General</c:formatCode>
                <c:ptCount val="4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575-42AA-B649-DD9DCD919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7D1-4787-BBDE-524E23C66B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7D1-4787-BBDE-524E23C66B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7D1-4787-BBDE-524E23C66B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7D1-4787-BBDE-524E23C66B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'Q4.12'!$D$25:$D$28</c:f>
              <c:numCache>
                <c:formatCode>General</c:formatCode>
                <c:ptCount val="4"/>
                <c:pt idx="0">
                  <c:v>8</c:v>
                </c:pt>
                <c:pt idx="1">
                  <c:v>4</c:v>
                </c:pt>
                <c:pt idx="2">
                  <c:v>7</c:v>
                </c:pt>
                <c:pt idx="3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7D1-4787-BBDE-524E23C66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7-45B9-A2A8-1261999FBF3E}"/>
            </c:ext>
          </c:extLst>
        </c:ser>
        <c:ser>
          <c:idx val="1"/>
          <c:order val="1"/>
          <c:tx>
            <c:strRef>
              <c:f>'Q4.13'!$D$5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'Q4.13'!$D$6:$D$12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7-45B9-A2A8-1261999FBF3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9865600"/>
        <c:axId val="109867392"/>
      </c:barChart>
      <c:catAx>
        <c:axId val="10986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67392"/>
        <c:crosses val="autoZero"/>
        <c:auto val="1"/>
        <c:lblAlgn val="ctr"/>
        <c:lblOffset val="100"/>
        <c:noMultiLvlLbl val="0"/>
      </c:catAx>
      <c:valAx>
        <c:axId val="10986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865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2B2-4463-BFC5-3A1A29996AB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2B2-4463-BFC5-3A1A29996AB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B2-4463-BFC5-3A1A29996AB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2B2-4463-BFC5-3A1A29996A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2B2-4463-BFC5-3A1A29996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D17-4255-A78E-4DF947A9237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D17-4255-A78E-4DF947A9237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D17-4255-A78E-4DF947A9237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D17-4255-A78E-4DF947A923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'Q4.13'!$D$25:$D$28</c:f>
              <c:numCache>
                <c:formatCode>General</c:formatCode>
                <c:ptCount val="4"/>
                <c:pt idx="0">
                  <c:v>5</c:v>
                </c:pt>
                <c:pt idx="1">
                  <c:v>1</c:v>
                </c:pt>
                <c:pt idx="2">
                  <c:v>5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D17-4255-A78E-4DF947A92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CA-4885-A66B-710FCB31F81F}"/>
            </c:ext>
          </c:extLst>
        </c:ser>
        <c:ser>
          <c:idx val="1"/>
          <c:order val="1"/>
          <c:tx>
            <c:strRef>
              <c:f>'Q4.14'!$D$5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'Q4.14'!$D$6:$D$12</c:f>
              <c:numCache>
                <c:formatCode>General</c:formatCode>
                <c:ptCount val="7"/>
                <c:pt idx="0">
                  <c:v>9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6</c:v>
                </c:pt>
                <c:pt idx="6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0CA-4885-A66B-710FCB31F81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0399488"/>
        <c:axId val="110401024"/>
      </c:barChart>
      <c:catAx>
        <c:axId val="1103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401024"/>
        <c:crosses val="autoZero"/>
        <c:auto val="1"/>
        <c:lblAlgn val="ctr"/>
        <c:lblOffset val="100"/>
        <c:noMultiLvlLbl val="0"/>
      </c:catAx>
      <c:valAx>
        <c:axId val="11040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039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42C-4E38-A91D-2E6A6EF9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42C-4E38-A91D-2E6A6EF9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42C-4E38-A91D-2E6A6EF9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42C-4E38-A91D-2E6A6EF9CB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42C-4E38-A91D-2E6A6EF9C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526-44BD-B112-B1EDDC3B33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526-44BD-B112-B1EDDC3B33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526-44BD-B112-B1EDDC3B33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526-44BD-B112-B1EDDC3B331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'Q4.14'!$D$25:$D$28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5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526-44BD-B112-B1EDDC3B3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23-463E-A4D3-75EA3CDE636F}"/>
            </c:ext>
          </c:extLst>
        </c:ser>
        <c:ser>
          <c:idx val="1"/>
          <c:order val="1"/>
          <c:tx>
            <c:strRef>
              <c:f>'Q4.15'!$D$5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'Q4.15'!$D$6:$D$12</c:f>
              <c:numCache>
                <c:formatCode>General</c:formatCode>
                <c:ptCount val="7"/>
                <c:pt idx="0">
                  <c:v>9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9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23-463E-A4D3-75EA3CDE636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8682752"/>
        <c:axId val="118684288"/>
      </c:barChart>
      <c:catAx>
        <c:axId val="11868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84288"/>
        <c:crosses val="autoZero"/>
        <c:auto val="1"/>
        <c:lblAlgn val="ctr"/>
        <c:lblOffset val="100"/>
        <c:noMultiLvlLbl val="0"/>
      </c:catAx>
      <c:valAx>
        <c:axId val="11868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868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FE2-44A0-B7EE-5B23B673EA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FE2-44A0-B7EE-5B23B673EA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FE2-44A0-B7EE-5B23B673EA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FE2-44A0-B7EE-5B23B673EA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CFE2-44A0-B7EE-5B23B673E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71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QTPC!$C$5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QTPC!$C$6:$C$12</c:f>
              <c:numCache>
                <c:formatCode>General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9</c:v>
                </c:pt>
                <c:pt idx="6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D-4A3D-A8EE-A2F83D786B79}"/>
            </c:ext>
          </c:extLst>
        </c:ser>
        <c:ser>
          <c:idx val="1"/>
          <c:order val="1"/>
          <c:tx>
            <c:strRef>
              <c:f>QTPC!$D$5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QTPC!$B$6:$B$12</c:f>
              <c:strCache>
                <c:ptCount val="7"/>
                <c:pt idx="0">
                  <c:v>Sem resposta</c:v>
                </c:pt>
                <c:pt idx="1">
                  <c:v>Não se aplica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QTPC!$D$6:$D$12</c:f>
              <c:numCache>
                <c:formatCode>General</c:formatCode>
                <c:ptCount val="7"/>
                <c:pt idx="0">
                  <c:v>7</c:v>
                </c:pt>
                <c:pt idx="1">
                  <c:v>19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D-4A3D-A8EE-A2F83D786B7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13760"/>
        <c:axId val="84619648"/>
      </c:barChart>
      <c:catAx>
        <c:axId val="84613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19648"/>
        <c:crosses val="autoZero"/>
        <c:auto val="1"/>
        <c:lblAlgn val="ctr"/>
        <c:lblOffset val="100"/>
        <c:noMultiLvlLbl val="0"/>
      </c:catAx>
      <c:valAx>
        <c:axId val="8461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13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06B-46F0-B82E-D6F3ED303C5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06B-46F0-B82E-D6F3ED303C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06B-46F0-B82E-D6F3ED303C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06B-46F0-B82E-D6F3ED303C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'Q4.15'!$D$25:$D$28</c:f>
              <c:numCache>
                <c:formatCode>General</c:formatCode>
                <c:ptCount val="4"/>
                <c:pt idx="0">
                  <c:v>2</c:v>
                </c:pt>
                <c:pt idx="1">
                  <c:v>5</c:v>
                </c:pt>
                <c:pt idx="2">
                  <c:v>5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06B-46F0-B82E-D6F3ED303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'Q4.16'!$C$6:$C$12</c:f>
              <c:numCache>
                <c:formatCode>General</c:formatCode>
                <c:ptCount val="7"/>
                <c:pt idx="0">
                  <c:v>29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F8-4E29-8B43-F792F077DE5A}"/>
            </c:ext>
          </c:extLst>
        </c:ser>
        <c:ser>
          <c:idx val="1"/>
          <c:order val="1"/>
          <c:tx>
            <c:strRef>
              <c:f>'Q4.16'!$D$5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'Q4.16'!$D$6:$D$12</c:f>
              <c:numCache>
                <c:formatCode>General</c:formatCode>
                <c:ptCount val="7"/>
                <c:pt idx="0">
                  <c:v>9</c:v>
                </c:pt>
                <c:pt idx="1">
                  <c:v>11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8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F8-4E29-8B43-F792F077DE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556352"/>
        <c:axId val="119574528"/>
      </c:barChart>
      <c:catAx>
        <c:axId val="1195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74528"/>
        <c:crosses val="autoZero"/>
        <c:auto val="1"/>
        <c:lblAlgn val="ctr"/>
        <c:lblOffset val="100"/>
        <c:noMultiLvlLbl val="0"/>
      </c:catAx>
      <c:valAx>
        <c:axId val="119574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55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E7-4C01-8510-5995AB3C12D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E7-4C01-8510-5995AB3C12D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E7-4C01-8510-5995AB3C12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E7-4C01-8510-5995AB3C1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AE7-4C01-8510-5995AB3C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DD-46E2-B7BB-D8261306258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DD-46E2-B7BB-D8261306258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DD-46E2-B7BB-D8261306258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DD-46E2-B7BB-D826130625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'Q4.16'!$D$25:$D$28</c:f>
              <c:numCache>
                <c:formatCode>General</c:formatCode>
                <c:ptCount val="4"/>
                <c:pt idx="0">
                  <c:v>2</c:v>
                </c:pt>
                <c:pt idx="1">
                  <c:v>11</c:v>
                </c:pt>
                <c:pt idx="2">
                  <c:v>4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1DD-46E2-B7BB-D82613062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'Q4.17'!$C$6:$C$12</c:f>
              <c:numCache>
                <c:formatCode>General</c:formatCode>
                <c:ptCount val="7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A8-42D3-AE63-2631D5C4D4FC}"/>
            </c:ext>
          </c:extLst>
        </c:ser>
        <c:ser>
          <c:idx val="1"/>
          <c:order val="1"/>
          <c:tx>
            <c:strRef>
              <c:f>'Q4.17'!$D$5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'Q4.17'!$D$6:$D$12</c:f>
              <c:numCache>
                <c:formatCode>General</c:formatCode>
                <c:ptCount val="7"/>
                <c:pt idx="0">
                  <c:v>9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6</c:v>
                </c:pt>
                <c:pt idx="5">
                  <c:v>13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A8-42D3-AE63-2631D5C4D4F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9979008"/>
        <c:axId val="119993088"/>
      </c:barChart>
      <c:catAx>
        <c:axId val="11997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93088"/>
        <c:crosses val="autoZero"/>
        <c:auto val="1"/>
        <c:lblAlgn val="ctr"/>
        <c:lblOffset val="100"/>
        <c:noMultiLvlLbl val="0"/>
      </c:catAx>
      <c:valAx>
        <c:axId val="119993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997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D61-491C-B6D1-2F6E634627B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D61-491C-B6D1-2F6E634627B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D61-491C-B6D1-2F6E634627B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D61-491C-B6D1-2F6E634627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D61-491C-B6D1-2F6E6346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'Q4.17'!$D$24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834-44E5-AC92-7A00A11E3A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834-44E5-AC92-7A00A11E3A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834-44E5-AC92-7A00A11E3A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834-44E5-AC92-7A00A11E3A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'Q4.17'!$C$25:$C$28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'Q4.17'!$D$25:$D$28</c:f>
              <c:numCache>
                <c:formatCode>General</c:formatCode>
                <c:ptCount val="4"/>
                <c:pt idx="0">
                  <c:v>2</c:v>
                </c:pt>
                <c:pt idx="1">
                  <c:v>2</c:v>
                </c:pt>
                <c:pt idx="2">
                  <c:v>6</c:v>
                </c:pt>
                <c:pt idx="3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834-44E5-AC92-7A00A11E3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'Q4.19'!$C$5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'Q4.19'!$C$6:$C$8</c:f>
              <c:numCache>
                <c:formatCode>General</c:formatCode>
                <c:ptCount val="3"/>
                <c:pt idx="0">
                  <c:v>0</c:v>
                </c:pt>
                <c:pt idx="1">
                  <c:v>6</c:v>
                </c:pt>
                <c:pt idx="2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920-42E6-BB84-36F2F70D5E52}"/>
            </c:ext>
          </c:extLst>
        </c:ser>
        <c:ser>
          <c:idx val="1"/>
          <c:order val="1"/>
          <c:tx>
            <c:strRef>
              <c:f>'Q4.19'!$D$5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'Q4.19'!$B$6:$B$8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'Q4.19'!$D$6:$D$8</c:f>
              <c:numCache>
                <c:formatCode>General</c:formatCode>
                <c:ptCount val="3"/>
                <c:pt idx="0">
                  <c:v>0</c:v>
                </c:pt>
                <c:pt idx="1">
                  <c:v>23</c:v>
                </c:pt>
                <c:pt idx="2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920-42E6-BB84-36F2F70D5E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185216"/>
        <c:axId val="120186752"/>
      </c:barChart>
      <c:catAx>
        <c:axId val="12018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86752"/>
        <c:crosses val="autoZero"/>
        <c:auto val="1"/>
        <c:lblAlgn val="ctr"/>
        <c:lblOffset val="100"/>
        <c:noMultiLvlLbl val="0"/>
      </c:catAx>
      <c:valAx>
        <c:axId val="12018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185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31-42C0-AC6F-F1E85BF38C3D}"/>
            </c:ext>
          </c:extLst>
        </c:ser>
        <c:ser>
          <c:idx val="1"/>
          <c:order val="1"/>
          <c:tx>
            <c:strRef>
              <c:f>'Q4.20'!$D$5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'Q4.20'!$D$6:$D$12</c:f>
              <c:numCache>
                <c:formatCode>General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1</c:v>
                </c:pt>
                <c:pt idx="3">
                  <c:v>4</c:v>
                </c:pt>
                <c:pt idx="4">
                  <c:v>2</c:v>
                </c:pt>
                <c:pt idx="5">
                  <c:v>12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31-42C0-AC6F-F1E85BF38C3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595584"/>
        <c:axId val="120597120"/>
      </c:barChart>
      <c:catAx>
        <c:axId val="12059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597120"/>
        <c:crosses val="autoZero"/>
        <c:auto val="1"/>
        <c:lblAlgn val="ctr"/>
        <c:lblOffset val="100"/>
        <c:noMultiLvlLbl val="0"/>
      </c:catAx>
      <c:valAx>
        <c:axId val="12059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59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97E-47BB-9768-CCB227E08A9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97E-47BB-9768-CCB227E08A9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97E-47BB-9768-CCB227E08A9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97E-47BB-9768-CCB227E08A9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97E-47BB-9768-CCB227E0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E-4624-A697-2B6C2EE2A1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E-4624-A697-2B6C2EE2A1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E-4624-A697-2B6C2EE2A1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E-4624-A697-2B6C2EE2A1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QTPC!$D$18:$D$21</c:f>
              <c:numCache>
                <c:formatCode>General</c:formatCode>
                <c:ptCount val="4"/>
                <c:pt idx="0">
                  <c:v>0</c:v>
                </c:pt>
                <c:pt idx="1">
                  <c:v>10</c:v>
                </c:pt>
                <c:pt idx="2">
                  <c:v>2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E-4624-A697-2B6C2EE2A1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9F-42A4-99A3-8DC2E2666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9F-42A4-99A3-8DC2E2666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9F-42A4-99A3-8DC2E2666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9F-42A4-99A3-8DC2E2666B5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'Q4.20'!$D$25:$D$28</c:f>
              <c:numCache>
                <c:formatCode>General</c:formatCode>
                <c:ptCount val="4"/>
                <c:pt idx="0">
                  <c:v>5</c:v>
                </c:pt>
                <c:pt idx="1">
                  <c:v>4</c:v>
                </c:pt>
                <c:pt idx="2">
                  <c:v>2</c:v>
                </c:pt>
                <c:pt idx="3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29F-42A4-99A3-8DC2E2666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'Q4.21'!$C$6:$C$12</c:f>
              <c:numCache>
                <c:formatCode>General</c:formatCode>
                <c:ptCount val="7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2-487C-A587-BC98B51A2F8D}"/>
            </c:ext>
          </c:extLst>
        </c:ser>
        <c:ser>
          <c:idx val="1"/>
          <c:order val="1"/>
          <c:tx>
            <c:strRef>
              <c:f>'Q4.21'!$D$5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'Q4.21'!$D$6:$D$12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4</c:v>
                </c:pt>
                <c:pt idx="5">
                  <c:v>7</c:v>
                </c:pt>
                <c:pt idx="6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12-487C-A587-BC98B51A2F8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715520"/>
        <c:axId val="120725504"/>
      </c:barChart>
      <c:catAx>
        <c:axId val="1207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25504"/>
        <c:crosses val="autoZero"/>
        <c:auto val="1"/>
        <c:lblAlgn val="ctr"/>
        <c:lblOffset val="100"/>
        <c:noMultiLvlLbl val="0"/>
      </c:catAx>
      <c:valAx>
        <c:axId val="120725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0715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25E-4112-AA95-83C10B27FC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25E-4112-AA95-83C10B27FC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25E-4112-AA95-83C10B27FC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25E-4112-AA95-83C10B27FC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'Q4.21'!$D$18:$D$21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25E-4112-AA95-83C10B27F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EC7-468E-B055-3D1E1C26E4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EC7-468E-B055-3D1E1C26E4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EC7-468E-B055-3D1E1C26E4C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EC7-468E-B055-3D1E1C26E4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'Q4.21'!$D$25:$D$28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C7-468E-B055-3D1E1C26E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93-4E76-A6B4-10F3BA57ACC8}"/>
            </c:ext>
          </c:extLst>
        </c:ser>
        <c:ser>
          <c:idx val="1"/>
          <c:order val="1"/>
          <c:tx>
            <c:strRef>
              <c:f>'Q4.22'!$D$5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'Q4.22'!$D$6:$D$12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10</c:v>
                </c:pt>
                <c:pt idx="6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93-4E76-A6B4-10F3BA57AC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176064"/>
        <c:axId val="121177600"/>
      </c:barChart>
      <c:catAx>
        <c:axId val="12117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77600"/>
        <c:crosses val="autoZero"/>
        <c:auto val="1"/>
        <c:lblAlgn val="ctr"/>
        <c:lblOffset val="100"/>
        <c:noMultiLvlLbl val="0"/>
      </c:catAx>
      <c:valAx>
        <c:axId val="12117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17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048-497C-9197-3BB4286440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048-497C-9197-3BB4286440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048-497C-9197-3BB4286440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048-497C-9197-3BB4286440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'Q4.22'!$D$18:$D$21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048-497C-9197-3BB428644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C3-4247-ADE1-9039249F71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C3-4247-ADE1-9039249F71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C3-4247-ADE1-9039249F71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C3-4247-ADE1-9039249F71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'Q4.22'!$D$25:$D$28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C3-4247-ADE1-9039249F7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23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'Q4.23'!$C$5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8-4DD1-8E71-6AA79C360137}"/>
            </c:ext>
          </c:extLst>
        </c:ser>
        <c:ser>
          <c:idx val="1"/>
          <c:order val="1"/>
          <c:tx>
            <c:strRef>
              <c:f>'Q4.23'!$D$5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'Q4.23'!$B$6:$B$12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'Q4.23'!$D$6:$D$12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10</c:v>
                </c:pt>
                <c:pt idx="6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78-4DD1-8E71-6AA79C36013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635968"/>
        <c:axId val="121637504"/>
      </c:barChart>
      <c:catAx>
        <c:axId val="1216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37504"/>
        <c:crosses val="autoZero"/>
        <c:auto val="1"/>
        <c:lblAlgn val="ctr"/>
        <c:lblOffset val="100"/>
        <c:noMultiLvlLbl val="0"/>
      </c:catAx>
      <c:valAx>
        <c:axId val="12163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63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C-4D1B-BA1F-7EE91A8D834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CCC-4D1B-BA1F-7EE91A8D834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CCC-4D1B-BA1F-7EE91A8D834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C-4D1B-BA1F-7EE91A8D83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CCC-4D1B-BA1F-7EE91A8D8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'Q4.23'!$D$24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EEC-4634-B0F0-1A47841C789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EEC-4634-B0F0-1A47841C789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EEC-4634-B0F0-1A47841C78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EEC-4634-B0F0-1A47841C789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'Q4.23'!$C$25:$C$28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'Q4.23'!$D$25:$D$28</c:f>
              <c:numCache>
                <c:formatCode>General</c:formatCode>
                <c:ptCount val="4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EC-4634-B0F0-1A47841C7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QTPC!$D$24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38-43A1-AC72-508232B12B4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38-43A1-AC72-508232B12B4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38-43A1-AC72-508232B12B4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38-43A1-AC72-508232B12B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QTPC!$C$25:$C$28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QTPC!$D$25:$D$28</c:f>
              <c:numCache>
                <c:formatCode>General</c:formatCode>
                <c:ptCount val="4"/>
                <c:pt idx="0">
                  <c:v>0</c:v>
                </c:pt>
                <c:pt idx="1">
                  <c:v>19</c:v>
                </c:pt>
                <c:pt idx="2">
                  <c:v>0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538-43A1-AC72-508232B12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'Q4.24'!$C$5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'Q4.24'!$C$6:$C$8</c:f>
              <c:numCache>
                <c:formatCode>General</c:formatCode>
                <c:ptCount val="3"/>
                <c:pt idx="0">
                  <c:v>0</c:v>
                </c:pt>
                <c:pt idx="1">
                  <c:v>34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52C-4633-A151-9C6883B7A52F}"/>
            </c:ext>
          </c:extLst>
        </c:ser>
        <c:ser>
          <c:idx val="1"/>
          <c:order val="1"/>
          <c:tx>
            <c:strRef>
              <c:f>'Q4.24'!$D$5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'Q4.24'!$B$6:$B$8</c:f>
              <c:strCache>
                <c:ptCount val="3"/>
                <c:pt idx="0">
                  <c:v>Não responderam</c:v>
                </c:pt>
                <c:pt idx="1">
                  <c:v>Técnico</c:v>
                </c:pt>
                <c:pt idx="2">
                  <c:v>Docente</c:v>
                </c:pt>
              </c:strCache>
            </c:strRef>
          </c:cat>
          <c:val>
            <c:numRef>
              <c:f>'Q4.24'!$D$6:$D$8</c:f>
              <c:numCache>
                <c:formatCode>General</c:formatCode>
                <c:ptCount val="3"/>
                <c:pt idx="0">
                  <c:v>0</c:v>
                </c:pt>
                <c:pt idx="1">
                  <c:v>15</c:v>
                </c:pt>
                <c:pt idx="2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52C-4633-A151-9C6883B7A5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1960704"/>
        <c:axId val="121974784"/>
      </c:barChart>
      <c:catAx>
        <c:axId val="12196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74784"/>
        <c:crosses val="autoZero"/>
        <c:auto val="1"/>
        <c:lblAlgn val="ctr"/>
        <c:lblOffset val="100"/>
        <c:noMultiLvlLbl val="0"/>
      </c:catAx>
      <c:valAx>
        <c:axId val="1219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196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'Q4.25'!$C$6:$C$12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2E-4CEB-ADEA-86D4459B610D}"/>
            </c:ext>
          </c:extLst>
        </c:ser>
        <c:ser>
          <c:idx val="1"/>
          <c:order val="1"/>
          <c:tx>
            <c:strRef>
              <c:f>'Q4.25'!$D$5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'Q4.25'!$D$6:$D$12</c:f>
              <c:numCache>
                <c:formatCode>General</c:formatCode>
                <c:ptCount val="7"/>
                <c:pt idx="0">
                  <c:v>11</c:v>
                </c:pt>
                <c:pt idx="1">
                  <c:v>3</c:v>
                </c:pt>
                <c:pt idx="2">
                  <c:v>0</c:v>
                </c:pt>
                <c:pt idx="3">
                  <c:v>3</c:v>
                </c:pt>
                <c:pt idx="4">
                  <c:v>3</c:v>
                </c:pt>
                <c:pt idx="5">
                  <c:v>11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2E-4CEB-ADEA-86D4459B610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194560"/>
        <c:axId val="122200448"/>
      </c:barChart>
      <c:catAx>
        <c:axId val="12219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200448"/>
        <c:crosses val="autoZero"/>
        <c:auto val="1"/>
        <c:lblAlgn val="ctr"/>
        <c:lblOffset val="100"/>
        <c:noMultiLvlLbl val="0"/>
      </c:catAx>
      <c:valAx>
        <c:axId val="1222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19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FBE-4E17-B4A3-59586FE7A83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BE-4E17-B4A3-59586FE7A83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FBE-4E17-B4A3-59586FE7A83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FBE-4E17-B4A3-59586FE7A83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FBE-4E17-B4A3-59586FE7A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'Q4.25'!$D$24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40D-434E-B04D-0DC685DFFD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40D-434E-B04D-0DC685DFFD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40D-434E-B04D-0DC685DFFD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40D-434E-B04D-0DC685DFF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'Q4.25'!$C$25:$C$28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'Q4.25'!$D$25:$D$28</c:f>
              <c:numCache>
                <c:formatCode>General</c:formatCode>
                <c:ptCount val="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40D-434E-B04D-0DC685DFF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'Q4.26'!$C$5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'Q4.26'!$C$6:$C$12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DC-4E7D-B6A1-245BDEAC7AB4}"/>
            </c:ext>
          </c:extLst>
        </c:ser>
        <c:ser>
          <c:idx val="1"/>
          <c:order val="1"/>
          <c:tx>
            <c:strRef>
              <c:f>'Q4.26'!$D$5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'Q4.26'!$B$6:$B$12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'Q4.26'!$D$6:$D$12</c:f>
              <c:numCache>
                <c:formatCode>General</c:formatCode>
                <c:ptCount val="7"/>
                <c:pt idx="0">
                  <c:v>11</c:v>
                </c:pt>
                <c:pt idx="1">
                  <c:v>4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DC-4E7D-B6A1-245BDEAC7A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524032"/>
        <c:axId val="122525568"/>
      </c:barChart>
      <c:catAx>
        <c:axId val="1225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25568"/>
        <c:crosses val="autoZero"/>
        <c:auto val="1"/>
        <c:lblAlgn val="ctr"/>
        <c:lblOffset val="100"/>
        <c:noMultiLvlLbl val="0"/>
      </c:catAx>
      <c:valAx>
        <c:axId val="122525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2524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63-4234-A5A9-275497EB02C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63-4234-A5A9-275497EB02C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63-4234-A5A9-275497EB02C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63-4234-A5A9-275497EB02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B63-4234-A5A9-275497EB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'Q4.26'!$D$24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11-40CE-9272-5A738CF6455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11-40CE-9272-5A738CF6455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11-40CE-9272-5A738CF6455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11-40CE-9272-5A738CF6455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'Q4.26'!$C$25:$C$28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'Q4.26'!$D$25:$D$28</c:f>
              <c:numCache>
                <c:formatCode>General</c:formatCode>
                <c:ptCount val="4"/>
                <c:pt idx="0">
                  <c:v>4</c:v>
                </c:pt>
                <c:pt idx="1">
                  <c:v>4</c:v>
                </c:pt>
                <c:pt idx="2">
                  <c:v>2</c:v>
                </c:pt>
                <c:pt idx="3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11-40CE-9272-5A738CF64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'Q4.27'!$C$5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'Q4.27'!$C$6:$C$12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28-4D8C-824A-92AFE69F6D00}"/>
            </c:ext>
          </c:extLst>
        </c:ser>
        <c:ser>
          <c:idx val="1"/>
          <c:order val="1"/>
          <c:tx>
            <c:strRef>
              <c:f>'Q4.27'!$D$5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'Q4.27'!$B$6:$B$12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'Q4.27'!$D$6:$D$12</c:f>
              <c:numCache>
                <c:formatCode>General</c:formatCode>
                <c:ptCount val="7"/>
                <c:pt idx="0">
                  <c:v>11</c:v>
                </c:pt>
                <c:pt idx="1">
                  <c:v>9</c:v>
                </c:pt>
                <c:pt idx="2">
                  <c:v>1</c:v>
                </c:pt>
                <c:pt idx="3">
                  <c:v>1</c:v>
                </c:pt>
                <c:pt idx="4">
                  <c:v>4</c:v>
                </c:pt>
                <c:pt idx="5">
                  <c:v>6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28-4D8C-824A-92AFE69F6D0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545472"/>
        <c:axId val="123547008"/>
      </c:barChart>
      <c:catAx>
        <c:axId val="12354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47008"/>
        <c:crosses val="autoZero"/>
        <c:auto val="1"/>
        <c:lblAlgn val="ctr"/>
        <c:lblOffset val="100"/>
        <c:noMultiLvlLbl val="0"/>
      </c:catAx>
      <c:valAx>
        <c:axId val="123547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545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237-4463-923B-CB7EA843D55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237-4463-923B-CB7EA843D55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237-4463-923B-CB7EA843D55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237-4463-923B-CB7EA843D5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237-4463-923B-CB7EA843D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'Q4.27'!$D$24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43A-4397-8B8C-F61D362EACF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43A-4397-8B8C-F61D362EACF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43A-4397-8B8C-F61D362EACF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43A-4397-8B8C-F61D362EAC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'Q4.27'!$C$25:$C$28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'Q4.27'!$D$25:$D$28</c:f>
              <c:numCache>
                <c:formatCode>General</c:formatCode>
                <c:ptCount val="4"/>
                <c:pt idx="0">
                  <c:v>2</c:v>
                </c:pt>
                <c:pt idx="1">
                  <c:v>9</c:v>
                </c:pt>
                <c:pt idx="2">
                  <c:v>4</c:v>
                </c:pt>
                <c:pt idx="3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43A-4397-8B8C-F61D362EA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'Q4.01'!$C$5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'Q4.01'!$C$6:$C$8</c:f>
              <c:numCache>
                <c:formatCode>General</c:formatCode>
                <c:ptCount val="3"/>
                <c:pt idx="0">
                  <c:v>0</c:v>
                </c:pt>
                <c:pt idx="1">
                  <c:v>5</c:v>
                </c:pt>
                <c:pt idx="2">
                  <c:v>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DB-4BEE-AACC-5AAAC16D9C58}"/>
            </c:ext>
          </c:extLst>
        </c:ser>
        <c:ser>
          <c:idx val="1"/>
          <c:order val="1"/>
          <c:tx>
            <c:strRef>
              <c:f>'Q4.01'!$D$5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'Q4.01'!$B$6:$B$8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'Q4.01'!$D$6:$D$8</c:f>
              <c:numCache>
                <c:formatCode>General</c:formatCode>
                <c:ptCount val="3"/>
                <c:pt idx="0">
                  <c:v>0</c:v>
                </c:pt>
                <c:pt idx="1">
                  <c:v>25</c:v>
                </c:pt>
                <c:pt idx="2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EDB-4BEE-AACC-5AAAC16D9C5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84689280"/>
        <c:axId val="84690816"/>
      </c:barChart>
      <c:catAx>
        <c:axId val="8468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90816"/>
        <c:crosses val="autoZero"/>
        <c:auto val="1"/>
        <c:lblAlgn val="ctr"/>
        <c:lblOffset val="100"/>
        <c:noMultiLvlLbl val="0"/>
      </c:catAx>
      <c:valAx>
        <c:axId val="8469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468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28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'Q4.28'!$C$5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'Q4.28'!$C$6:$C$12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31-4739-B096-848C02FA28AF}"/>
            </c:ext>
          </c:extLst>
        </c:ser>
        <c:ser>
          <c:idx val="1"/>
          <c:order val="1"/>
          <c:tx>
            <c:strRef>
              <c:f>'Q4.28'!$D$5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'Q4.28'!$B$6:$B$12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'Q4.28'!$D$6:$D$12</c:f>
              <c:numCache>
                <c:formatCode>General</c:formatCode>
                <c:ptCount val="7"/>
                <c:pt idx="0">
                  <c:v>11</c:v>
                </c:pt>
                <c:pt idx="1">
                  <c:v>6</c:v>
                </c:pt>
                <c:pt idx="2">
                  <c:v>1</c:v>
                </c:pt>
                <c:pt idx="3">
                  <c:v>2</c:v>
                </c:pt>
                <c:pt idx="4">
                  <c:v>5</c:v>
                </c:pt>
                <c:pt idx="5">
                  <c:v>6</c:v>
                </c:pt>
                <c:pt idx="6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31-4739-B096-848C02FA28A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3710848"/>
        <c:axId val="123720832"/>
      </c:barChart>
      <c:catAx>
        <c:axId val="12371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20832"/>
        <c:crosses val="autoZero"/>
        <c:auto val="1"/>
        <c:lblAlgn val="ctr"/>
        <c:lblOffset val="100"/>
        <c:noMultiLvlLbl val="0"/>
      </c:catAx>
      <c:valAx>
        <c:axId val="123720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3710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7A0-404F-BB94-6124802E24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7A0-404F-BB94-6124802E24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7A0-404F-BB94-6124802E24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7A0-404F-BB94-6124802E24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7A0-404F-BB94-6124802E2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'Q4.28'!$D$24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77-4F0E-9E5E-A1DF4F6F6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77-4F0E-9E5E-A1DF4F6F6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77-4F0E-9E5E-A1DF4F6F6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77-4F0E-9E5E-A1DF4F6F68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'Q4.28'!$C$25:$C$28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'Q4.28'!$D$25:$D$28</c:f>
              <c:numCache>
                <c:formatCode>General</c:formatCode>
                <c:ptCount val="4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3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77-4F0E-9E5E-A1DF4F6F6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29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'Q4.29'!$C$5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73-429F-997E-BE20777C72F4}"/>
            </c:ext>
          </c:extLst>
        </c:ser>
        <c:ser>
          <c:idx val="1"/>
          <c:order val="1"/>
          <c:tx>
            <c:strRef>
              <c:f>'Q4.29'!$D$5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'Q4.29'!$B$6:$B$12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'Q4.29'!$D$6:$D$12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773-429F-997E-BE20777C72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113664"/>
        <c:axId val="124115200"/>
      </c:barChart>
      <c:catAx>
        <c:axId val="12411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15200"/>
        <c:crosses val="autoZero"/>
        <c:auto val="1"/>
        <c:lblAlgn val="ctr"/>
        <c:lblOffset val="100"/>
        <c:noMultiLvlLbl val="0"/>
      </c:catAx>
      <c:valAx>
        <c:axId val="12411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11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983-4F07-B918-5E58EB209D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983-4F07-B918-5E58EB209D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983-4F07-B918-5E58EB209D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983-4F07-B918-5E58EB209DF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983-4F07-B918-5E58EB209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'Q4.29'!$D$24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CFD-45C6-83AA-23148E8FC1D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CFD-45C6-83AA-23148E8FC1D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CFD-45C6-83AA-23148E8FC1D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CFD-45C6-83AA-23148E8FC1D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'Q4.29'!$C$25:$C$28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'Q4.29'!$D$25:$D$28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CFD-45C6-83AA-23148E8F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'Q4.30'!$C$5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68-4F18-B1D8-107C7588D776}"/>
            </c:ext>
          </c:extLst>
        </c:ser>
        <c:ser>
          <c:idx val="1"/>
          <c:order val="1"/>
          <c:tx>
            <c:strRef>
              <c:f>'Q4.30'!$D$5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'Q4.30'!$B$6:$B$12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'Q4.30'!$D$6:$D$12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A68-4F18-B1D8-107C7588D77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492032"/>
        <c:axId val="124506112"/>
      </c:barChart>
      <c:catAx>
        <c:axId val="12449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506112"/>
        <c:crosses val="autoZero"/>
        <c:auto val="1"/>
        <c:lblAlgn val="ctr"/>
        <c:lblOffset val="100"/>
        <c:noMultiLvlLbl val="0"/>
      </c:catAx>
      <c:valAx>
        <c:axId val="12450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49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05B-4007-87C7-12ED1D7F6A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05B-4007-87C7-12ED1D7F6A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05B-4007-87C7-12ED1D7F6A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05B-4007-87C7-12ED1D7F6A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5B-4007-87C7-12ED1D7F6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'Q4.30'!$D$24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7C9-4902-BD1C-1333E708707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7C9-4902-BD1C-1333E708707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7C9-4902-BD1C-1333E708707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7C9-4902-BD1C-1333E70870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'Q4.30'!$C$25:$C$28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'Q4.30'!$D$25:$D$28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7C9-4902-BD1C-1333E7087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'Q4.31'!$C$5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76-4CE8-AED7-C794C5DA8D8E}"/>
            </c:ext>
          </c:extLst>
        </c:ser>
        <c:ser>
          <c:idx val="1"/>
          <c:order val="1"/>
          <c:tx>
            <c:strRef>
              <c:f>'Q4.31'!$D$5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'Q4.31'!$B$6:$B$12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'Q4.31'!$D$6:$D$12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76-4CE8-AED7-C794C5DA8D8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682240"/>
        <c:axId val="124683776"/>
      </c:barChart>
      <c:catAx>
        <c:axId val="124682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83776"/>
        <c:crosses val="autoZero"/>
        <c:auto val="1"/>
        <c:lblAlgn val="ctr"/>
        <c:lblOffset val="100"/>
        <c:noMultiLvlLbl val="0"/>
      </c:catAx>
      <c:valAx>
        <c:axId val="12468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682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Técnicos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A28-423A-8167-B44C87A6532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A28-423A-8167-B44C87A6532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5A28-423A-8167-B44C87A6532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A28-423A-8167-B44C87A653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'Q4.02'!$C$18:$C$21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'Q4.02'!$D$18:$D$21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31-4C01-9B77-9EAAE263903B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B10-46AC-A006-3BCE469CC41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B10-46AC-A006-3BCE469CC41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B10-46AC-A006-3BCE469CC41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B10-46AC-A006-3BCE469CC4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B10-46AC-A006-3BCE469CC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'Q4.31'!$D$24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2C5-4F0A-BE7E-62A502FEBE9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2C5-4F0A-BE7E-62A502FEBE9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2C5-4F0A-BE7E-62A502FEBE9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2C5-4F0A-BE7E-62A502FEB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'Q4.31'!$C$25:$C$28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'Q4.31'!$D$25:$D$28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2C5-4F0A-BE7E-62A502FEB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'Q4.32'!$C$5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'Q4.32'!$C$6:$C$12</c:f>
              <c:numCache>
                <c:formatCode>General</c:formatCode>
                <c:ptCount val="7"/>
                <c:pt idx="0">
                  <c:v>28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D3-4649-990B-CC618CF69320}"/>
            </c:ext>
          </c:extLst>
        </c:ser>
        <c:ser>
          <c:idx val="1"/>
          <c:order val="1"/>
          <c:tx>
            <c:strRef>
              <c:f>'Q4.32'!$D$5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'Q4.32'!$B$6:$B$12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'Q4.32'!$D$6:$D$12</c:f>
              <c:numCache>
                <c:formatCode>General</c:formatCode>
                <c:ptCount val="7"/>
                <c:pt idx="0">
                  <c:v>34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D3-4649-990B-CC618CF6932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4995072"/>
        <c:axId val="124996608"/>
      </c:barChart>
      <c:catAx>
        <c:axId val="12499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96608"/>
        <c:crosses val="autoZero"/>
        <c:auto val="1"/>
        <c:lblAlgn val="ctr"/>
        <c:lblOffset val="100"/>
        <c:noMultiLvlLbl val="0"/>
      </c:catAx>
      <c:valAx>
        <c:axId val="12499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4995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0FA-4912-B7FC-5E278CF292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0FA-4912-B7FC-5E278CF292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0FA-4912-B7FC-5E278CF292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0FA-4912-B7FC-5E278CF29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'Q4.32'!$D$18:$D$21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60FA-4912-B7FC-5E278CF29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'Q4.32'!$D$24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AA1-4D3A-A44B-B33E02E055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AA1-4D3A-A44B-B33E02E055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AA1-4D3A-A44B-B33E02E055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AA1-4D3A-A44B-B33E02E0558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'Q4.32'!$C$25:$C$28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'Q4.32'!$D$25:$D$28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AA1-4D3A-A44B-B33E02E05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33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'Q4.33'!$C$5</c:f>
              <c:strCache>
                <c:ptCount val="1"/>
                <c:pt idx="0">
                  <c:v>Técnico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'Q4.33'!$C$6:$C$8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6F6-4A04-BA09-A04D89520A83}"/>
            </c:ext>
          </c:extLst>
        </c:ser>
        <c:ser>
          <c:idx val="1"/>
          <c:order val="1"/>
          <c:tx>
            <c:strRef>
              <c:f>'Q4.33'!$D$5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'Q4.33'!$B$6:$B$8</c:f>
              <c:strCache>
                <c:ptCount val="3"/>
                <c:pt idx="0">
                  <c:v>Não responderam</c:v>
                </c:pt>
                <c:pt idx="1">
                  <c:v>Sim</c:v>
                </c:pt>
                <c:pt idx="2">
                  <c:v>Não</c:v>
                </c:pt>
              </c:strCache>
            </c:strRef>
          </c:cat>
          <c:val>
            <c:numRef>
              <c:f>'Q4.33'!$D$6:$D$8</c:f>
              <c:numCache>
                <c:formatCode>General</c:formatCode>
                <c:ptCount val="3"/>
                <c:pt idx="0">
                  <c:v>0</c:v>
                </c:pt>
                <c:pt idx="1">
                  <c:v>22</c:v>
                </c:pt>
                <c:pt idx="2">
                  <c:v>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6F6-4A04-BA09-A04D89520A8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414016"/>
        <c:axId val="125419904"/>
      </c:barChart>
      <c:catAx>
        <c:axId val="1254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19904"/>
        <c:crosses val="autoZero"/>
        <c:auto val="1"/>
        <c:lblAlgn val="ctr"/>
        <c:lblOffset val="100"/>
        <c:noMultiLvlLbl val="0"/>
      </c:catAx>
      <c:valAx>
        <c:axId val="12541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41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'Q4.34'!$C$5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14-4E6C-8860-25DA85F87AD8}"/>
            </c:ext>
          </c:extLst>
        </c:ser>
        <c:ser>
          <c:idx val="1"/>
          <c:order val="1"/>
          <c:tx>
            <c:strRef>
              <c:f>'Q4.34'!$D$5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'Q4.34'!$B$6:$B$12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'Q4.34'!$D$6:$D$12</c:f>
              <c:numCache>
                <c:formatCode>General</c:formatCode>
                <c:ptCount val="7"/>
                <c:pt idx="0">
                  <c:v>12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11</c:v>
                </c:pt>
                <c:pt idx="6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14-4E6C-8860-25DA85F87AD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5775232"/>
        <c:axId val="125777024"/>
      </c:barChart>
      <c:catAx>
        <c:axId val="12577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77024"/>
        <c:crosses val="autoZero"/>
        <c:auto val="1"/>
        <c:lblAlgn val="ctr"/>
        <c:lblOffset val="100"/>
        <c:noMultiLvlLbl val="0"/>
      </c:catAx>
      <c:valAx>
        <c:axId val="12577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77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'Q4.34'!$D$17</c:f>
              <c:strCache>
                <c:ptCount val="1"/>
                <c:pt idx="0">
                  <c:v>Técnicos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50A-4972-8300-2B585E0B7B8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50A-4972-8300-2B585E0B7B8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50A-4972-8300-2B585E0B7B8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50A-4972-8300-2B585E0B7B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'Q4.34'!$C$18:$C$21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'Q4.34'!$D$18:$D$21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50A-4972-8300-2B585E0B7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'Q4.34'!$D$24</c:f>
              <c:strCache>
                <c:ptCount val="1"/>
                <c:pt idx="0">
                  <c:v>Docentes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7E-4AAD-AF37-9789D4E1EE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7E-4AAD-AF37-9789D4E1EE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7E-4AAD-AF37-9789D4E1EE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7E-4AAD-AF37-9789D4E1EEB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'Q4.34'!$C$25:$C$28</c:f>
              <c:strCache>
                <c:ptCount val="4"/>
                <c:pt idx="0">
                  <c:v>Urgência</c:v>
                </c:pt>
                <c:pt idx="1">
                  <c:v>Atenção</c:v>
                </c:pt>
                <c:pt idx="2">
                  <c:v>Aprimoramento</c:v>
                </c:pt>
                <c:pt idx="3">
                  <c:v>Manutenção</c:v>
                </c:pt>
              </c:strCache>
            </c:strRef>
          </c:cat>
          <c:val>
            <c:numRef>
              <c:f>'Q4.34'!$D$25:$D$28</c:f>
              <c:numCache>
                <c:formatCode>General</c:formatCode>
                <c:ptCount val="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DB7E-4AAD-AF37-9789D4E1E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Eixo 4: Questão 35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'Q4.35'!$C$5</c:f>
              <c:strCache>
                <c:ptCount val="1"/>
                <c:pt idx="0">
                  <c:v>Técnicos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'Q4.35'!$C$6:$C$12</c:f>
              <c:numCache>
                <c:formatCode>General</c:formatCode>
                <c:ptCount val="7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7-4CC5-BCCD-8047EE3D0B31}"/>
            </c:ext>
          </c:extLst>
        </c:ser>
        <c:ser>
          <c:idx val="1"/>
          <c:order val="1"/>
          <c:tx>
            <c:strRef>
              <c:f>'Q4.35'!$D$5</c:f>
              <c:strCache>
                <c:ptCount val="1"/>
                <c:pt idx="0">
                  <c:v>Docentes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'Q4.35'!$B$6:$B$12</c:f>
              <c:strCache>
                <c:ptCount val="7"/>
                <c:pt idx="0">
                  <c:v>Sem resposta</c:v>
                </c:pt>
                <c:pt idx="1">
                  <c:v>Não sei responder</c:v>
                </c:pt>
                <c:pt idx="2">
                  <c:v>Péssimo</c:v>
                </c:pt>
                <c:pt idx="3">
                  <c:v>Ruim</c:v>
                </c:pt>
                <c:pt idx="4">
                  <c:v>Regular</c:v>
                </c:pt>
                <c:pt idx="5">
                  <c:v>Bom</c:v>
                </c:pt>
                <c:pt idx="6">
                  <c:v>Excelente</c:v>
                </c:pt>
              </c:strCache>
            </c:strRef>
          </c:cat>
          <c:val>
            <c:numRef>
              <c:f>'Q4.35'!$D$6:$D$12</c:f>
              <c:numCache>
                <c:formatCode>General</c:formatCode>
                <c:ptCount val="7"/>
                <c:pt idx="0">
                  <c:v>12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9</c:v>
                </c:pt>
                <c:pt idx="6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F47-4CC5-BCCD-8047EE3D0B3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6247680"/>
        <c:axId val="126249216"/>
      </c:barChart>
      <c:catAx>
        <c:axId val="1262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249216"/>
        <c:crosses val="autoZero"/>
        <c:auto val="1"/>
        <c:lblAlgn val="ctr"/>
        <c:lblOffset val="100"/>
        <c:noMultiLvlLbl val="0"/>
      </c:catAx>
      <c:valAx>
        <c:axId val="12624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6247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8.xml"/><Relationship Id="rId2" Type="http://schemas.openxmlformats.org/officeDocument/2006/relationships/chart" Target="../charts/chart277.xml"/><Relationship Id="rId1" Type="http://schemas.openxmlformats.org/officeDocument/2006/relationships/chart" Target="../charts/chart276.xml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1.xml"/><Relationship Id="rId2" Type="http://schemas.openxmlformats.org/officeDocument/2006/relationships/chart" Target="../charts/chart280.xml"/><Relationship Id="rId1" Type="http://schemas.openxmlformats.org/officeDocument/2006/relationships/chart" Target="../charts/chart279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4.xml"/><Relationship Id="rId2" Type="http://schemas.openxmlformats.org/officeDocument/2006/relationships/chart" Target="../charts/chart283.xml"/><Relationship Id="rId1" Type="http://schemas.openxmlformats.org/officeDocument/2006/relationships/chart" Target="../charts/chart282.xml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7.xml"/><Relationship Id="rId2" Type="http://schemas.openxmlformats.org/officeDocument/2006/relationships/chart" Target="../charts/chart286.xml"/><Relationship Id="rId1" Type="http://schemas.openxmlformats.org/officeDocument/2006/relationships/chart" Target="../charts/chart285.xml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0.xml"/><Relationship Id="rId2" Type="http://schemas.openxmlformats.org/officeDocument/2006/relationships/chart" Target="../charts/chart289.xml"/><Relationship Id="rId1" Type="http://schemas.openxmlformats.org/officeDocument/2006/relationships/chart" Target="../charts/chart288.xml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3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6.xml"/><Relationship Id="rId2" Type="http://schemas.openxmlformats.org/officeDocument/2006/relationships/chart" Target="../charts/chart295.xml"/><Relationship Id="rId1" Type="http://schemas.openxmlformats.org/officeDocument/2006/relationships/chart" Target="../charts/chart294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7.xml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chart" Target="../charts/chart298.xml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3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chart" Target="../charts/chart304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9.xml"/><Relationship Id="rId2" Type="http://schemas.openxmlformats.org/officeDocument/2006/relationships/chart" Target="../charts/chart308.xml"/><Relationship Id="rId1" Type="http://schemas.openxmlformats.org/officeDocument/2006/relationships/chart" Target="../charts/chart307.xml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chart" Target="../charts/chart310.xml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5.xml"/><Relationship Id="rId2" Type="http://schemas.openxmlformats.org/officeDocument/2006/relationships/chart" Target="../charts/chart314.xml"/><Relationship Id="rId1" Type="http://schemas.openxmlformats.org/officeDocument/2006/relationships/chart" Target="../charts/chart313.xml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chart" Target="../charts/chart316.xml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1.xml"/><Relationship Id="rId2" Type="http://schemas.openxmlformats.org/officeDocument/2006/relationships/chart" Target="../charts/chart320.xml"/><Relationship Id="rId1" Type="http://schemas.openxmlformats.org/officeDocument/2006/relationships/chart" Target="../charts/chart319.xml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chart" Target="../charts/chart322.xml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7.xml"/><Relationship Id="rId2" Type="http://schemas.openxmlformats.org/officeDocument/2006/relationships/chart" Target="../charts/chart326.xml"/><Relationship Id="rId1" Type="http://schemas.openxmlformats.org/officeDocument/2006/relationships/chart" Target="../charts/chart325.xml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chart" Target="../charts/chart328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3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chart" Target="../charts/chart334.xml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9.xml"/><Relationship Id="rId2" Type="http://schemas.openxmlformats.org/officeDocument/2006/relationships/chart" Target="../charts/chart338.xml"/><Relationship Id="rId1" Type="http://schemas.openxmlformats.org/officeDocument/2006/relationships/chart" Target="../charts/chart337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0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3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chart" Target="../charts/chart344.xml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9.xml"/><Relationship Id="rId2" Type="http://schemas.openxmlformats.org/officeDocument/2006/relationships/chart" Target="../charts/chart348.xml"/><Relationship Id="rId1" Type="http://schemas.openxmlformats.org/officeDocument/2006/relationships/chart" Target="../charts/chart347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chart" Target="../charts/chart35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5.xml"/><Relationship Id="rId2" Type="http://schemas.openxmlformats.org/officeDocument/2006/relationships/chart" Target="../charts/chart354.xml"/><Relationship Id="rId1" Type="http://schemas.openxmlformats.org/officeDocument/2006/relationships/chart" Target="../charts/chart353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chart" Target="../charts/chart35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.xml"/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.xml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6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chart" Target="../charts/chart7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2" Type="http://schemas.openxmlformats.org/officeDocument/2006/relationships/chart" Target="../charts/chart84.xml"/><Relationship Id="rId1" Type="http://schemas.openxmlformats.org/officeDocument/2006/relationships/chart" Target="../charts/chart83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8.xml"/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8.xml"/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1.xml"/><Relationship Id="rId2" Type="http://schemas.openxmlformats.org/officeDocument/2006/relationships/chart" Target="../charts/chart100.xml"/><Relationship Id="rId1" Type="http://schemas.openxmlformats.org/officeDocument/2006/relationships/chart" Target="../charts/chart99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0.xml"/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3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6.xml"/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9.xml"/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2.xml"/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5.xml"/><Relationship Id="rId2" Type="http://schemas.openxmlformats.org/officeDocument/2006/relationships/chart" Target="../charts/chart154.xml"/><Relationship Id="rId1" Type="http://schemas.openxmlformats.org/officeDocument/2006/relationships/chart" Target="../charts/chart153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8.xml"/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1.xml"/><Relationship Id="rId2" Type="http://schemas.openxmlformats.org/officeDocument/2006/relationships/chart" Target="../charts/chart160.xml"/><Relationship Id="rId1" Type="http://schemas.openxmlformats.org/officeDocument/2006/relationships/chart" Target="../charts/chart15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4.xml"/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7.xml"/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0.xml"/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3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6.xml"/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9.xml"/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2.xml"/><Relationship Id="rId2" Type="http://schemas.openxmlformats.org/officeDocument/2006/relationships/chart" Target="../charts/chart181.xml"/><Relationship Id="rId1" Type="http://schemas.openxmlformats.org/officeDocument/2006/relationships/chart" Target="../charts/chart180.xml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5.xml"/><Relationship Id="rId2" Type="http://schemas.openxmlformats.org/officeDocument/2006/relationships/chart" Target="../charts/chart184.xml"/><Relationship Id="rId1" Type="http://schemas.openxmlformats.org/officeDocument/2006/relationships/chart" Target="../charts/chart183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8.xml"/><Relationship Id="rId2" Type="http://schemas.openxmlformats.org/officeDocument/2006/relationships/chart" Target="../charts/chart187.xml"/><Relationship Id="rId1" Type="http://schemas.openxmlformats.org/officeDocument/2006/relationships/chart" Target="../charts/chart186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1.xml"/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4.xml"/><Relationship Id="rId2" Type="http://schemas.openxmlformats.org/officeDocument/2006/relationships/chart" Target="../charts/chart193.xml"/><Relationship Id="rId1" Type="http://schemas.openxmlformats.org/officeDocument/2006/relationships/chart" Target="../charts/chart192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7.xml"/><Relationship Id="rId2" Type="http://schemas.openxmlformats.org/officeDocument/2006/relationships/chart" Target="../charts/chart196.xml"/><Relationship Id="rId1" Type="http://schemas.openxmlformats.org/officeDocument/2006/relationships/chart" Target="../charts/chart195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0.xml"/><Relationship Id="rId2" Type="http://schemas.openxmlformats.org/officeDocument/2006/relationships/chart" Target="../charts/chart199.xml"/><Relationship Id="rId1" Type="http://schemas.openxmlformats.org/officeDocument/2006/relationships/chart" Target="../charts/chart198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3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6.xml"/><Relationship Id="rId2" Type="http://schemas.openxmlformats.org/officeDocument/2006/relationships/chart" Target="../charts/chart205.xml"/><Relationship Id="rId1" Type="http://schemas.openxmlformats.org/officeDocument/2006/relationships/chart" Target="../charts/chart204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9.xml"/><Relationship Id="rId2" Type="http://schemas.openxmlformats.org/officeDocument/2006/relationships/chart" Target="../charts/chart208.xml"/><Relationship Id="rId1" Type="http://schemas.openxmlformats.org/officeDocument/2006/relationships/chart" Target="../charts/chart207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2.xml"/><Relationship Id="rId2" Type="http://schemas.openxmlformats.org/officeDocument/2006/relationships/chart" Target="../charts/chart211.xml"/><Relationship Id="rId1" Type="http://schemas.openxmlformats.org/officeDocument/2006/relationships/chart" Target="../charts/chart210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5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8.xml"/><Relationship Id="rId2" Type="http://schemas.openxmlformats.org/officeDocument/2006/relationships/chart" Target="../charts/chart217.xml"/><Relationship Id="rId1" Type="http://schemas.openxmlformats.org/officeDocument/2006/relationships/chart" Target="../charts/chart216.xml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1.xml"/><Relationship Id="rId2" Type="http://schemas.openxmlformats.org/officeDocument/2006/relationships/chart" Target="../charts/chart220.xml"/><Relationship Id="rId1" Type="http://schemas.openxmlformats.org/officeDocument/2006/relationships/chart" Target="../charts/chart219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4.xml"/><Relationship Id="rId2" Type="http://schemas.openxmlformats.org/officeDocument/2006/relationships/chart" Target="../charts/chart223.xml"/><Relationship Id="rId1" Type="http://schemas.openxmlformats.org/officeDocument/2006/relationships/chart" Target="../charts/chart222.xml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7.xml"/><Relationship Id="rId2" Type="http://schemas.openxmlformats.org/officeDocument/2006/relationships/chart" Target="../charts/chart226.xml"/><Relationship Id="rId1" Type="http://schemas.openxmlformats.org/officeDocument/2006/relationships/chart" Target="../charts/chart225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0.xml"/><Relationship Id="rId2" Type="http://schemas.openxmlformats.org/officeDocument/2006/relationships/chart" Target="../charts/chart229.xml"/><Relationship Id="rId1" Type="http://schemas.openxmlformats.org/officeDocument/2006/relationships/chart" Target="../charts/chart228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3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6.xml"/><Relationship Id="rId2" Type="http://schemas.openxmlformats.org/officeDocument/2006/relationships/chart" Target="../charts/chart235.xml"/><Relationship Id="rId1" Type="http://schemas.openxmlformats.org/officeDocument/2006/relationships/chart" Target="../charts/chart234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9.xml"/><Relationship Id="rId2" Type="http://schemas.openxmlformats.org/officeDocument/2006/relationships/chart" Target="../charts/chart238.xml"/><Relationship Id="rId1" Type="http://schemas.openxmlformats.org/officeDocument/2006/relationships/chart" Target="../charts/chart237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2.xml"/><Relationship Id="rId2" Type="http://schemas.openxmlformats.org/officeDocument/2006/relationships/chart" Target="../charts/chart241.xml"/><Relationship Id="rId1" Type="http://schemas.openxmlformats.org/officeDocument/2006/relationships/chart" Target="../charts/chart240.xml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5.xml"/><Relationship Id="rId2" Type="http://schemas.openxmlformats.org/officeDocument/2006/relationships/chart" Target="../charts/chart244.xml"/><Relationship Id="rId1" Type="http://schemas.openxmlformats.org/officeDocument/2006/relationships/chart" Target="../charts/chart24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8.xml"/><Relationship Id="rId2" Type="http://schemas.openxmlformats.org/officeDocument/2006/relationships/chart" Target="../charts/chart247.xml"/><Relationship Id="rId1" Type="http://schemas.openxmlformats.org/officeDocument/2006/relationships/chart" Target="../charts/chart246.xml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1.xml"/><Relationship Id="rId2" Type="http://schemas.openxmlformats.org/officeDocument/2006/relationships/chart" Target="../charts/chart250.xml"/><Relationship Id="rId1" Type="http://schemas.openxmlformats.org/officeDocument/2006/relationships/chart" Target="../charts/chart24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4.xml"/><Relationship Id="rId2" Type="http://schemas.openxmlformats.org/officeDocument/2006/relationships/chart" Target="../charts/chart253.xml"/><Relationship Id="rId1" Type="http://schemas.openxmlformats.org/officeDocument/2006/relationships/chart" Target="../charts/chart25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7.xml"/><Relationship Id="rId2" Type="http://schemas.openxmlformats.org/officeDocument/2006/relationships/chart" Target="../charts/chart256.xml"/><Relationship Id="rId1" Type="http://schemas.openxmlformats.org/officeDocument/2006/relationships/chart" Target="../charts/chart255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0.xml"/><Relationship Id="rId2" Type="http://schemas.openxmlformats.org/officeDocument/2006/relationships/chart" Target="../charts/chart259.xml"/><Relationship Id="rId1" Type="http://schemas.openxmlformats.org/officeDocument/2006/relationships/chart" Target="../charts/chart258.xml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3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6.xml"/><Relationship Id="rId2" Type="http://schemas.openxmlformats.org/officeDocument/2006/relationships/chart" Target="../charts/chart265.xml"/><Relationship Id="rId1" Type="http://schemas.openxmlformats.org/officeDocument/2006/relationships/chart" Target="../charts/chart264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9.xml"/><Relationship Id="rId2" Type="http://schemas.openxmlformats.org/officeDocument/2006/relationships/chart" Target="../charts/chart268.xml"/><Relationship Id="rId1" Type="http://schemas.openxmlformats.org/officeDocument/2006/relationships/chart" Target="../charts/chart267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2.xml"/><Relationship Id="rId2" Type="http://schemas.openxmlformats.org/officeDocument/2006/relationships/chart" Target="../charts/chart271.xml"/><Relationship Id="rId1" Type="http://schemas.openxmlformats.org/officeDocument/2006/relationships/chart" Target="../charts/chart270.xml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5.xml"/><Relationship Id="rId2" Type="http://schemas.openxmlformats.org/officeDocument/2006/relationships/chart" Target="../charts/chart274.xml"/><Relationship Id="rId1" Type="http://schemas.openxmlformats.org/officeDocument/2006/relationships/chart" Target="../charts/chart27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600075</xdr:colOff>
      <xdr:row>15</xdr:row>
      <xdr:rowOff>180975</xdr:rowOff>
    </xdr:from>
    <xdr:to>
      <xdr:col>10</xdr:col>
      <xdr:colOff>600075</xdr:colOff>
      <xdr:row>27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67E8496-4F70-4EF2-A941-6579912ABF8B}"/>
            </a:ext>
            <a:ext uri="{147F2762-F138-4A5C-976F-8EAC2B608ADB}">
              <a16:predDERef xmlns:a16="http://schemas.microsoft.com/office/drawing/2014/main" xmlns="" pred="{DD0284DE-16EF-4B60-A274-D19982395F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600075</xdr:colOff>
      <xdr:row>15</xdr:row>
      <xdr:rowOff>180975</xdr:rowOff>
    </xdr:from>
    <xdr:to>
      <xdr:col>17</xdr:col>
      <xdr:colOff>0</xdr:colOff>
      <xdr:row>28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83D8115-A8B0-410A-BA89-380AD5DD4AC2}"/>
            </a:ext>
            <a:ext uri="{147F2762-F138-4A5C-976F-8EAC2B608ADB}">
              <a16:predDERef xmlns:a16="http://schemas.microsoft.com/office/drawing/2014/main" xmlns="" pred="{367E8496-4F70-4EF2-A941-6579912ABF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D2AD77-8B49-43DE-BE10-DDE228795AA6}"/>
            </a:ext>
            <a:ext uri="{147F2762-F138-4A5C-976F-8EAC2B608ADB}">
              <a16:predDERef xmlns:a16="http://schemas.microsoft.com/office/drawing/2014/main" xmlns="" pred="{6BC64544-4F8D-4D5E-9C3A-05BD92FED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CC3BBDD-A8AC-4205-A5C5-25A24C5D7A82}"/>
            </a:ext>
            <a:ext uri="{147F2762-F138-4A5C-976F-8EAC2B608ADB}">
              <a16:predDERef xmlns:a16="http://schemas.microsoft.com/office/drawing/2014/main" xmlns="" pred="{35D2AD77-8B49-43DE-BE10-DDE228795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A7C6385-D65E-4DD2-A399-49C744922DFA}"/>
            </a:ext>
            <a:ext uri="{147F2762-F138-4A5C-976F-8EAC2B608ADB}">
              <a16:predDERef xmlns:a16="http://schemas.microsoft.com/office/drawing/2014/main" xmlns="" pred="{1898C09C-D41D-498A-A15B-A7D1B10C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CE967D6-C1EE-4320-AE93-F8A6A259D27B}"/>
            </a:ext>
            <a:ext uri="{147F2762-F138-4A5C-976F-8EAC2B608ADB}">
              <a16:predDERef xmlns:a16="http://schemas.microsoft.com/office/drawing/2014/main" xmlns="" pred="{CA7C6385-D65E-4DD2-A399-49C744922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C5AD7BE-6EC3-4EFA-ABA4-D2616AF5344A}"/>
            </a:ext>
            <a:ext uri="{147F2762-F138-4A5C-976F-8EAC2B608ADB}">
              <a16:predDERef xmlns:a16="http://schemas.microsoft.com/office/drawing/2014/main" xmlns="" pred="{EE6391C9-2974-4A5F-8BB6-3305095FF4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68AC53A-6ED3-4644-8702-57C182D878A8}"/>
            </a:ext>
            <a:ext uri="{147F2762-F138-4A5C-976F-8EAC2B608ADB}">
              <a16:predDERef xmlns:a16="http://schemas.microsoft.com/office/drawing/2014/main" xmlns="" pred="{1C5AD7BE-6EC3-4EFA-ABA4-D2616AF53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46A800-DB74-4A9E-AD76-63BC5D8BB20C}"/>
            </a:ext>
            <a:ext uri="{147F2762-F138-4A5C-976F-8EAC2B608ADB}">
              <a16:predDERef xmlns:a16="http://schemas.microsoft.com/office/drawing/2014/main" xmlns="" pred="{5308759E-4423-4C4F-956F-38D1C1AC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93C43A8-85FC-4456-9852-CB77BA2A9BB6}"/>
            </a:ext>
            <a:ext uri="{147F2762-F138-4A5C-976F-8EAC2B608ADB}">
              <a16:predDERef xmlns:a16="http://schemas.microsoft.com/office/drawing/2014/main" xmlns="" pred="{3246A800-DB74-4A9E-AD76-63BC5D8BB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C439111-F52C-436D-812F-C424523F3E2E}"/>
            </a:ext>
            <a:ext uri="{147F2762-F138-4A5C-976F-8EAC2B608ADB}">
              <a16:predDERef xmlns:a16="http://schemas.microsoft.com/office/drawing/2014/main" xmlns="" pred="{B63E34DA-19DD-4124-B996-5034448DC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1D9A6D4-3489-4D56-8A84-47D8F1759795}"/>
            </a:ext>
            <a:ext uri="{147F2762-F138-4A5C-976F-8EAC2B608ADB}">
              <a16:predDERef xmlns:a16="http://schemas.microsoft.com/office/drawing/2014/main" xmlns="" pred="{7C439111-F52C-436D-812F-C424523F3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489374-5D35-4E9C-821A-55CB695329CE}"/>
            </a:ext>
            <a:ext uri="{147F2762-F138-4A5C-976F-8EAC2B608ADB}">
              <a16:predDERef xmlns:a16="http://schemas.microsoft.com/office/drawing/2014/main" xmlns="" pred="{251D4C89-67CD-4D4C-AFF2-D57315C26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02D2FA1-B02C-481C-BE56-46C709F3288E}"/>
            </a:ext>
            <a:ext uri="{147F2762-F138-4A5C-976F-8EAC2B608ADB}">
              <a16:predDERef xmlns:a16="http://schemas.microsoft.com/office/drawing/2014/main" xmlns="" pred="{B8489374-5D35-4E9C-821A-55CB695329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AB6561B-8860-4D25-988F-09726D07DB3B}"/>
            </a:ext>
            <a:ext uri="{147F2762-F138-4A5C-976F-8EAC2B608ADB}">
              <a16:predDERef xmlns:a16="http://schemas.microsoft.com/office/drawing/2014/main" xmlns="" pred="{CF934366-82BE-478C-9EC2-28E5724FD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C5BBBA5-131E-4162-B8CB-7BE2944B3AEC}"/>
            </a:ext>
            <a:ext uri="{147F2762-F138-4A5C-976F-8EAC2B608ADB}">
              <a16:predDERef xmlns:a16="http://schemas.microsoft.com/office/drawing/2014/main" xmlns="" pred="{7AB6561B-8860-4D25-988F-09726D07D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F57DE4-4A4F-41B6-8694-E47AA890809D}"/>
            </a:ext>
            <a:ext uri="{147F2762-F138-4A5C-976F-8EAC2B608ADB}">
              <a16:predDERef xmlns:a16="http://schemas.microsoft.com/office/drawing/2014/main" xmlns="" pred="{27DDA368-222D-44F4-9BB1-555F3F7D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FCE472-6C20-4946-A0F9-740A5CEF6EFC}"/>
            </a:ext>
            <a:ext uri="{147F2762-F138-4A5C-976F-8EAC2B608ADB}">
              <a16:predDERef xmlns:a16="http://schemas.microsoft.com/office/drawing/2014/main" xmlns="" pred="{22F57DE4-4A4F-41B6-8694-E47AA8908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C636096C-EEC9-4405-964D-C23282B421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8AFC9DB-2146-4499-B1FD-5257DEEFBE29}"/>
            </a:ext>
            <a:ext uri="{147F2762-F138-4A5C-976F-8EAC2B608ADB}">
              <a16:predDERef xmlns:a16="http://schemas.microsoft.com/office/drawing/2014/main" xmlns="" pred="{E63953C5-FDD2-46DC-A5F1-9E3F545CD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B634DAD-46D7-47EF-A394-117080B9F465}"/>
            </a:ext>
            <a:ext uri="{147F2762-F138-4A5C-976F-8EAC2B608ADB}">
              <a16:predDERef xmlns:a16="http://schemas.microsoft.com/office/drawing/2014/main" xmlns="" pred="{78AFC9DB-2146-4499-B1FD-5257DEEFB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0FDA0C-0561-43D8-8CD3-098E696FAC31}"/>
            </a:ext>
            <a:ext uri="{147F2762-F138-4A5C-976F-8EAC2B608ADB}">
              <a16:predDERef xmlns:a16="http://schemas.microsoft.com/office/drawing/2014/main" xmlns="" pred="{1D248039-8F49-4214-8ED3-7AC751D37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453DF9F-CDD5-421E-A881-C9DAD01E3CF1}"/>
            </a:ext>
            <a:ext uri="{147F2762-F138-4A5C-976F-8EAC2B608ADB}">
              <a16:predDERef xmlns:a16="http://schemas.microsoft.com/office/drawing/2014/main" xmlns="" pred="{930FDA0C-0561-43D8-8CD3-098E696FAC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9E79F61-0B39-48CE-A8CA-F792D6C772B6}"/>
            </a:ext>
            <a:ext uri="{147F2762-F138-4A5C-976F-8EAC2B608ADB}">
              <a16:predDERef xmlns:a16="http://schemas.microsoft.com/office/drawing/2014/main" xmlns="" pred="{29B6F1AB-F45F-45CF-A06E-F6B120313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6E1629D-26A1-4AAB-B48B-E412A74C2A28}"/>
            </a:ext>
            <a:ext uri="{147F2762-F138-4A5C-976F-8EAC2B608ADB}">
              <a16:predDERef xmlns:a16="http://schemas.microsoft.com/office/drawing/2014/main" xmlns="" pred="{69E79F61-0B39-48CE-A8CA-F792D6C77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65A3151-F483-4AD5-8254-A00BE6E67508}"/>
            </a:ext>
            <a:ext uri="{147F2762-F138-4A5C-976F-8EAC2B608ADB}">
              <a16:predDERef xmlns:a16="http://schemas.microsoft.com/office/drawing/2014/main" xmlns="" pred="{621D480F-42F1-4E86-8327-8C06F222B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6E3DED4-09B3-4EFC-867E-AB9F5C17262E}"/>
            </a:ext>
            <a:ext uri="{147F2762-F138-4A5C-976F-8EAC2B608ADB}">
              <a16:predDERef xmlns:a16="http://schemas.microsoft.com/office/drawing/2014/main" xmlns="" pred="{D65A3151-F483-4AD5-8254-A00BE6E67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574363-9E72-4659-B290-38A2B207522E}"/>
            </a:ext>
            <a:ext uri="{147F2762-F138-4A5C-976F-8EAC2B608ADB}">
              <a16:predDERef xmlns:a16="http://schemas.microsoft.com/office/drawing/2014/main" xmlns="" pred="{6B4192DA-FE1F-4BFD-A4AB-87E8AAE9C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5D435B5-4DC2-4CAA-995C-88DAED646FFE}"/>
            </a:ext>
            <a:ext uri="{147F2762-F138-4A5C-976F-8EAC2B608ADB}">
              <a16:predDERef xmlns:a16="http://schemas.microsoft.com/office/drawing/2014/main" xmlns="" pred="{3C574363-9E72-4659-B290-38A2B2075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571586-8F7A-4C1B-81E3-A2E9360D2FEB}"/>
            </a:ext>
            <a:ext uri="{147F2762-F138-4A5C-976F-8EAC2B608ADB}">
              <a16:predDERef xmlns:a16="http://schemas.microsoft.com/office/drawing/2014/main" xmlns="" pred="{E61B6493-C8CA-4CBC-AFC4-B2EC595B85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4A82917-2329-4772-BD4D-62D2EF82C438}"/>
            </a:ext>
            <a:ext uri="{147F2762-F138-4A5C-976F-8EAC2B608ADB}">
              <a16:predDERef xmlns:a16="http://schemas.microsoft.com/office/drawing/2014/main" xmlns="" pred="{75571586-8F7A-4C1B-81E3-A2E9360D2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C6E1390-C49E-4861-BF4B-E9A76E66717D}"/>
            </a:ext>
            <a:ext uri="{147F2762-F138-4A5C-976F-8EAC2B608ADB}">
              <a16:predDERef xmlns:a16="http://schemas.microsoft.com/office/drawing/2014/main" xmlns="" pred="{16E3A1B7-4E23-48A1-9A08-5E8252364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926ED-EF94-487E-AF26-39354C42122E}"/>
            </a:ext>
            <a:ext uri="{147F2762-F138-4A5C-976F-8EAC2B608ADB}">
              <a16:predDERef xmlns:a16="http://schemas.microsoft.com/office/drawing/2014/main" xmlns="" pred="{0C6E1390-C49E-4861-BF4B-E9A76E667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04F9ACA-B3BF-4D23-A10C-C700E72AD98D}"/>
            </a:ext>
            <a:ext uri="{147F2762-F138-4A5C-976F-8EAC2B608ADB}">
              <a16:predDERef xmlns:a16="http://schemas.microsoft.com/office/drawing/2014/main" xmlns="" pred="{B95C8B1F-AD70-4932-8BF5-E396CA70ED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F047E4C-5B43-4E1D-82EE-33A0D220D4B7}"/>
            </a:ext>
            <a:ext uri="{147F2762-F138-4A5C-976F-8EAC2B608ADB}">
              <a16:predDERef xmlns:a16="http://schemas.microsoft.com/office/drawing/2014/main" xmlns="" pred="{304F9ACA-B3BF-4D23-A10C-C700E72AD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5722A7-1846-458D-A1CE-90019F866A9E}"/>
            </a:ext>
            <a:ext uri="{147F2762-F138-4A5C-976F-8EAC2B608ADB}">
              <a16:predDERef xmlns:a16="http://schemas.microsoft.com/office/drawing/2014/main" xmlns="" pred="{62598E30-58FF-4D2F-8E28-0020DC495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BABCEA-C94A-43E8-9A85-A6B738BAEFAF}"/>
            </a:ext>
            <a:ext uri="{147F2762-F138-4A5C-976F-8EAC2B608ADB}">
              <a16:predDERef xmlns:a16="http://schemas.microsoft.com/office/drawing/2014/main" xmlns="" pred="{535722A7-1846-458D-A1CE-90019F866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041BC0D-8998-44EE-9CD2-120263D0B5AC}"/>
            </a:ext>
            <a:ext uri="{147F2762-F138-4A5C-976F-8EAC2B608ADB}">
              <a16:predDERef xmlns:a16="http://schemas.microsoft.com/office/drawing/2014/main" xmlns="" pred="{ED4C9FD9-52D6-4E63-9DAC-CE0F9A9B8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704EDF-8B84-4CB0-BC86-489B9660D6CF}"/>
            </a:ext>
            <a:ext uri="{147F2762-F138-4A5C-976F-8EAC2B608ADB}">
              <a16:predDERef xmlns:a16="http://schemas.microsoft.com/office/drawing/2014/main" xmlns="" pred="{7041BC0D-8998-44EE-9CD2-120263D0B5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FC8669-7616-4A60-9C47-825BEF1C6CBC}"/>
            </a:ext>
            <a:ext uri="{147F2762-F138-4A5C-976F-8EAC2B608ADB}">
              <a16:predDERef xmlns:a16="http://schemas.microsoft.com/office/drawing/2014/main" xmlns="" pred="{3184487F-975C-4235-B1DD-2AB49121F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1A9F66B-13A7-43FA-A703-4C4A8750FDD2}"/>
            </a:ext>
            <a:ext uri="{147F2762-F138-4A5C-976F-8EAC2B608ADB}">
              <a16:predDERef xmlns:a16="http://schemas.microsoft.com/office/drawing/2014/main" xmlns="" pred="{82FC8669-7616-4A60-9C47-825BEF1C6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03E3CBB-9AA9-47EF-B7A7-86451D182040}"/>
            </a:ext>
            <a:ext uri="{147F2762-F138-4A5C-976F-8EAC2B608ADB}">
              <a16:predDERef xmlns:a16="http://schemas.microsoft.com/office/drawing/2014/main" xmlns="" pred="{6E947DF8-065C-41B1-8E00-E9005772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5C165E6-AA89-4FCD-ADE5-5D0ABC108EF7}"/>
            </a:ext>
            <a:ext uri="{147F2762-F138-4A5C-976F-8EAC2B608ADB}">
              <a16:predDERef xmlns:a16="http://schemas.microsoft.com/office/drawing/2014/main" xmlns="" pred="{503E3CBB-9AA9-47EF-B7A7-86451D18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DBFB4F1-1448-4B7D-AFD8-CF742D2A8494}"/>
            </a:ext>
            <a:ext uri="{147F2762-F138-4A5C-976F-8EAC2B608ADB}">
              <a16:predDERef xmlns:a16="http://schemas.microsoft.com/office/drawing/2014/main" xmlns="" pred="{8968BF80-1664-445F-AD20-D798BDB76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5BC9E3F-C528-48EC-ACD3-92A4888A4352}"/>
            </a:ext>
            <a:ext uri="{147F2762-F138-4A5C-976F-8EAC2B608ADB}">
              <a16:predDERef xmlns:a16="http://schemas.microsoft.com/office/drawing/2014/main" xmlns="" pred="{0DBFB4F1-1448-4B7D-AFD8-CF742D2A8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09B5513-D633-481C-9EC3-29D6B6309CA0}"/>
            </a:ext>
            <a:ext uri="{147F2762-F138-4A5C-976F-8EAC2B608ADB}">
              <a16:predDERef xmlns:a16="http://schemas.microsoft.com/office/drawing/2014/main" xmlns="" pred="{AA862274-921B-4560-BD8F-C551DCF59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15294-8E9C-465D-B68F-AA3B1258428F}"/>
            </a:ext>
            <a:ext uri="{147F2762-F138-4A5C-976F-8EAC2B608ADB}">
              <a16:predDERef xmlns:a16="http://schemas.microsoft.com/office/drawing/2014/main" xmlns="" pred="{409B5513-D633-481C-9EC3-29D6B6309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26DCA7B-F683-4D2F-9FA4-F22B75A1CB5B}"/>
            </a:ext>
            <a:ext uri="{147F2762-F138-4A5C-976F-8EAC2B608ADB}">
              <a16:predDERef xmlns:a16="http://schemas.microsoft.com/office/drawing/2014/main" xmlns="" pred="{A38CC05C-9542-4FC5-A4C8-F58E26BBE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8457F8-8A0A-4AC4-9A16-0A1D095C429C}"/>
            </a:ext>
            <a:ext uri="{147F2762-F138-4A5C-976F-8EAC2B608ADB}">
              <a16:predDERef xmlns:a16="http://schemas.microsoft.com/office/drawing/2014/main" xmlns="" pred="{426DCA7B-F683-4D2F-9FA4-F22B75A1C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E9B341B-73AD-4CCC-870B-2723B6CD233E}"/>
            </a:ext>
            <a:ext uri="{147F2762-F138-4A5C-976F-8EAC2B608ADB}">
              <a16:predDERef xmlns:a16="http://schemas.microsoft.com/office/drawing/2014/main" xmlns="" pred="{DDF2E6F0-16D8-4213-AD88-66F549E82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2EC4825-2B6F-4FA4-8E1F-5F1E91CA05E8}"/>
            </a:ext>
            <a:ext uri="{147F2762-F138-4A5C-976F-8EAC2B608ADB}">
              <a16:predDERef xmlns:a16="http://schemas.microsoft.com/office/drawing/2014/main" xmlns="" pred="{5E9B341B-73AD-4CCC-870B-2723B6CD2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C12832C-110E-47EA-8EDB-CD8B8B269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311D2FC-D0CC-4D8E-AED9-FE277EC2B9AD}"/>
            </a:ext>
            <a:ext uri="{147F2762-F138-4A5C-976F-8EAC2B608ADB}">
              <a16:predDERef xmlns:a16="http://schemas.microsoft.com/office/drawing/2014/main" xmlns="" pred="{80DE8B72-9164-48E0-8815-E20EA9989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3B0576B-92F1-4217-9A66-D261E740B9D1}"/>
            </a:ext>
            <a:ext uri="{147F2762-F138-4A5C-976F-8EAC2B608ADB}">
              <a16:predDERef xmlns:a16="http://schemas.microsoft.com/office/drawing/2014/main" xmlns="" pred="{2311D2FC-D0CC-4D8E-AED9-FE277EC2B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0C30C2A-16A1-4227-8252-2DA8F652165D}"/>
            </a:ext>
            <a:ext uri="{147F2762-F138-4A5C-976F-8EAC2B608ADB}">
              <a16:predDERef xmlns:a16="http://schemas.microsoft.com/office/drawing/2014/main" xmlns="" pred="{46749A8E-30A3-4538-992E-CE01900D3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20DC494-8577-4B2B-BE8C-3F6543B0A7A0}"/>
            </a:ext>
            <a:ext uri="{147F2762-F138-4A5C-976F-8EAC2B608ADB}">
              <a16:predDERef xmlns:a16="http://schemas.microsoft.com/office/drawing/2014/main" xmlns="" pred="{C0C30C2A-16A1-4227-8252-2DA8F6521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AB7DF31-B8C7-4237-8158-99EBCC8AA847}"/>
            </a:ext>
            <a:ext uri="{147F2762-F138-4A5C-976F-8EAC2B608ADB}">
              <a16:predDERef xmlns:a16="http://schemas.microsoft.com/office/drawing/2014/main" xmlns="" pred="{F713C39E-1314-44DA-9BAE-157184DE4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CA0BA85-37ED-4F4D-B1E8-8640D5702D3B}"/>
            </a:ext>
            <a:ext uri="{147F2762-F138-4A5C-976F-8EAC2B608ADB}">
              <a16:predDERef xmlns:a16="http://schemas.microsoft.com/office/drawing/2014/main" xmlns="" pred="{8AB7DF31-B8C7-4237-8158-99EBCC8AA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3D2234C-769F-4739-A289-813312415B73}"/>
            </a:ext>
            <a:ext uri="{147F2762-F138-4A5C-976F-8EAC2B608ADB}">
              <a16:predDERef xmlns:a16="http://schemas.microsoft.com/office/drawing/2014/main" xmlns="" pred="{062E9732-E923-4F0F-AE38-DE1DA1CC9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83C76-09B8-437A-BE02-314BB3B43F5F}"/>
            </a:ext>
            <a:ext uri="{147F2762-F138-4A5C-976F-8EAC2B608ADB}">
              <a16:predDERef xmlns:a16="http://schemas.microsoft.com/office/drawing/2014/main" xmlns="" pred="{03D2234C-769F-4739-A289-813312415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C825247-EF7F-43FF-B675-E8F19A6DC9ED}"/>
            </a:ext>
            <a:ext uri="{147F2762-F138-4A5C-976F-8EAC2B608ADB}">
              <a16:predDERef xmlns:a16="http://schemas.microsoft.com/office/drawing/2014/main" xmlns="" pred="{FB1C5ECE-EB3C-4E80-B3B0-44FC67F7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3754B3B-F272-49BF-9A59-FAE245B76C79}"/>
            </a:ext>
            <a:ext uri="{147F2762-F138-4A5C-976F-8EAC2B608ADB}">
              <a16:predDERef xmlns:a16="http://schemas.microsoft.com/office/drawing/2014/main" xmlns="" pred="{2C825247-EF7F-43FF-B675-E8F19A6DC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E1A3-64F1-4DDA-8A33-80BB42E9D295}"/>
            </a:ext>
            <a:ext uri="{147F2762-F138-4A5C-976F-8EAC2B608ADB}">
              <a16:predDERef xmlns:a16="http://schemas.microsoft.com/office/drawing/2014/main" xmlns="" pred="{06D718DC-0D5E-47FC-A475-33A294E7DC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C9CFA50-6ACC-42C2-B690-E145AE0437F0}"/>
            </a:ext>
            <a:ext uri="{147F2762-F138-4A5C-976F-8EAC2B608ADB}">
              <a16:predDERef xmlns:a16="http://schemas.microsoft.com/office/drawing/2014/main" xmlns="" pred="{9EA5E1A3-64F1-4DDA-8A33-80BB42E9D2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1AEC422-3C2B-4B8B-9208-F17E66738D18}"/>
            </a:ext>
            <a:ext uri="{147F2762-F138-4A5C-976F-8EAC2B608ADB}">
              <a16:predDERef xmlns:a16="http://schemas.microsoft.com/office/drawing/2014/main" xmlns="" pred="{8BDF4685-C24B-4810-A90E-C31960CDB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2C980FD-3B45-4EE7-A8A0-3BA7C7929915}"/>
            </a:ext>
            <a:ext uri="{147F2762-F138-4A5C-976F-8EAC2B608ADB}">
              <a16:predDERef xmlns:a16="http://schemas.microsoft.com/office/drawing/2014/main" xmlns="" pred="{11AEC422-3C2B-4B8B-9208-F17E6673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6000F23-E1B1-4872-8708-1846FA9A507C}"/>
            </a:ext>
            <a:ext uri="{147F2762-F138-4A5C-976F-8EAC2B608ADB}">
              <a16:predDERef xmlns:a16="http://schemas.microsoft.com/office/drawing/2014/main" xmlns="" pred="{29AE6E84-63CD-47E7-AA02-F0AEBA10F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73B3DC-1CD5-4BD9-86CF-FBEDEF5808EE}"/>
            </a:ext>
            <a:ext uri="{147F2762-F138-4A5C-976F-8EAC2B608ADB}">
              <a16:predDERef xmlns:a16="http://schemas.microsoft.com/office/drawing/2014/main" xmlns="" pred="{A6000F23-E1B1-4872-8708-1846FA9A5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E170E85-6A66-4DD4-9D2D-6ACCD63B024E}"/>
            </a:ext>
            <a:ext uri="{147F2762-F138-4A5C-976F-8EAC2B608ADB}">
              <a16:predDERef xmlns:a16="http://schemas.microsoft.com/office/drawing/2014/main" xmlns="" pred="{98D02E3E-EF27-4DDC-83D7-A8C13E7EC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0238A15-A122-4062-8DAD-099DE41A4D81}"/>
            </a:ext>
            <a:ext uri="{147F2762-F138-4A5C-976F-8EAC2B608ADB}">
              <a16:predDERef xmlns:a16="http://schemas.microsoft.com/office/drawing/2014/main" xmlns="" pred="{AE170E85-6A66-4DD4-9D2D-6ACCD63B0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F210709-1624-41C9-B937-5A35F5C6ECCF}"/>
            </a:ext>
            <a:ext uri="{147F2762-F138-4A5C-976F-8EAC2B608ADB}">
              <a16:predDERef xmlns:a16="http://schemas.microsoft.com/office/drawing/2014/main" xmlns="" pred="{A08A3375-CB87-4300-AAFB-3CA008DEB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9DADD2-70DD-48AF-8115-1130A8A630BC}"/>
            </a:ext>
            <a:ext uri="{147F2762-F138-4A5C-976F-8EAC2B608ADB}">
              <a16:predDERef xmlns:a16="http://schemas.microsoft.com/office/drawing/2014/main" xmlns="" pred="{1F210709-1624-41C9-B937-5A35F5C6E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63A54E9-FB07-488F-A748-06CE8EF51415}"/>
            </a:ext>
            <a:ext uri="{147F2762-F138-4A5C-976F-8EAC2B608ADB}">
              <a16:predDERef xmlns:a16="http://schemas.microsoft.com/office/drawing/2014/main" xmlns="" pred="{AC111B37-DF6D-443D-B5AB-0DEF027B3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D6CE0A5-E247-4462-9FBB-C3AA2651F66B}"/>
            </a:ext>
            <a:ext uri="{147F2762-F138-4A5C-976F-8EAC2B608ADB}">
              <a16:predDERef xmlns:a16="http://schemas.microsoft.com/office/drawing/2014/main" xmlns="" pred="{263A54E9-FB07-488F-A748-06CE8EF51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369CA68-9510-4D0D-A544-17B2ED912DFC}"/>
            </a:ext>
            <a:ext uri="{147F2762-F138-4A5C-976F-8EAC2B608ADB}">
              <a16:predDERef xmlns:a16="http://schemas.microsoft.com/office/drawing/2014/main" xmlns="" pred="{41AF8CA1-A960-4524-B0E8-11D1C02D2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BCB16FB-8461-4912-8AF3-960B5A4419C3}"/>
            </a:ext>
            <a:ext uri="{147F2762-F138-4A5C-976F-8EAC2B608ADB}">
              <a16:predDERef xmlns:a16="http://schemas.microsoft.com/office/drawing/2014/main" xmlns="" pred="{5369CA68-9510-4D0D-A544-17B2ED912D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F70805-32C2-435E-8956-FC7C973FF7EB}"/>
            </a:ext>
            <a:ext uri="{147F2762-F138-4A5C-976F-8EAC2B608ADB}">
              <a16:predDERef xmlns:a16="http://schemas.microsoft.com/office/drawing/2014/main" xmlns="" pred="{CE72B7C4-20A4-4C2F-B0A1-0316EB704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C17CAFA-4FD0-42D8-8C89-ED258F21E857}"/>
            </a:ext>
            <a:ext uri="{147F2762-F138-4A5C-976F-8EAC2B608ADB}">
              <a16:predDERef xmlns:a16="http://schemas.microsoft.com/office/drawing/2014/main" xmlns="" pred="{2EF70805-32C2-435E-8956-FC7C973FF7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C3CF7640-3538-473E-A295-E41B56693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FA7305B-5221-4D8A-8354-5CC27E11185E}"/>
            </a:ext>
            <a:ext uri="{147F2762-F138-4A5C-976F-8EAC2B608ADB}">
              <a16:predDERef xmlns:a16="http://schemas.microsoft.com/office/drawing/2014/main" xmlns="" pred="{8F9317A7-8615-4D4D-876C-F426E5215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DE2789-4E78-42EA-BC7D-0116B19CE062}"/>
            </a:ext>
            <a:ext uri="{147F2762-F138-4A5C-976F-8EAC2B608ADB}">
              <a16:predDERef xmlns:a16="http://schemas.microsoft.com/office/drawing/2014/main" xmlns="" pred="{AFA7305B-5221-4D8A-8354-5CC27E111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581025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2835CA70-E279-479C-955D-E80750B82B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2DA2B6-82B9-40A6-A0A7-753D0852BC67}"/>
            </a:ext>
            <a:ext uri="{147F2762-F138-4A5C-976F-8EAC2B608ADB}">
              <a16:predDERef xmlns:a16="http://schemas.microsoft.com/office/drawing/2014/main" xmlns="" pred="{6385FCB0-01B0-46B9-984E-840D3AACF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A65B9-BF7B-42A3-9F02-09210C910EBC}"/>
            </a:ext>
            <a:ext uri="{147F2762-F138-4A5C-976F-8EAC2B608ADB}">
              <a16:predDERef xmlns:a16="http://schemas.microsoft.com/office/drawing/2014/main" xmlns="" pred="{752DA2B6-82B9-40A6-A0A7-753D0852B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55B21-891E-4BA8-A26A-67F196E9E819}"/>
            </a:ext>
            <a:ext uri="{147F2762-F138-4A5C-976F-8EAC2B608ADB}">
              <a16:predDERef xmlns:a16="http://schemas.microsoft.com/office/drawing/2014/main" xmlns="" pred="{9EB9CFE8-9C5D-4719-9E52-CF1F52CCD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5A58CE6-807A-4589-B6E3-75AB7204B57A}"/>
            </a:ext>
            <a:ext uri="{147F2762-F138-4A5C-976F-8EAC2B608ADB}">
              <a16:predDERef xmlns:a16="http://schemas.microsoft.com/office/drawing/2014/main" xmlns="" pred="{97A55B21-891E-4BA8-A26A-67F196E9E8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7B3E71-2164-4F01-B101-99A04B56B8B9}"/>
            </a:ext>
            <a:ext uri="{147F2762-F138-4A5C-976F-8EAC2B608ADB}">
              <a16:predDERef xmlns:a16="http://schemas.microsoft.com/office/drawing/2014/main" xmlns="" pred="{784905C4-3561-4492-AF6A-3F16E5D9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5BCC8AA-77C2-416E-A647-FE916A43D1BF}"/>
            </a:ext>
            <a:ext uri="{147F2762-F138-4A5C-976F-8EAC2B608ADB}">
              <a16:predDERef xmlns:a16="http://schemas.microsoft.com/office/drawing/2014/main" xmlns="" pred="{757B3E71-2164-4F01-B101-99A04B56B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DD62538-ABFD-487A-B659-02C776711733}"/>
            </a:ext>
            <a:ext uri="{147F2762-F138-4A5C-976F-8EAC2B608ADB}">
              <a16:predDERef xmlns:a16="http://schemas.microsoft.com/office/drawing/2014/main" xmlns="" pred="{A059BD13-9D61-44E0-AEF4-22A63B3A2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9787E38-B134-4037-86A2-B90E9AADFA64}"/>
            </a:ext>
            <a:ext uri="{147F2762-F138-4A5C-976F-8EAC2B608ADB}">
              <a16:predDERef xmlns:a16="http://schemas.microsoft.com/office/drawing/2014/main" xmlns="" pred="{6DD62538-ABFD-487A-B659-02C776711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17</xdr:col>
      <xdr:colOff>600075</xdr:colOff>
      <xdr:row>11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A4344EE3-0FA1-4C18-A5DB-49FA51CE4B7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8D36F90-92D6-4317-84EF-71738F1D93E5}"/>
            </a:ext>
            <a:ext uri="{147F2762-F138-4A5C-976F-8EAC2B608ADB}">
              <a16:predDERef xmlns:a16="http://schemas.microsoft.com/office/drawing/2014/main" xmlns="" pred="{1AEF971A-F2FA-45A6-A046-0E4A8DAA7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1E777DD-BE8D-45F3-AB1F-8DC963898486}"/>
            </a:ext>
            <a:ext uri="{147F2762-F138-4A5C-976F-8EAC2B608ADB}">
              <a16:predDERef xmlns:a16="http://schemas.microsoft.com/office/drawing/2014/main" xmlns="" pred="{28D36F90-92D6-4317-84EF-71738F1D9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1C86530-D76C-4D8F-A107-DD3FDF9C3A0F}"/>
            </a:ext>
            <a:ext uri="{147F2762-F138-4A5C-976F-8EAC2B608ADB}">
              <a16:predDERef xmlns:a16="http://schemas.microsoft.com/office/drawing/2014/main" xmlns="" pred="{E699CD41-1572-4F60-A6BD-CC56CDD95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913F476-9DDA-469F-AF38-CB24993658C5}"/>
            </a:ext>
            <a:ext uri="{147F2762-F138-4A5C-976F-8EAC2B608ADB}">
              <a16:predDERef xmlns:a16="http://schemas.microsoft.com/office/drawing/2014/main" xmlns="" pred="{C1C86530-D76C-4D8F-A107-DD3FDF9C3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BC92856-A6FC-4791-A5C7-11AC149340E3}"/>
            </a:ext>
            <a:ext uri="{147F2762-F138-4A5C-976F-8EAC2B608ADB}">
              <a16:predDERef xmlns:a16="http://schemas.microsoft.com/office/drawing/2014/main" xmlns="" pred="{58251A0C-63AC-4662-AFEF-C2ADF5CA3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A1DD2B3-324D-474D-9A8F-78E0F6A594F6}"/>
            </a:ext>
            <a:ext uri="{147F2762-F138-4A5C-976F-8EAC2B608ADB}">
              <a16:predDERef xmlns:a16="http://schemas.microsoft.com/office/drawing/2014/main" xmlns="" pred="{5BC92856-A6FC-4791-A5C7-11AC14934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50AF377-1C97-40A0-8DDC-3E8EA7C27379}"/>
            </a:ext>
            <a:ext uri="{147F2762-F138-4A5C-976F-8EAC2B608ADB}">
              <a16:predDERef xmlns:a16="http://schemas.microsoft.com/office/drawing/2014/main" xmlns="" pred="{C6973798-939F-47F3-986D-5EBAE21D4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7F68CB-0AA7-4E92-9B0C-46915F4584C7}"/>
            </a:ext>
            <a:ext uri="{147F2762-F138-4A5C-976F-8EAC2B608ADB}">
              <a16:predDERef xmlns:a16="http://schemas.microsoft.com/office/drawing/2014/main" xmlns="" pred="{350AF377-1C97-40A0-8DDC-3E8EA7C27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59C5C3F-089C-4305-8C90-E84D5E51ABD5}"/>
            </a:ext>
            <a:ext uri="{147F2762-F138-4A5C-976F-8EAC2B608ADB}">
              <a16:predDERef xmlns:a16="http://schemas.microsoft.com/office/drawing/2014/main" xmlns="" pred="{66266D2D-B43B-4790-BF1A-18D88D91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6FD4A37-E276-4077-94BD-64A48F002DFE}"/>
            </a:ext>
            <a:ext uri="{147F2762-F138-4A5C-976F-8EAC2B608ADB}">
              <a16:predDERef xmlns:a16="http://schemas.microsoft.com/office/drawing/2014/main" xmlns="" pred="{759C5C3F-089C-4305-8C90-E84D5E51AB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2E45318-99EA-4055-B558-34391042B872}"/>
            </a:ext>
            <a:ext uri="{147F2762-F138-4A5C-976F-8EAC2B608ADB}">
              <a16:predDERef xmlns:a16="http://schemas.microsoft.com/office/drawing/2014/main" xmlns="" pred="{D9DBA9F5-D307-40F3-AC80-75D25243F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9AD9FD8-386D-4794-90AA-6E44A1B5E5B1}"/>
            </a:ext>
            <a:ext uri="{147F2762-F138-4A5C-976F-8EAC2B608ADB}">
              <a16:predDERef xmlns:a16="http://schemas.microsoft.com/office/drawing/2014/main" xmlns="" pred="{32E45318-99EA-4055-B558-34391042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E63008C-6C80-47CD-A2E5-70963AC0B156}"/>
            </a:ext>
            <a:ext uri="{147F2762-F138-4A5C-976F-8EAC2B608ADB}">
              <a16:predDERef xmlns:a16="http://schemas.microsoft.com/office/drawing/2014/main" xmlns="" pred="{1B380D56-7A43-46ED-9550-7D3A82409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FD3DABA-617F-4415-9E50-BA1C36FEA063}"/>
            </a:ext>
            <a:ext uri="{147F2762-F138-4A5C-976F-8EAC2B608ADB}">
              <a16:predDERef xmlns:a16="http://schemas.microsoft.com/office/drawing/2014/main" xmlns="" pred="{FE63008C-6C80-47CD-A2E5-70963AC0B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DAF2D6B-AF6D-48CE-ACF2-897BCEB0C720}"/>
            </a:ext>
            <a:ext uri="{147F2762-F138-4A5C-976F-8EAC2B608ADB}">
              <a16:predDERef xmlns:a16="http://schemas.microsoft.com/office/drawing/2014/main" xmlns="" pred="{59EBBE42-B2F0-4DC1-ADFA-E3789BB8F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71E8E4D-4E25-451D-B759-E5C3ED22ED5F}"/>
            </a:ext>
            <a:ext uri="{147F2762-F138-4A5C-976F-8EAC2B608ADB}">
              <a16:predDERef xmlns:a16="http://schemas.microsoft.com/office/drawing/2014/main" xmlns="" pred="{BDAF2D6B-AF6D-48CE-ACF2-897BCEB0C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D61348B-EBFA-428D-9297-BBE017127004}"/>
            </a:ext>
            <a:ext uri="{147F2762-F138-4A5C-976F-8EAC2B608ADB}">
              <a16:predDERef xmlns:a16="http://schemas.microsoft.com/office/drawing/2014/main" xmlns="" pred="{6048CDD8-E75E-4B7A-B6C6-011EE059D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22C215-3DEB-4A11-BA8B-75DD72B75493}"/>
            </a:ext>
            <a:ext uri="{147F2762-F138-4A5C-976F-8EAC2B608ADB}">
              <a16:predDERef xmlns:a16="http://schemas.microsoft.com/office/drawing/2014/main" xmlns="" pred="{1D61348B-EBFA-428D-9297-BBE017127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1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18C122D3-28C4-4A30-9130-600CE54832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2C6801F-1554-4890-9522-69FF9138D3F2}"/>
            </a:ext>
            <a:ext uri="{147F2762-F138-4A5C-976F-8EAC2B608ADB}">
              <a16:predDERef xmlns:a16="http://schemas.microsoft.com/office/drawing/2014/main" xmlns="" pred="{F59ABEDE-F5D6-4621-815B-646A3CA8E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4DEFA53-A87F-4ED6-87A7-2B5EFC52AC57}"/>
            </a:ext>
            <a:ext uri="{147F2762-F138-4A5C-976F-8EAC2B608ADB}">
              <a16:predDERef xmlns:a16="http://schemas.microsoft.com/office/drawing/2014/main" xmlns="" pred="{12C6801F-1554-4890-9522-69FF9138D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3D23AB-D1A1-4DDC-B501-724918E0A342}"/>
            </a:ext>
            <a:ext uri="{147F2762-F138-4A5C-976F-8EAC2B608ADB}">
              <a16:predDERef xmlns:a16="http://schemas.microsoft.com/office/drawing/2014/main" xmlns="" pred="{4B1C39D1-BE50-4A67-85E5-03B170A69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7C0AE11-05E2-443A-BA38-3F8E5BB85ACE}"/>
            </a:ext>
            <a:ext uri="{147F2762-F138-4A5C-976F-8EAC2B608ADB}">
              <a16:predDERef xmlns:a16="http://schemas.microsoft.com/office/drawing/2014/main" xmlns="" pred="{0F3D23AB-D1A1-4DDC-B501-724918E0A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0432AE-9E88-4DDC-B043-9CCB5C62516D}"/>
            </a:ext>
            <a:ext uri="{147F2762-F138-4A5C-976F-8EAC2B608ADB}">
              <a16:predDERef xmlns:a16="http://schemas.microsoft.com/office/drawing/2014/main" xmlns="" pred="{CCF08D3A-65A9-46B5-B71D-93D6E7DD3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BB0E3C5-E939-46A6-B4E7-593D2982E315}"/>
            </a:ext>
            <a:ext uri="{147F2762-F138-4A5C-976F-8EAC2B608ADB}">
              <a16:predDERef xmlns:a16="http://schemas.microsoft.com/office/drawing/2014/main" xmlns="" pred="{2B0432AE-9E88-4DDC-B043-9CCB5C62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6608440-D7A0-4106-B72B-3C95B46C9F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E3905DD1-849E-440D-BD7F-BDC52CCC1E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701F67C-8D61-418A-A4F9-57061D1E1A9D}"/>
            </a:ext>
            <a:ext uri="{147F2762-F138-4A5C-976F-8EAC2B608ADB}">
              <a16:predDERef xmlns:a16="http://schemas.microsoft.com/office/drawing/2014/main" xmlns="" pred="{826D0BF7-2489-4CF2-981F-12F8A9993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B213D9-B75D-4350-A550-8137800DC8EA}"/>
            </a:ext>
            <a:ext uri="{147F2762-F138-4A5C-976F-8EAC2B608ADB}">
              <a16:predDERef xmlns:a16="http://schemas.microsoft.com/office/drawing/2014/main" xmlns="" pred="{1701F67C-8D61-418A-A4F9-57061D1E1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FBCE367-2E03-4F9D-A9E8-3907B4ACB80A}"/>
            </a:ext>
            <a:ext uri="{147F2762-F138-4A5C-976F-8EAC2B608ADB}">
              <a16:predDERef xmlns:a16="http://schemas.microsoft.com/office/drawing/2014/main" xmlns="" pred="{9C141DBF-CF72-4301-BFDE-C8E2A34E8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6D5CE6A-3C73-4C3F-A498-2F3A3201A9CF}"/>
            </a:ext>
            <a:ext uri="{147F2762-F138-4A5C-976F-8EAC2B608ADB}">
              <a16:predDERef xmlns:a16="http://schemas.microsoft.com/office/drawing/2014/main" xmlns="" pred="{9FBCE367-2E03-4F9D-A9E8-3907B4ACB8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9880A39-A314-4FBE-A08E-4FDB5336D2EE}"/>
            </a:ext>
            <a:ext uri="{147F2762-F138-4A5C-976F-8EAC2B608ADB}">
              <a16:predDERef xmlns:a16="http://schemas.microsoft.com/office/drawing/2014/main" xmlns="" pred="{97B95E0C-79A7-4319-BD58-920550BC9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9728366-F1AF-4A77-A600-52B3D0F2F779}"/>
            </a:ext>
            <a:ext uri="{147F2762-F138-4A5C-976F-8EAC2B608ADB}">
              <a16:predDERef xmlns:a16="http://schemas.microsoft.com/office/drawing/2014/main" xmlns="" pred="{09880A39-A314-4FBE-A08E-4FDB5336D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9C6BFB2-4669-450C-902D-FE1A8908B2D6}"/>
            </a:ext>
            <a:ext uri="{147F2762-F138-4A5C-976F-8EAC2B608ADB}">
              <a16:predDERef xmlns:a16="http://schemas.microsoft.com/office/drawing/2014/main" xmlns="" pred="{B8139EE5-BDEC-4C37-AE5A-CC7EC25D4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E75FD2E-B580-4F26-AF18-DE9046C7D1E9}"/>
            </a:ext>
            <a:ext uri="{147F2762-F138-4A5C-976F-8EAC2B608ADB}">
              <a16:predDERef xmlns:a16="http://schemas.microsoft.com/office/drawing/2014/main" xmlns="" pred="{49C6BFB2-4669-450C-902D-FE1A8908B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8B967F0-61DB-423F-AFF1-593D41CA4458}"/>
            </a:ext>
            <a:ext uri="{147F2762-F138-4A5C-976F-8EAC2B608ADB}">
              <a16:predDERef xmlns:a16="http://schemas.microsoft.com/office/drawing/2014/main" xmlns="" pred="{9200F6A9-602C-4301-8D6B-97947C95F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D60E76B-A63B-4485-A2BA-CF0656E0C757}"/>
            </a:ext>
            <a:ext uri="{147F2762-F138-4A5C-976F-8EAC2B608ADB}">
              <a16:predDERef xmlns:a16="http://schemas.microsoft.com/office/drawing/2014/main" xmlns="" pred="{68B967F0-61DB-423F-AFF1-593D41CA4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AAACCC9-80B8-4611-BC80-92BF00132FA1}"/>
            </a:ext>
            <a:ext uri="{147F2762-F138-4A5C-976F-8EAC2B608ADB}">
              <a16:predDERef xmlns:a16="http://schemas.microsoft.com/office/drawing/2014/main" xmlns="" pred="{C1AF7926-D630-4890-B754-C3C385DC5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9D069FA-2162-459A-9736-3C20D42DF465}"/>
            </a:ext>
            <a:ext uri="{147F2762-F138-4A5C-976F-8EAC2B608ADB}">
              <a16:predDERef xmlns:a16="http://schemas.microsoft.com/office/drawing/2014/main" xmlns="" pred="{6AAACCC9-80B8-4611-BC80-92BF00132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E08FF-A5BD-4487-8AD0-7986A7F0A0F3}"/>
            </a:ext>
            <a:ext uri="{147F2762-F138-4A5C-976F-8EAC2B608ADB}">
              <a16:predDERef xmlns:a16="http://schemas.microsoft.com/office/drawing/2014/main" xmlns="" pred="{B18A8CC4-A6E4-41C7-8ECF-7AEACDD2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C73113D0-40E3-44A2-BCC7-7CBB72BC32E9}"/>
            </a:ext>
            <a:ext uri="{147F2762-F138-4A5C-976F-8EAC2B608ADB}">
              <a16:predDERef xmlns:a16="http://schemas.microsoft.com/office/drawing/2014/main" xmlns="" pred="{3DBE08FF-A5BD-4487-8AD0-7986A7F0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40106D0-95A1-4304-BF78-FE8315FA885B}"/>
            </a:ext>
            <a:ext uri="{147F2762-F138-4A5C-976F-8EAC2B608ADB}">
              <a16:predDERef xmlns:a16="http://schemas.microsoft.com/office/drawing/2014/main" xmlns="" pred="{20A952EA-3BA4-4BF2-9FA5-1A474147B9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5110C7F-7C79-4CAE-B219-C3864ED3F06A}"/>
            </a:ext>
            <a:ext uri="{147F2762-F138-4A5C-976F-8EAC2B608ADB}">
              <a16:predDERef xmlns:a16="http://schemas.microsoft.com/office/drawing/2014/main" xmlns="" pred="{A40106D0-95A1-4304-BF78-FE8315FA8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B6AC23-12F4-4AB0-8F8A-60084883726C}"/>
            </a:ext>
            <a:ext uri="{147F2762-F138-4A5C-976F-8EAC2B608ADB}">
              <a16:predDERef xmlns:a16="http://schemas.microsoft.com/office/drawing/2014/main" xmlns="" pred="{A24E9CFA-F2D7-4154-B5D4-E3C3D45CB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D1FC24D-F6AF-49CC-8C96-72E54051741F}"/>
            </a:ext>
            <a:ext uri="{147F2762-F138-4A5C-976F-8EAC2B608ADB}">
              <a16:predDERef xmlns:a16="http://schemas.microsoft.com/office/drawing/2014/main" xmlns="" pred="{3DB6AC23-12F4-4AB0-8F8A-6008488372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F88CC546-CAC1-4644-AA89-1C7F2105BE04}"/>
            </a:ext>
            <a:ext uri="{147F2762-F138-4A5C-976F-8EAC2B608ADB}">
              <a16:predDERef xmlns:a16="http://schemas.microsoft.com/office/drawing/2014/main" xmlns="" pred="{1C0C49B2-029D-4734-A0F6-A6F466366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0628DC6-752E-4FAF-9087-A1202AC02EA8}"/>
            </a:ext>
            <a:ext uri="{147F2762-F138-4A5C-976F-8EAC2B608ADB}">
              <a16:predDERef xmlns:a16="http://schemas.microsoft.com/office/drawing/2014/main" xmlns="" pred="{F88CC546-CAC1-4644-AA89-1C7F2105B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838200</xdr:colOff>
      <xdr:row>15</xdr:row>
      <xdr:rowOff>180975</xdr:rowOff>
    </xdr:from>
    <xdr:to>
      <xdr:col>10</xdr:col>
      <xdr:colOff>342900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1B4CBDE-2172-4670-B98E-E35343110B4D}"/>
            </a:ext>
            <a:ext uri="{147F2762-F138-4A5C-976F-8EAC2B608ADB}">
              <a16:predDERef xmlns:a16="http://schemas.microsoft.com/office/drawing/2014/main" xmlns="" pred="{610767D0-3CCB-4CC6-B5AE-ACED85DD4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704850</xdr:colOff>
      <xdr:row>15</xdr:row>
      <xdr:rowOff>180975</xdr:rowOff>
    </xdr:from>
    <xdr:to>
      <xdr:col>15</xdr:col>
      <xdr:colOff>0</xdr:colOff>
      <xdr:row>28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47F18DEF-71D0-49D2-A72A-C52D42D09082}"/>
            </a:ext>
            <a:ext uri="{147F2762-F138-4A5C-976F-8EAC2B608ADB}">
              <a16:predDERef xmlns:a16="http://schemas.microsoft.com/office/drawing/2014/main" xmlns="" pred="{01B4CBDE-2172-4670-B98E-E35343110B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361950</xdr:colOff>
      <xdr:row>2</xdr:row>
      <xdr:rowOff>180975</xdr:rowOff>
    </xdr:from>
    <xdr:to>
      <xdr:col>16</xdr:col>
      <xdr:colOff>590550</xdr:colOff>
      <xdr:row>13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945CD7D9-7CBB-4058-981F-66633473E299}"/>
            </a:ext>
            <a:ext uri="{147F2762-F138-4A5C-976F-8EAC2B608ADB}">
              <a16:predDERef xmlns:a16="http://schemas.microsoft.com/office/drawing/2014/main" xmlns="" pred="{47F18DEF-71D0-49D2-A72A-C52D42D090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171450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90B17A2E-7A1A-41FA-892E-5CA42A51B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B60BAEEC-2B8E-47B0-8A56-8BD01A610F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6BC885C-6488-4DF1-A3B5-A96CC2B9FFC6}"/>
            </a:ext>
            <a:ext uri="{147F2762-F138-4A5C-976F-8EAC2B608ADB}">
              <a16:predDERef xmlns:a16="http://schemas.microsoft.com/office/drawing/2014/main" xmlns="" pred="{4CF01F9C-AD3E-4121-AEF9-8A88470896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29CF3D9-45D5-442E-925F-13D71673B06C}"/>
            </a:ext>
            <a:ext uri="{147F2762-F138-4A5C-976F-8EAC2B608ADB}">
              <a16:predDERef xmlns:a16="http://schemas.microsoft.com/office/drawing/2014/main" xmlns="" pred="{36BC885C-6488-4DF1-A3B5-A96CC2B9F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3C96A02-E061-4B0D-B24F-C6B580552C7C}"/>
            </a:ext>
            <a:ext uri="{147F2762-F138-4A5C-976F-8EAC2B608ADB}">
              <a16:predDERef xmlns:a16="http://schemas.microsoft.com/office/drawing/2014/main" xmlns="" pred="{05BF230C-84D2-43FB-8CEF-E59F6D84F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E21B638-354D-4472-AB7F-602058E45D99}"/>
            </a:ext>
            <a:ext uri="{147F2762-F138-4A5C-976F-8EAC2B608ADB}">
              <a16:predDERef xmlns:a16="http://schemas.microsoft.com/office/drawing/2014/main" xmlns="" pred="{83C96A02-E061-4B0D-B24F-C6B580552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5EFEB4E-06E9-4C77-B2F3-8224471A0F9A}"/>
            </a:ext>
            <a:ext uri="{147F2762-F138-4A5C-976F-8EAC2B608ADB}">
              <a16:predDERef xmlns:a16="http://schemas.microsoft.com/office/drawing/2014/main" xmlns="" pred="{70103B70-7A3B-401E-84C7-17D175614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EBE228-DF12-4CF3-AD66-F15CC03E7C52}"/>
            </a:ext>
            <a:ext uri="{147F2762-F138-4A5C-976F-8EAC2B608ADB}">
              <a16:predDERef xmlns:a16="http://schemas.microsoft.com/office/drawing/2014/main" xmlns="" pred="{05EFEB4E-06E9-4C77-B2F3-8224471A0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4DF89D4-A778-46C2-8E58-A46946988D3E}"/>
            </a:ext>
            <a:ext uri="{147F2762-F138-4A5C-976F-8EAC2B608ADB}">
              <a16:predDERef xmlns:a16="http://schemas.microsoft.com/office/drawing/2014/main" xmlns="" pred="{6A5F74DB-D85A-41C1-80A1-9EE46FCDB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106890C-B70B-4CEE-9E5A-49B5B2827D2A}"/>
            </a:ext>
            <a:ext uri="{147F2762-F138-4A5C-976F-8EAC2B608ADB}">
              <a16:predDERef xmlns:a16="http://schemas.microsoft.com/office/drawing/2014/main" xmlns="" pred="{04DF89D4-A778-46C2-8E58-A4694698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56BAABD-91DE-497C-80BF-DF5D9060490A}"/>
            </a:ext>
            <a:ext uri="{147F2762-F138-4A5C-976F-8EAC2B608ADB}">
              <a16:predDERef xmlns:a16="http://schemas.microsoft.com/office/drawing/2014/main" xmlns="" pred="{D4646751-3B95-4861-8FA3-55A32BC2DE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CD77C0-22B0-457B-A964-51318DBF78AA}"/>
            </a:ext>
            <a:ext uri="{147F2762-F138-4A5C-976F-8EAC2B608ADB}">
              <a16:predDERef xmlns:a16="http://schemas.microsoft.com/office/drawing/2014/main" xmlns="" pred="{B56BAABD-91DE-497C-80BF-DF5D90604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02A4AE-FCB7-4687-8D52-0F72D07CA393}"/>
            </a:ext>
            <a:ext uri="{147F2762-F138-4A5C-976F-8EAC2B608ADB}">
              <a16:predDERef xmlns:a16="http://schemas.microsoft.com/office/drawing/2014/main" xmlns="" pred="{34AE5DCD-9E53-42FF-BCA7-A3F7D0B45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41CACB7-EF44-453A-B5B6-E9B667255444}"/>
            </a:ext>
            <a:ext uri="{147F2762-F138-4A5C-976F-8EAC2B608ADB}">
              <a16:predDERef xmlns:a16="http://schemas.microsoft.com/office/drawing/2014/main" xmlns="" pred="{C402A4AE-FCB7-4687-8D52-0F72D07CA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C17ADE3-C830-4EE7-AC30-17BC0E3C2CC7}"/>
            </a:ext>
            <a:ext uri="{147F2762-F138-4A5C-976F-8EAC2B608ADB}">
              <a16:predDERef xmlns:a16="http://schemas.microsoft.com/office/drawing/2014/main" xmlns="" pred="{3F099A25-4EA7-4095-9FBC-DFF29153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D6EE127-4554-44CC-A2D3-1D0F02C701DE}"/>
            </a:ext>
            <a:ext uri="{147F2762-F138-4A5C-976F-8EAC2B608ADB}">
              <a16:predDERef xmlns:a16="http://schemas.microsoft.com/office/drawing/2014/main" xmlns="" pred="{8C17ADE3-C830-4EE7-AC30-17BC0E3C2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6BCA200-F163-4FAC-ABB6-F9E1882C2AF0}"/>
            </a:ext>
            <a:ext uri="{147F2762-F138-4A5C-976F-8EAC2B608ADB}">
              <a16:predDERef xmlns:a16="http://schemas.microsoft.com/office/drawing/2014/main" xmlns="" pred="{E409B756-8452-4D70-81A4-4259B81B0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50A8EE5-EEAC-484E-843C-CDE1AFD9C522}"/>
            </a:ext>
            <a:ext uri="{147F2762-F138-4A5C-976F-8EAC2B608ADB}">
              <a16:predDERef xmlns:a16="http://schemas.microsoft.com/office/drawing/2014/main" xmlns="" pred="{06BCA200-F163-4FAC-ABB6-F9E1882C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A1D4E49-F78B-4A04-BA5B-4DD4B7F72228}"/>
            </a:ext>
            <a:ext uri="{147F2762-F138-4A5C-976F-8EAC2B608ADB}">
              <a16:predDERef xmlns:a16="http://schemas.microsoft.com/office/drawing/2014/main" xmlns="" pred="{7BCA6004-B34D-4266-9BED-1F9CDDFB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05E02C4A-B743-44C4-BE8C-DABA5E260AA3}"/>
            </a:ext>
            <a:ext uri="{147F2762-F138-4A5C-976F-8EAC2B608ADB}">
              <a16:predDERef xmlns:a16="http://schemas.microsoft.com/office/drawing/2014/main" xmlns="" pred="{AA1D4E49-F78B-4A04-BA5B-4DD4B7F72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069969-4285-4B22-BD27-87309455EDAF}"/>
            </a:ext>
            <a:ext uri="{147F2762-F138-4A5C-976F-8EAC2B608ADB}">
              <a16:predDERef xmlns:a16="http://schemas.microsoft.com/office/drawing/2014/main" xmlns="" pred="{442C7B1F-5ADA-4B1B-A5BC-BCB425196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E348A90-6ED4-4BCB-A196-EA49DCD680C2}"/>
            </a:ext>
            <a:ext uri="{147F2762-F138-4A5C-976F-8EAC2B608ADB}">
              <a16:predDERef xmlns:a16="http://schemas.microsoft.com/office/drawing/2014/main" xmlns="" pred="{B8069969-4285-4B22-BD27-87309455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B0567D4-7B09-416C-BB32-C80F67EFF376}"/>
            </a:ext>
            <a:ext uri="{147F2762-F138-4A5C-976F-8EAC2B608ADB}">
              <a16:predDERef xmlns:a16="http://schemas.microsoft.com/office/drawing/2014/main" xmlns="" pred="{6CFAE5B1-429B-483F-9D15-3C42EF518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312983C-ADCA-4E1B-8C8E-AC8EB9CD68B8}"/>
            </a:ext>
            <a:ext uri="{147F2762-F138-4A5C-976F-8EAC2B608ADB}">
              <a16:predDERef xmlns:a16="http://schemas.microsoft.com/office/drawing/2014/main" xmlns="" pred="{1B0567D4-7B09-416C-BB32-C80F67EFF3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D3F23E4-B31E-40D0-BC29-2CBC7364533D}"/>
            </a:ext>
            <a:ext uri="{147F2762-F138-4A5C-976F-8EAC2B608ADB}">
              <a16:predDERef xmlns:a16="http://schemas.microsoft.com/office/drawing/2014/main" xmlns="" pred="{9A388528-083F-4473-A81D-5F13BB581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BA717CC4-F28A-48BC-AB9F-B5EDC175FDD7}"/>
            </a:ext>
            <a:ext uri="{147F2762-F138-4A5C-976F-8EAC2B608ADB}">
              <a16:predDERef xmlns:a16="http://schemas.microsoft.com/office/drawing/2014/main" xmlns="" pred="{3D3F23E4-B31E-40D0-BC29-2CBC7364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E59971F-7098-47B8-80BE-EF372945C642}"/>
            </a:ext>
            <a:ext uri="{147F2762-F138-4A5C-976F-8EAC2B608ADB}">
              <a16:predDERef xmlns:a16="http://schemas.microsoft.com/office/drawing/2014/main" xmlns="" pred="{7F914782-DF13-4EFC-884B-F70EC781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314679-59A0-42AF-80D2-A9A2C16CB852}"/>
            </a:ext>
            <a:ext uri="{147F2762-F138-4A5C-976F-8EAC2B608ADB}">
              <a16:predDERef xmlns:a16="http://schemas.microsoft.com/office/drawing/2014/main" xmlns="" pred="{2E59971F-7098-47B8-80BE-EF372945C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C4FAA786-4846-4EF1-A86A-D88395E03E5F}"/>
            </a:ext>
            <a:ext uri="{147F2762-F138-4A5C-976F-8EAC2B608ADB}">
              <a16:predDERef xmlns:a16="http://schemas.microsoft.com/office/drawing/2014/main" xmlns="" pred="{83CFD973-EEE1-4D4A-ABBC-DF1088942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B281B4D-3496-4232-ABCF-177FECF233BF}"/>
            </a:ext>
            <a:ext uri="{147F2762-F138-4A5C-976F-8EAC2B608ADB}">
              <a16:predDERef xmlns:a16="http://schemas.microsoft.com/office/drawing/2014/main" xmlns="" pred="{C4FAA786-4846-4EF1-A86A-D88395E03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53CB72A-57A8-4CC7-811C-5555667AE557}"/>
            </a:ext>
            <a:ext uri="{147F2762-F138-4A5C-976F-8EAC2B608ADB}">
              <a16:predDERef xmlns:a16="http://schemas.microsoft.com/office/drawing/2014/main" xmlns="" pred="{1723E832-059A-4EB0-B0B1-F0731099E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5C2A16F-3CE4-4684-81B8-A98222FBBF99}"/>
            </a:ext>
            <a:ext uri="{147F2762-F138-4A5C-976F-8EAC2B608ADB}">
              <a16:predDERef xmlns:a16="http://schemas.microsoft.com/office/drawing/2014/main" xmlns="" pred="{253CB72A-57A8-4CC7-811C-5555667AE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278E989-3223-4390-A700-9B10C43B6113}"/>
            </a:ext>
            <a:ext uri="{147F2762-F138-4A5C-976F-8EAC2B608ADB}">
              <a16:predDERef xmlns:a16="http://schemas.microsoft.com/office/drawing/2014/main" xmlns="" pred="{B19636EF-0759-441A-B2B9-AC2F7CCEB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E187386-7548-48C6-A6C6-DE5A8E0C5E2F}"/>
            </a:ext>
            <a:ext uri="{147F2762-F138-4A5C-976F-8EAC2B608ADB}">
              <a16:predDERef xmlns:a16="http://schemas.microsoft.com/office/drawing/2014/main" xmlns="" pred="{2278E989-3223-4390-A700-9B10C43B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389C7DF-7630-46DD-BB8A-50364775041A}"/>
            </a:ext>
            <a:ext uri="{147F2762-F138-4A5C-976F-8EAC2B608ADB}">
              <a16:predDERef xmlns:a16="http://schemas.microsoft.com/office/drawing/2014/main" xmlns="" pred="{18A2EDFB-BC42-4EE2-A9CE-6E49D1C1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7433DDC-3844-4ECF-9304-2731755051FE}"/>
            </a:ext>
            <a:ext uri="{147F2762-F138-4A5C-976F-8EAC2B608ADB}">
              <a16:predDERef xmlns:a16="http://schemas.microsoft.com/office/drawing/2014/main" xmlns="" pred="{D389C7DF-7630-46DD-BB8A-503647750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B774C1F-BFE6-45A9-9CB5-AA3E1E4CF180}"/>
            </a:ext>
            <a:ext uri="{147F2762-F138-4A5C-976F-8EAC2B608ADB}">
              <a16:predDERef xmlns:a16="http://schemas.microsoft.com/office/drawing/2014/main" xmlns="" pred="{81AB3EB6-88F0-4151-85B2-E6B66B917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DECFD9-DBB0-4492-9E2C-BA773E1E502D}"/>
            </a:ext>
            <a:ext uri="{147F2762-F138-4A5C-976F-8EAC2B608ADB}">
              <a16:predDERef xmlns:a16="http://schemas.microsoft.com/office/drawing/2014/main" xmlns="" pred="{2B774C1F-BFE6-45A9-9CB5-AA3E1E4CF1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C3372BC-648B-4A02-AF81-854B7A2BAF38}"/>
            </a:ext>
            <a:ext uri="{147F2762-F138-4A5C-976F-8EAC2B608ADB}">
              <a16:predDERef xmlns:a16="http://schemas.microsoft.com/office/drawing/2014/main" xmlns="" pred="{D3833084-EB27-49A4-8ACA-30FC91C93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42E6CA8-84BE-4C73-8D15-58A6165D50DF}"/>
            </a:ext>
            <a:ext uri="{147F2762-F138-4A5C-976F-8EAC2B608ADB}">
              <a16:predDERef xmlns:a16="http://schemas.microsoft.com/office/drawing/2014/main" xmlns="" pred="{BC3372BC-648B-4A02-AF81-854B7A2BA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367A69A-2B41-4A46-8172-4F081AEE5B3A}"/>
            </a:ext>
            <a:ext uri="{147F2762-F138-4A5C-976F-8EAC2B608ADB}">
              <a16:predDERef xmlns:a16="http://schemas.microsoft.com/office/drawing/2014/main" xmlns="" pred="{8822C02C-06ED-4107-9FEA-30135B823C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1E3346E7-AD98-4A48-8DBA-D228EA838CB9}"/>
            </a:ext>
            <a:ext uri="{147F2762-F138-4A5C-976F-8EAC2B608ADB}">
              <a16:predDERef xmlns:a16="http://schemas.microsoft.com/office/drawing/2014/main" xmlns="" pred="{B367A69A-2B41-4A46-8172-4F081AEE5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5F7E446C-7603-4BC2-896D-707D10AA3D7D}"/>
            </a:ext>
            <a:ext uri="{147F2762-F138-4A5C-976F-8EAC2B608ADB}">
              <a16:predDERef xmlns:a16="http://schemas.microsoft.com/office/drawing/2014/main" xmlns="" pred="{A550783E-90C5-4A2A-B467-343A02757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FCE66CD7-A330-494F-A353-DE7F17A833D0}"/>
            </a:ext>
            <a:ext uri="{147F2762-F138-4A5C-976F-8EAC2B608ADB}">
              <a16:predDERef xmlns:a16="http://schemas.microsoft.com/office/drawing/2014/main" xmlns="" pred="{5F7E446C-7603-4BC2-896D-707D10AA3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EA58864-B7CC-43F7-BC1E-9C723DBFE412}"/>
            </a:ext>
            <a:ext uri="{147F2762-F138-4A5C-976F-8EAC2B608ADB}">
              <a16:predDERef xmlns:a16="http://schemas.microsoft.com/office/drawing/2014/main" xmlns="" pred="{E5020869-011D-49CF-977F-938AF6BF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3BCD01C6-14BF-42BA-8ECF-C49606C30820}"/>
            </a:ext>
            <a:ext uri="{147F2762-F138-4A5C-976F-8EAC2B608ADB}">
              <a16:predDERef xmlns:a16="http://schemas.microsoft.com/office/drawing/2014/main" xmlns="" pred="{9EA58864-B7CC-43F7-BC1E-9C723DBFE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654DFA4-686A-47D2-8428-C8DDFF387952}"/>
            </a:ext>
            <a:ext uri="{147F2762-F138-4A5C-976F-8EAC2B608ADB}">
              <a16:predDERef xmlns:a16="http://schemas.microsoft.com/office/drawing/2014/main" xmlns="" pred="{E76EB356-2A9B-4385-9432-CC249A84C3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F383C90-5ABE-4B32-841F-66EB402A6F31}"/>
            </a:ext>
            <a:ext uri="{147F2762-F138-4A5C-976F-8EAC2B608ADB}">
              <a16:predDERef xmlns:a16="http://schemas.microsoft.com/office/drawing/2014/main" xmlns="" pred="{4654DFA4-686A-47D2-8428-C8DDFF387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DC6808CB-0B02-4C6A-B3FF-977DCA504F48}"/>
            </a:ext>
            <a:ext uri="{147F2762-F138-4A5C-976F-8EAC2B608ADB}">
              <a16:predDERef xmlns:a16="http://schemas.microsoft.com/office/drawing/2014/main" xmlns="" pred="{6D27A001-F186-409B-BE63-6F1B38395C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xmlns="" id="{8C43AEF2-357E-469B-A6E1-A04E9ABFEC8C}"/>
            </a:ext>
            <a:ext uri="{147F2762-F138-4A5C-976F-8EAC2B608ADB}">
              <a16:predDERef xmlns:a16="http://schemas.microsoft.com/office/drawing/2014/main" xmlns="" pred="{DC6808CB-0B02-4C6A-B3FF-977DCA504F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7ECD118-BC97-4F34-891B-8C4E9E7582B0}"/>
            </a:ext>
            <a:ext uri="{147F2762-F138-4A5C-976F-8EAC2B608ADB}">
              <a16:predDERef xmlns:a16="http://schemas.microsoft.com/office/drawing/2014/main" xmlns="" pred="{BABAF49C-3BFD-40DC-93F4-29C1A11D0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421668F-0DB3-4238-AA13-16CE63E8B5E0}"/>
            </a:ext>
            <a:ext uri="{147F2762-F138-4A5C-976F-8EAC2B608ADB}">
              <a16:predDERef xmlns:a16="http://schemas.microsoft.com/office/drawing/2014/main" xmlns="" pred="{87ECD118-BC97-4F34-891B-8C4E9E758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897F429-4A67-4D1C-9ECF-34B6CB9253A7}"/>
            </a:ext>
            <a:ext uri="{147F2762-F138-4A5C-976F-8EAC2B608ADB}">
              <a16:predDERef xmlns:a16="http://schemas.microsoft.com/office/drawing/2014/main" xmlns="" pred="{E1F02F43-F550-454E-AA48-2B49CB8DD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CE146D4-6572-4E65-8023-A43F80D6E24D}"/>
            </a:ext>
            <a:ext uri="{147F2762-F138-4A5C-976F-8EAC2B608ADB}">
              <a16:predDERef xmlns:a16="http://schemas.microsoft.com/office/drawing/2014/main" xmlns="" pred="{3897F429-4A67-4D1C-9ECF-34B6CB925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342201-0A0E-43EB-A140-BC9B61D2762F}"/>
            </a:ext>
            <a:ext uri="{147F2762-F138-4A5C-976F-8EAC2B608ADB}">
              <a16:predDERef xmlns:a16="http://schemas.microsoft.com/office/drawing/2014/main" xmlns="" pred="{09A40EEE-C2C1-45F9-89C5-2D5C1E905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A1E8636-9B90-4F3D-BE98-DB2B4689BDFD}"/>
            </a:ext>
            <a:ext uri="{147F2762-F138-4A5C-976F-8EAC2B608ADB}">
              <a16:predDERef xmlns:a16="http://schemas.microsoft.com/office/drawing/2014/main" xmlns="" pred="{82342201-0A0E-43EB-A140-BC9B61D27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18</xdr:col>
      <xdr:colOff>590550</xdr:colOff>
      <xdr:row>14</xdr:row>
      <xdr:rowOff>180975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8A19CB99-9B39-46D7-8E2D-EF05B1E6F0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600075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3E3B52AC-B020-4208-A7E0-C0991D43C0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590550</xdr:colOff>
      <xdr:row>2</xdr:row>
      <xdr:rowOff>180975</xdr:rowOff>
    </xdr:from>
    <xdr:to>
      <xdr:col>16</xdr:col>
      <xdr:colOff>600075</xdr:colOff>
      <xdr:row>11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xmlns="" id="{F24F5E78-EE49-417D-B031-E91F68EE1A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523875</xdr:colOff>
      <xdr:row>16</xdr:row>
      <xdr:rowOff>85725</xdr:rowOff>
    </xdr:from>
    <xdr:to>
      <xdr:col>9</xdr:col>
      <xdr:colOff>647700</xdr:colOff>
      <xdr:row>28</xdr:row>
      <xdr:rowOff>85725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0FF12FF-ACC6-45ED-BE09-42B3D311EC44}"/>
            </a:ext>
            <a:ext uri="{147F2762-F138-4A5C-976F-8EAC2B608ADB}">
              <a16:predDERef xmlns:a16="http://schemas.microsoft.com/office/drawing/2014/main" xmlns="" pred="{78D96E8C-A145-4F4C-9B5E-230F65F19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618187F-F979-4B33-8205-FCFD9424F01B}"/>
            </a:ext>
            <a:ext uri="{147F2762-F138-4A5C-976F-8EAC2B608ADB}">
              <a16:predDERef xmlns:a16="http://schemas.microsoft.com/office/drawing/2014/main" xmlns="" pred="{D0FF12FF-ACC6-45ED-BE09-42B3D311E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EB708D27-1C87-4E4B-B3E4-3192B3F9E39D}"/>
            </a:ext>
            <a:ext uri="{147F2762-F138-4A5C-976F-8EAC2B608ADB}">
              <a16:predDERef xmlns:a16="http://schemas.microsoft.com/office/drawing/2014/main" xmlns="" pred="{2CC90D32-E0E3-4806-8433-C805E53105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051067-EF81-478B-BD38-8D362F278CB8}"/>
            </a:ext>
            <a:ext uri="{147F2762-F138-4A5C-976F-8EAC2B608ADB}">
              <a16:predDERef xmlns:a16="http://schemas.microsoft.com/office/drawing/2014/main" xmlns="" pred="{EB708D27-1C87-4E4B-B3E4-3192B3F9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0252B0B-0EA0-4D3C-869D-484081625DE0}"/>
            </a:ext>
            <a:ext uri="{147F2762-F138-4A5C-976F-8EAC2B608ADB}">
              <a16:predDERef xmlns:a16="http://schemas.microsoft.com/office/drawing/2014/main" xmlns="" pred="{AB9F535C-AE5F-45F0-8A0E-82A18AF5A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F43D354-44C1-4281-87F8-79E758428E07}"/>
            </a:ext>
            <a:ext uri="{147F2762-F138-4A5C-976F-8EAC2B608ADB}">
              <a16:predDERef xmlns:a16="http://schemas.microsoft.com/office/drawing/2014/main" xmlns="" pred="{A0252B0B-0EA0-4D3C-869D-484081625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294739E8-8E69-4C65-8C55-F6D556C60B72}"/>
            </a:ext>
            <a:ext uri="{147F2762-F138-4A5C-976F-8EAC2B608ADB}">
              <a16:predDERef xmlns:a16="http://schemas.microsoft.com/office/drawing/2014/main" xmlns="" pred="{3CDC4DF6-D3A0-46A6-9B32-BA77BFAB5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D9C1B9F7-BFE8-4C4A-9B64-D58D9A16629F}"/>
            </a:ext>
            <a:ext uri="{147F2762-F138-4A5C-976F-8EAC2B608ADB}">
              <a16:predDERef xmlns:a16="http://schemas.microsoft.com/office/drawing/2014/main" xmlns="" pred="{294739E8-8E69-4C65-8C55-F6D556C60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D81F04A-3CCD-41D2-B92A-61987C2F70E3}"/>
            </a:ext>
            <a:ext uri="{147F2762-F138-4A5C-976F-8EAC2B608ADB}">
              <a16:predDERef xmlns:a16="http://schemas.microsoft.com/office/drawing/2014/main" xmlns="" pred="{9EFE4423-B748-4527-A481-CF0335D20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499BB67-71C2-4DBC-877E-9D3F0F3EFA5C}"/>
            </a:ext>
            <a:ext uri="{147F2762-F138-4A5C-976F-8EAC2B608ADB}">
              <a16:predDERef xmlns:a16="http://schemas.microsoft.com/office/drawing/2014/main" xmlns="" pred="{8D81F04A-3CCD-41D2-B92A-61987C2F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2759113-A522-4740-9C78-6B835753AF52}"/>
            </a:ext>
            <a:ext uri="{147F2762-F138-4A5C-976F-8EAC2B608ADB}">
              <a16:predDERef xmlns:a16="http://schemas.microsoft.com/office/drawing/2014/main" xmlns="" pred="{1CBD1EA4-0FDC-4DEF-8838-998B522A8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35A5F38-1533-4391-BE19-0A697771A7CC}"/>
            </a:ext>
            <a:ext uri="{147F2762-F138-4A5C-976F-8EAC2B608ADB}">
              <a16:predDERef xmlns:a16="http://schemas.microsoft.com/office/drawing/2014/main" xmlns="" pred="{82759113-A522-4740-9C78-6B835753A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7A83E2F-FC65-454D-B409-0F2C60595FF2}"/>
            </a:ext>
            <a:ext uri="{147F2762-F138-4A5C-976F-8EAC2B608ADB}">
              <a16:predDERef xmlns:a16="http://schemas.microsoft.com/office/drawing/2014/main" xmlns="" pred="{333AFB07-6CB3-4894-A211-D6BA877AD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A4110A5D-C530-4B34-B9C6-6C02DDF5E1C0}"/>
            </a:ext>
            <a:ext uri="{147F2762-F138-4A5C-976F-8EAC2B608ADB}">
              <a16:predDERef xmlns:a16="http://schemas.microsoft.com/office/drawing/2014/main" xmlns="" pred="{97A83E2F-FC65-454D-B409-0F2C60595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AB774B7A-AD93-4794-A927-3EFF6C8BE388}"/>
            </a:ext>
            <a:ext uri="{147F2762-F138-4A5C-976F-8EAC2B608ADB}">
              <a16:predDERef xmlns:a16="http://schemas.microsoft.com/office/drawing/2014/main" xmlns="" pred="{2EE6C1EA-7A0D-4982-9DEB-6ADFA6653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F7160F4-685B-4CCD-B529-4D0D5372BE60}"/>
            </a:ext>
            <a:ext uri="{147F2762-F138-4A5C-976F-8EAC2B608ADB}">
              <a16:predDERef xmlns:a16="http://schemas.microsoft.com/office/drawing/2014/main" xmlns="" pred="{AB774B7A-AD93-4794-A927-3EFF6C8BE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E35F3EA-39F5-4A2A-9897-D54BB4BD732E}"/>
            </a:ext>
            <a:ext uri="{147F2762-F138-4A5C-976F-8EAC2B608ADB}">
              <a16:predDERef xmlns:a16="http://schemas.microsoft.com/office/drawing/2014/main" xmlns="" pred="{608BE754-27C7-49A0-B86D-F154F54D3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C8FC2A2-411A-43AE-95E4-8DF63D490F48}"/>
            </a:ext>
            <a:ext uri="{147F2762-F138-4A5C-976F-8EAC2B608ADB}">
              <a16:predDERef xmlns:a16="http://schemas.microsoft.com/office/drawing/2014/main" xmlns="" pred="{7E35F3EA-39F5-4A2A-9897-D54BB4BD73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9316D390-9722-488A-9AAF-DF8521ECB0CA}"/>
            </a:ext>
            <a:ext uri="{147F2762-F138-4A5C-976F-8EAC2B608ADB}">
              <a16:predDERef xmlns:a16="http://schemas.microsoft.com/office/drawing/2014/main" xmlns="" pred="{4C1BE8F8-7B11-4A3A-88C7-97D5983E7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B7A95FC-953D-4FBF-A686-0CABD28C8E81}"/>
            </a:ext>
            <a:ext uri="{147F2762-F138-4A5C-976F-8EAC2B608ADB}">
              <a16:predDERef xmlns:a16="http://schemas.microsoft.com/office/drawing/2014/main" xmlns="" pred="{9316D390-9722-488A-9AAF-DF8521ECB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3CBA1606-B32D-4B0D-B459-E42C19BF5A22}"/>
            </a:ext>
            <a:ext uri="{147F2762-F138-4A5C-976F-8EAC2B608ADB}">
              <a16:predDERef xmlns:a16="http://schemas.microsoft.com/office/drawing/2014/main" xmlns="" pred="{B97C9A48-B20A-4886-AD73-E4286F747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81B858B-71A6-43FB-9AE2-716CC6F23D30}"/>
            </a:ext>
            <a:ext uri="{147F2762-F138-4A5C-976F-8EAC2B608ADB}">
              <a16:predDERef xmlns:a16="http://schemas.microsoft.com/office/drawing/2014/main" xmlns="" pred="{3CBA1606-B32D-4B0D-B459-E42C19BF5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F124654-E6CB-41E6-ABE1-E9665D675D28}"/>
            </a:ext>
            <a:ext uri="{147F2762-F138-4A5C-976F-8EAC2B608ADB}">
              <a16:predDERef xmlns:a16="http://schemas.microsoft.com/office/drawing/2014/main" xmlns="" pred="{C98F03EC-54E9-4F68-B642-0A25EAD4B4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8740070D-5658-4097-A7B4-0A86A77116FF}"/>
            </a:ext>
            <a:ext uri="{147F2762-F138-4A5C-976F-8EAC2B608ADB}">
              <a16:predDERef xmlns:a16="http://schemas.microsoft.com/office/drawing/2014/main" xmlns="" pred="{6F124654-E6CB-41E6-ABE1-E9665D675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79E91799-B7D4-4F93-B0A8-D93C8D809353}"/>
            </a:ext>
            <a:ext uri="{147F2762-F138-4A5C-976F-8EAC2B608ADB}">
              <a16:predDERef xmlns:a16="http://schemas.microsoft.com/office/drawing/2014/main" xmlns="" pred="{EC5A9DAE-E152-4B2C-90C3-C9D551816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EED7AE7D-A8DC-4C96-ABDC-0ED4BA737417}"/>
            </a:ext>
            <a:ext uri="{147F2762-F138-4A5C-976F-8EAC2B608ADB}">
              <a16:predDERef xmlns:a16="http://schemas.microsoft.com/office/drawing/2014/main" xmlns="" pred="{79E91799-B7D4-4F93-B0A8-D93C8D80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1A4E1319-C8D3-4E57-B78D-559F7D402A0C}"/>
            </a:ext>
            <a:ext uri="{147F2762-F138-4A5C-976F-8EAC2B608ADB}">
              <a16:predDERef xmlns:a16="http://schemas.microsoft.com/office/drawing/2014/main" xmlns="" pred="{20480693-86AA-41CA-BAE1-87FB355A02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89C940F-670E-4639-8114-CA69B7193819}"/>
            </a:ext>
            <a:ext uri="{147F2762-F138-4A5C-976F-8EAC2B608ADB}">
              <a16:predDERef xmlns:a16="http://schemas.microsoft.com/office/drawing/2014/main" xmlns="" pred="{1A4E1319-C8D3-4E57-B78D-559F7D402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6E6D1B6D-48F5-4D76-9048-C318662528D5}"/>
            </a:ext>
            <a:ext uri="{147F2762-F138-4A5C-976F-8EAC2B608ADB}">
              <a16:predDERef xmlns:a16="http://schemas.microsoft.com/office/drawing/2014/main" xmlns="" pred="{886B7673-2D5A-4163-8FBC-4CA93F6D36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70891912-1E51-4189-98F5-D49A634C5925}"/>
            </a:ext>
            <a:ext uri="{147F2762-F138-4A5C-976F-8EAC2B608ADB}">
              <a16:predDERef xmlns:a16="http://schemas.microsoft.com/office/drawing/2014/main" xmlns="" pred="{6E6D1B6D-48F5-4D76-9048-C31866252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9536C09-6C76-4A81-92E2-9A10D9A37306}"/>
            </a:ext>
            <a:ext uri="{147F2762-F138-4A5C-976F-8EAC2B608ADB}">
              <a16:predDERef xmlns:a16="http://schemas.microsoft.com/office/drawing/2014/main" xmlns="" pred="{04487262-0B01-428B-994F-3D32EF3B5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6FDDFE2-78D0-45FB-BCA1-CB6C0E9BBDD4}"/>
            </a:ext>
            <a:ext uri="{147F2762-F138-4A5C-976F-8EAC2B608ADB}">
              <a16:predDERef xmlns:a16="http://schemas.microsoft.com/office/drawing/2014/main" xmlns="" pred="{89536C09-6C76-4A81-92E2-9A10D9A37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8118A479-7B1A-4FAA-B390-1252CB695242}"/>
            </a:ext>
            <a:ext uri="{147F2762-F138-4A5C-976F-8EAC2B608ADB}">
              <a16:predDERef xmlns:a16="http://schemas.microsoft.com/office/drawing/2014/main" xmlns="" pred="{8448EA12-4E10-4009-8D27-3223240AF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85DABAA-37CE-4C4B-A443-626917F069C4}"/>
            </a:ext>
            <a:ext uri="{147F2762-F138-4A5C-976F-8EAC2B608ADB}">
              <a16:predDERef xmlns:a16="http://schemas.microsoft.com/office/drawing/2014/main" xmlns="" pred="{8118A479-7B1A-4FAA-B390-1252CB695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4B1CB095-4D21-4C21-A943-F549CB93BB19}"/>
            </a:ext>
            <a:ext uri="{147F2762-F138-4A5C-976F-8EAC2B608ADB}">
              <a16:predDERef xmlns:a16="http://schemas.microsoft.com/office/drawing/2014/main" xmlns="" pred="{74809D82-45EE-429A-9FF6-48E855F50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906C1240-C551-4803-B8BF-6C2469F78E5F}"/>
            </a:ext>
            <a:ext uri="{147F2762-F138-4A5C-976F-8EAC2B608ADB}">
              <a16:predDERef xmlns:a16="http://schemas.microsoft.com/office/drawing/2014/main" xmlns="" pred="{4B1CB095-4D21-4C21-A943-F549CB93B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0F13209A-1EF2-4A3F-94A7-131629EFF521}"/>
            </a:ext>
            <a:ext uri="{147F2762-F138-4A5C-976F-8EAC2B608ADB}">
              <a16:predDERef xmlns:a16="http://schemas.microsoft.com/office/drawing/2014/main" xmlns="" pred="{1EA4850C-4006-4043-A4E0-B63227ED99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48D7052D-BB5E-402C-8D09-99C75FAC149A}"/>
            </a:ext>
            <a:ext uri="{147F2762-F138-4A5C-976F-8EAC2B608ADB}">
              <a16:predDERef xmlns:a16="http://schemas.microsoft.com/office/drawing/2014/main" xmlns="" pred="{0F13209A-1EF2-4A3F-94A7-131629EF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A7E4B96-7A9B-4BDE-B375-952C2571225C}"/>
            </a:ext>
            <a:ext uri="{147F2762-F138-4A5C-976F-8EAC2B608ADB}">
              <a16:predDERef xmlns:a16="http://schemas.microsoft.com/office/drawing/2014/main" xmlns="" pred="{8FB604B3-39E7-4E54-A5AC-D9E76B4A7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20D88100-7071-49A5-BE9D-5CB04EDBFF6B}"/>
            </a:ext>
            <a:ext uri="{147F2762-F138-4A5C-976F-8EAC2B608ADB}">
              <a16:predDERef xmlns:a16="http://schemas.microsoft.com/office/drawing/2014/main" xmlns="" pred="{BA7E4B96-7A9B-4BDE-B375-952C257122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B8681002-779E-4241-87DC-4662A390F3CF}"/>
            </a:ext>
            <a:ext uri="{147F2762-F138-4A5C-976F-8EAC2B608ADB}">
              <a16:predDERef xmlns:a16="http://schemas.microsoft.com/office/drawing/2014/main" xmlns="" pred="{39C524D0-6064-41EA-AB4A-8666248C9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52F6CEA7-E70D-492F-9AA7-8C9916B44357}"/>
            </a:ext>
            <a:ext uri="{147F2762-F138-4A5C-976F-8EAC2B608ADB}">
              <a16:predDERef xmlns:a16="http://schemas.microsoft.com/office/drawing/2014/main" xmlns="" pred="{B8681002-779E-4241-87DC-4662A390F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371475</xdr:colOff>
      <xdr:row>2</xdr:row>
      <xdr:rowOff>180975</xdr:rowOff>
    </xdr:from>
    <xdr:to>
      <xdr:col>16</xdr:col>
      <xdr:colOff>600075</xdr:colOff>
      <xdr:row>14</xdr:row>
      <xdr:rowOff>180975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xmlns="" i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838200</xdr:colOff>
      <xdr:row>15</xdr:row>
      <xdr:rowOff>180975</xdr:rowOff>
    </xdr:from>
    <xdr:to>
      <xdr:col>10</xdr:col>
      <xdr:colOff>247650</xdr:colOff>
      <xdr:row>27</xdr:row>
      <xdr:rowOff>180975</xdr:rowOff>
    </xdr:to>
    <xdr:graphicFrame macro="">
      <xdr:nvGraphicFramePr>
        <xdr:cNvPr id="3" name="Gráfico 3">
          <a:extLst>
            <a:ext uri="{FF2B5EF4-FFF2-40B4-BE49-F238E27FC236}">
              <a16:creationId xmlns:a16="http://schemas.microsoft.com/office/drawing/2014/main" xmlns="" id="{D137CD19-8F0D-4265-B5C7-CD6769F9534B}"/>
            </a:ext>
            <a:ext uri="{147F2762-F138-4A5C-976F-8EAC2B608ADB}">
              <a16:predDERef xmlns:a16="http://schemas.microsoft.com/office/drawing/2014/main" xmlns="" pred="{FEE2FE1C-CAF4-4DC6-B584-8C5E9F8B6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542925</xdr:colOff>
      <xdr:row>15</xdr:row>
      <xdr:rowOff>180975</xdr:rowOff>
    </xdr:from>
    <xdr:to>
      <xdr:col>14</xdr:col>
      <xdr:colOff>704850</xdr:colOff>
      <xdr:row>27</xdr:row>
      <xdr:rowOff>180975</xdr:rowOff>
    </xdr:to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xmlns="" id="{60240745-4761-4D72-BF61-D6D3F93C9FEC}"/>
            </a:ext>
            <a:ext uri="{147F2762-F138-4A5C-976F-8EAC2B608ADB}">
              <a16:predDERef xmlns:a16="http://schemas.microsoft.com/office/drawing/2014/main" xmlns="" pred="{D137CD19-8F0D-4265-B5C7-CD6769F95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1" name="Resp4" displayName="Resp4" ref="A1:EH1437" totalsRowShown="0" headerRowDxfId="148" dataDxfId="147">
  <autoFilter ref="A1:EH1437"/>
  <sortState ref="A2:EH1437">
    <sortCondition ref="B1:B1437"/>
  </sortState>
  <tableColumns count="138">
    <tableColumn id="2" name="Vínculo" dataDxfId="146"/>
    <tableColumn id="5" name="Setor" dataDxfId="145"/>
    <tableColumn id="6" name="4.01" dataDxfId="144"/>
    <tableColumn id="7" name="4.02" dataDxfId="143"/>
    <tableColumn id="8" name="4.03" dataDxfId="142"/>
    <tableColumn id="9" name="4.04" dataDxfId="141"/>
    <tableColumn id="10" name="4.05" dataDxfId="140"/>
    <tableColumn id="11" name="4.06" dataDxfId="139"/>
    <tableColumn id="12" name="4.07" dataDxfId="138"/>
    <tableColumn id="13" name="4.08" dataDxfId="137"/>
    <tableColumn id="14" name="4.09" dataDxfId="136"/>
    <tableColumn id="15" name="4.10" dataDxfId="135"/>
    <tableColumn id="16" name="4.11" dataDxfId="134"/>
    <tableColumn id="17" name="4.12" dataDxfId="133"/>
    <tableColumn id="18" name="4.13" dataDxfId="132"/>
    <tableColumn id="19" name="4.14" dataDxfId="131"/>
    <tableColumn id="20" name="4.15" dataDxfId="130"/>
    <tableColumn id="21" name="4.16" dataDxfId="129"/>
    <tableColumn id="22" name="4.17" dataDxfId="128"/>
    <tableColumn id="23" name="4.18" dataDxfId="127"/>
    <tableColumn id="24" name="4.19" dataDxfId="126"/>
    <tableColumn id="25" name="4.20" dataDxfId="125"/>
    <tableColumn id="26" name="4.21" dataDxfId="124"/>
    <tableColumn id="27" name="4.22" dataDxfId="123"/>
    <tableColumn id="28" name="4.23" dataDxfId="122"/>
    <tableColumn id="29" name="4.24" dataDxfId="121"/>
    <tableColumn id="30" name="4.25" dataDxfId="120"/>
    <tableColumn id="31" name="4.26" dataDxfId="119"/>
    <tableColumn id="32" name="4.27" dataDxfId="118"/>
    <tableColumn id="33" name="4.28" dataDxfId="117"/>
    <tableColumn id="34" name="4.29" dataDxfId="116"/>
    <tableColumn id="35" name="4.30" dataDxfId="115"/>
    <tableColumn id="36" name="4.31" dataDxfId="114"/>
    <tableColumn id="37" name="4.32" dataDxfId="113"/>
    <tableColumn id="38" name="4.33" dataDxfId="112"/>
    <tableColumn id="39" name="4.34" dataDxfId="111"/>
    <tableColumn id="40" name="4.35" dataDxfId="110"/>
    <tableColumn id="41" name="4.36" dataDxfId="109"/>
    <tableColumn id="42" name="4.37" dataDxfId="108"/>
    <tableColumn id="43" name="4.38" dataDxfId="107"/>
    <tableColumn id="44" name="4.39" dataDxfId="106"/>
    <tableColumn id="45" name="4.40" dataDxfId="105"/>
    <tableColumn id="46" name="4.41" dataDxfId="104"/>
    <tableColumn id="47" name="4.42" dataDxfId="103"/>
    <tableColumn id="48" name="4.43" dataDxfId="102"/>
    <tableColumn id="49" name="4.44" dataDxfId="101"/>
    <tableColumn id="50" name="4.45" dataDxfId="100"/>
    <tableColumn id="51" name="4.46" dataDxfId="99"/>
    <tableColumn id="52" name="4.47" dataDxfId="98"/>
    <tableColumn id="53" name="4.48" dataDxfId="97"/>
    <tableColumn id="54" name="4.49" dataDxfId="96"/>
    <tableColumn id="55" name="4.50" dataDxfId="95"/>
    <tableColumn id="56" name="4.51" dataDxfId="94"/>
    <tableColumn id="57" name="4.52" dataDxfId="93"/>
    <tableColumn id="58" name="4.53" dataDxfId="92"/>
    <tableColumn id="59" name="4.54" dataDxfId="91"/>
    <tableColumn id="60" name="4.55" dataDxfId="90"/>
    <tableColumn id="61" name="4.56" dataDxfId="89"/>
    <tableColumn id="62" name="4.57" dataDxfId="88"/>
    <tableColumn id="63" name="4.58" dataDxfId="87"/>
    <tableColumn id="64" name="4.59" dataDxfId="86"/>
    <tableColumn id="65" name="4.60" dataDxfId="85"/>
    <tableColumn id="66" name="4.61" dataDxfId="84"/>
    <tableColumn id="67" name="4.62" dataDxfId="83"/>
    <tableColumn id="68" name="4.63" dataDxfId="82"/>
    <tableColumn id="69" name="4.64" dataDxfId="81"/>
    <tableColumn id="70" name="4.65" dataDxfId="80"/>
    <tableColumn id="71" name="4.66" dataDxfId="79"/>
    <tableColumn id="72" name="4.67" dataDxfId="78"/>
    <tableColumn id="73" name="4.68" dataDxfId="77"/>
    <tableColumn id="74" name="4.69" dataDxfId="76"/>
    <tableColumn id="75" name="4.70" dataDxfId="75"/>
    <tableColumn id="76" name="4.71" dataDxfId="74"/>
    <tableColumn id="77" name="4.72" dataDxfId="73"/>
    <tableColumn id="78" name="4.73" dataDxfId="72"/>
    <tableColumn id="79" name="4.74" dataDxfId="71"/>
    <tableColumn id="80" name="4.75" dataDxfId="70"/>
    <tableColumn id="81" name="4.76" dataDxfId="69"/>
    <tableColumn id="82" name="4.77" dataDxfId="68"/>
    <tableColumn id="83" name="4.78" dataDxfId="67"/>
    <tableColumn id="84" name="4.79" dataDxfId="66"/>
    <tableColumn id="85" name="4.80" dataDxfId="65"/>
    <tableColumn id="86" name="4.81" dataDxfId="64"/>
    <tableColumn id="87" name="4.82" dataDxfId="63"/>
    <tableColumn id="88" name="4.83" dataDxfId="62"/>
    <tableColumn id="89" name="4.84" dataDxfId="61"/>
    <tableColumn id="90" name="4.85" dataDxfId="60"/>
    <tableColumn id="91" name="4.86" dataDxfId="59"/>
    <tableColumn id="92" name="4.87" dataDxfId="58"/>
    <tableColumn id="93" name="4.88" dataDxfId="57"/>
    <tableColumn id="94" name="4.89" dataDxfId="56"/>
    <tableColumn id="95" name="4.90" dataDxfId="55"/>
    <tableColumn id="96" name="4.91" dataDxfId="54"/>
    <tableColumn id="97" name="4.92" dataDxfId="53"/>
    <tableColumn id="98" name="4.93" dataDxfId="52"/>
    <tableColumn id="99" name="4.94" dataDxfId="51"/>
    <tableColumn id="100" name="4.95" dataDxfId="50"/>
    <tableColumn id="101" name="4.96" dataDxfId="49"/>
    <tableColumn id="102" name="4.97" dataDxfId="48"/>
    <tableColumn id="103" name="4.98" dataDxfId="47"/>
    <tableColumn id="104" name="4.99" dataDxfId="46"/>
    <tableColumn id="105" name="4.100" dataDxfId="45"/>
    <tableColumn id="106" name="4.101" dataDxfId="44"/>
    <tableColumn id="107" name="4.102" dataDxfId="43"/>
    <tableColumn id="108" name="4.103" dataDxfId="42"/>
    <tableColumn id="109" name="4.104" dataDxfId="41"/>
    <tableColumn id="110" name="4.105" dataDxfId="40"/>
    <tableColumn id="111" name="4.106" dataDxfId="39"/>
    <tableColumn id="112" name="4.107" dataDxfId="38"/>
    <tableColumn id="113" name="4.108" dataDxfId="37"/>
    <tableColumn id="114" name="4.109" dataDxfId="36"/>
    <tableColumn id="115" name="4.110" dataDxfId="35"/>
    <tableColumn id="116" name="4.111" dataDxfId="34"/>
    <tableColumn id="117" name="4.112" dataDxfId="33"/>
    <tableColumn id="118" name="4.113" dataDxfId="32"/>
    <tableColumn id="119" name="4.114" dataDxfId="31"/>
    <tableColumn id="120" name="4.115" dataDxfId="30"/>
    <tableColumn id="121" name="4.116" dataDxfId="29"/>
    <tableColumn id="122" name="4.117" dataDxfId="28"/>
    <tableColumn id="123" name="4.118" dataDxfId="27"/>
    <tableColumn id="124" name="4.119" dataDxfId="26"/>
    <tableColumn id="125" name="4.120" dataDxfId="25"/>
    <tableColumn id="126" name="4.121" dataDxfId="24"/>
    <tableColumn id="127" name="4.122" dataDxfId="23"/>
    <tableColumn id="128" name="4.123" dataDxfId="22"/>
    <tableColumn id="129" name="4.124" dataDxfId="21"/>
    <tableColumn id="130" name="4.125" dataDxfId="20"/>
    <tableColumn id="131" name="4.126" dataDxfId="19"/>
    <tableColumn id="132" name="4.127" dataDxfId="18"/>
    <tableColumn id="133" name="4.128" dataDxfId="17"/>
    <tableColumn id="134" name="4.129" dataDxfId="16"/>
    <tableColumn id="135" name="4.130" dataDxfId="15"/>
    <tableColumn id="136" name="4.131" dataDxfId="14"/>
    <tableColumn id="137" name="4.132" dataDxfId="13"/>
    <tableColumn id="138" name="4.133" dataDxfId="12"/>
    <tableColumn id="139" name="4.134" dataDxfId="11"/>
    <tableColumn id="140" name="4.135" dataDxfId="10"/>
    <tableColumn id="141" name="4.136" dataDxfId="9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id="2" name="Eixo4" displayName="Eixo4" ref="A1:E138" totalsRowShown="0" headerRowDxfId="8" dataDxfId="6" headerRowBorderDxfId="7" tableBorderDxfId="5">
  <autoFilter ref="A1:E138"/>
  <tableColumns count="5">
    <tableColumn id="1" name="Número_Questão" dataDxfId="4"/>
    <tableColumn id="2" name="Tipo_Questão" dataDxfId="3"/>
    <tableColumn id="3" name="Título_Questão" dataDxfId="2"/>
    <tableColumn id="4" name="TítuloGráfico" dataDxfId="1"/>
    <tableColumn id="5" name="Observaçõ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CPA">
      <a:dk1>
        <a:sysClr val="windowText" lastClr="000000"/>
      </a:dk1>
      <a:lt1>
        <a:srgbClr val="FFFFFF"/>
      </a:lt1>
      <a:dk2>
        <a:srgbClr val="FFFFFF"/>
      </a:dk2>
      <a:lt2>
        <a:srgbClr val="FFFFFF"/>
      </a:lt2>
      <a:accent1>
        <a:srgbClr val="FF0000"/>
      </a:accent1>
      <a:accent2>
        <a:srgbClr val="FFC000"/>
      </a:accent2>
      <a:accent3>
        <a:srgbClr val="5B9BD5"/>
      </a:accent3>
      <a:accent4>
        <a:srgbClr val="70AD47"/>
      </a:accent4>
      <a:accent5>
        <a:srgbClr val="FFFFFF"/>
      </a:accent5>
      <a:accent6>
        <a:srgbClr val="FFFFFF"/>
      </a:accent6>
      <a:hlink>
        <a:srgbClr val="FFFFFF"/>
      </a:hlink>
      <a:folHlink>
        <a:srgbClr val="FFFFFF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showGridLines="0" tabSelected="1" zoomScale="80" zoomScaleNormal="80" workbookViewId="0">
      <selection activeCell="C17" sqref="C17"/>
    </sheetView>
  </sheetViews>
  <sheetFormatPr defaultRowHeight="15" x14ac:dyDescent="0.2"/>
  <cols>
    <col min="1" max="1" width="11.7109375" style="41" customWidth="1"/>
    <col min="2" max="2" width="27.28515625" style="41" customWidth="1"/>
    <col min="3" max="3" width="23.140625" style="41" customWidth="1"/>
    <col min="4" max="4" width="34.42578125" style="41" customWidth="1"/>
    <col min="5" max="5" width="38.7109375" style="41" customWidth="1"/>
    <col min="6" max="6" width="11.85546875" style="41" customWidth="1"/>
    <col min="7" max="7" width="40.140625" style="41" customWidth="1"/>
    <col min="8" max="8" width="37.140625" style="41" customWidth="1"/>
    <col min="9" max="16384" width="9.140625" style="41"/>
  </cols>
  <sheetData>
    <row r="1" spans="1:13" ht="15.75" x14ac:dyDescent="0.25">
      <c r="A1" s="40" t="s">
        <v>0</v>
      </c>
    </row>
    <row r="2" spans="1:13" ht="15.75" x14ac:dyDescent="0.25">
      <c r="A2" s="40"/>
    </row>
    <row r="3" spans="1:13" x14ac:dyDescent="0.2">
      <c r="A3" s="65" t="s">
        <v>1</v>
      </c>
      <c r="B3" s="65"/>
      <c r="C3" s="65"/>
      <c r="D3" s="65"/>
    </row>
    <row r="5" spans="1:13" ht="15.75" x14ac:dyDescent="0.25">
      <c r="A5" s="42" t="s">
        <v>2</v>
      </c>
      <c r="B5" s="42"/>
      <c r="C5" s="42"/>
      <c r="D5" s="42"/>
      <c r="F5" s="43"/>
      <c r="G5" s="43"/>
      <c r="H5" s="43"/>
      <c r="I5" s="44"/>
      <c r="J5" s="44"/>
      <c r="K5" s="44"/>
      <c r="L5" s="44"/>
      <c r="M5" s="44"/>
    </row>
    <row r="6" spans="1:13" x14ac:dyDescent="0.2">
      <c r="A6" s="45" t="s">
        <v>3</v>
      </c>
      <c r="B6" s="46" t="s">
        <v>4</v>
      </c>
      <c r="F6" s="47"/>
      <c r="G6" s="47"/>
      <c r="H6" s="47"/>
      <c r="I6" s="47"/>
      <c r="J6" s="48"/>
      <c r="K6" s="48"/>
      <c r="L6" s="44"/>
      <c r="M6" s="44"/>
    </row>
    <row r="7" spans="1:13" x14ac:dyDescent="0.2">
      <c r="A7" s="45" t="s">
        <v>5</v>
      </c>
      <c r="B7" s="46" t="s">
        <v>6</v>
      </c>
      <c r="F7" s="47"/>
      <c r="G7" s="47"/>
      <c r="H7" s="47"/>
      <c r="I7" s="47"/>
      <c r="J7" s="48"/>
      <c r="K7" s="48"/>
      <c r="L7" s="44"/>
      <c r="M7" s="44"/>
    </row>
    <row r="8" spans="1:13" x14ac:dyDescent="0.2">
      <c r="A8" s="45" t="s">
        <v>7</v>
      </c>
      <c r="B8" s="46" t="s">
        <v>8</v>
      </c>
      <c r="F8" s="49"/>
      <c r="G8" s="44"/>
      <c r="H8" s="44"/>
      <c r="I8" s="44"/>
      <c r="J8" s="50"/>
      <c r="K8" s="50"/>
      <c r="L8" s="44"/>
      <c r="M8" s="44"/>
    </row>
    <row r="9" spans="1:13" x14ac:dyDescent="0.2">
      <c r="A9" s="51" t="s">
        <v>9</v>
      </c>
      <c r="B9" s="46" t="s">
        <v>10</v>
      </c>
      <c r="F9" s="52"/>
      <c r="G9" s="44"/>
      <c r="H9" s="44"/>
      <c r="I9" s="44"/>
      <c r="J9" s="44"/>
      <c r="K9" s="44"/>
      <c r="L9" s="44"/>
      <c r="M9" s="44"/>
    </row>
    <row r="10" spans="1:13" x14ac:dyDescent="0.2">
      <c r="F10" s="44"/>
      <c r="G10" s="44"/>
      <c r="H10" s="44"/>
      <c r="I10" s="44"/>
      <c r="J10" s="44"/>
      <c r="K10" s="44"/>
      <c r="L10" s="44"/>
      <c r="M10" s="44"/>
    </row>
    <row r="11" spans="1:13" x14ac:dyDescent="0.2">
      <c r="A11" s="41" t="s">
        <v>11</v>
      </c>
    </row>
    <row r="13" spans="1:13" x14ac:dyDescent="0.2">
      <c r="A13" s="43" t="s">
        <v>12</v>
      </c>
    </row>
    <row r="14" spans="1:13" s="55" customFormat="1" x14ac:dyDescent="0.2">
      <c r="A14" s="53"/>
      <c r="B14" s="53" t="s">
        <v>13</v>
      </c>
      <c r="C14" s="53" t="s">
        <v>14</v>
      </c>
      <c r="D14" s="54" t="s">
        <v>15</v>
      </c>
    </row>
    <row r="15" spans="1:13" x14ac:dyDescent="0.2">
      <c r="A15" s="56" t="s">
        <v>16</v>
      </c>
      <c r="B15" s="57">
        <f>COUNTIF(Resp4[Vínculo],A15)</f>
        <v>34</v>
      </c>
      <c r="C15" s="57">
        <v>73</v>
      </c>
      <c r="D15" s="58">
        <f>ROUND(B15/C15*100,3)</f>
        <v>46.575000000000003</v>
      </c>
    </row>
    <row r="16" spans="1:13" x14ac:dyDescent="0.2">
      <c r="A16" s="59" t="s">
        <v>17</v>
      </c>
      <c r="B16" s="57">
        <f>COUNTIF(Resp4[Vínculo],A16)</f>
        <v>34</v>
      </c>
      <c r="C16" s="57">
        <v>238</v>
      </c>
      <c r="D16" s="58">
        <f t="shared" ref="D16:D17" si="0">ROUND(B16/C16*100,3)</f>
        <v>14.286</v>
      </c>
    </row>
    <row r="17" spans="1:10" x14ac:dyDescent="0.2">
      <c r="A17" s="60" t="s">
        <v>18</v>
      </c>
      <c r="B17" s="57">
        <f>SUM(B15:B16)</f>
        <v>68</v>
      </c>
      <c r="C17" s="57">
        <f>SUM(C15:C16)</f>
        <v>311</v>
      </c>
      <c r="D17" s="58">
        <f t="shared" si="0"/>
        <v>21.864999999999998</v>
      </c>
    </row>
    <row r="18" spans="1:10" x14ac:dyDescent="0.2">
      <c r="A18" s="52">
        <v>1</v>
      </c>
      <c r="B18" s="105" t="s">
        <v>19</v>
      </c>
      <c r="C18" s="105"/>
      <c r="D18" s="105"/>
      <c r="E18" s="105"/>
      <c r="F18" s="105"/>
      <c r="G18" s="105"/>
      <c r="H18" s="105"/>
      <c r="I18" s="105"/>
      <c r="J18" s="105"/>
    </row>
    <row r="19" spans="1:10" x14ac:dyDescent="0.2">
      <c r="A19" s="52"/>
      <c r="B19" s="105"/>
      <c r="C19" s="105"/>
      <c r="D19" s="105"/>
      <c r="E19" s="105"/>
      <c r="F19" s="105"/>
      <c r="G19" s="105"/>
      <c r="H19" s="105"/>
      <c r="I19" s="105"/>
      <c r="J19" s="105"/>
    </row>
    <row r="20" spans="1:10" x14ac:dyDescent="0.2">
      <c r="A20" s="52"/>
      <c r="B20" s="105"/>
      <c r="C20" s="105"/>
      <c r="D20" s="105"/>
      <c r="E20" s="105"/>
      <c r="F20" s="105"/>
      <c r="G20" s="105"/>
      <c r="H20" s="105"/>
      <c r="I20" s="105"/>
      <c r="J20" s="105"/>
    </row>
    <row r="21" spans="1:10" x14ac:dyDescent="0.2">
      <c r="A21" s="52"/>
      <c r="B21" s="61"/>
      <c r="C21" s="61"/>
      <c r="D21" s="61"/>
      <c r="E21" s="61"/>
      <c r="F21" s="61"/>
      <c r="G21" s="61"/>
      <c r="H21" s="61"/>
      <c r="I21" s="61"/>
      <c r="J21" s="61"/>
    </row>
    <row r="22" spans="1:10" x14ac:dyDescent="0.2">
      <c r="A22" s="41" t="s">
        <v>20</v>
      </c>
    </row>
    <row r="23" spans="1:10" x14ac:dyDescent="0.2">
      <c r="A23" s="41" t="s">
        <v>21</v>
      </c>
    </row>
    <row r="24" spans="1:10" ht="15.75" x14ac:dyDescent="0.25">
      <c r="A24" s="62"/>
      <c r="B24" s="62"/>
      <c r="C24" s="62"/>
      <c r="D24" s="62"/>
      <c r="E24" s="62"/>
      <c r="F24" s="63" t="s">
        <v>4</v>
      </c>
      <c r="G24" s="62"/>
      <c r="H24" s="62"/>
      <c r="I24"/>
    </row>
    <row r="25" spans="1:10" ht="15.75" x14ac:dyDescent="0.25">
      <c r="A25" s="71"/>
      <c r="B25" s="83" t="s">
        <v>22</v>
      </c>
      <c r="C25" s="85"/>
      <c r="D25" s="85"/>
      <c r="E25" s="62"/>
      <c r="F25" s="87" t="s">
        <v>23</v>
      </c>
      <c r="G25" s="87" t="s">
        <v>24</v>
      </c>
      <c r="H25" s="62"/>
      <c r="I25"/>
    </row>
    <row r="26" spans="1:10" ht="15.75" x14ac:dyDescent="0.25">
      <c r="A26" s="72" t="s">
        <v>3</v>
      </c>
      <c r="B26" s="84" t="s">
        <v>25</v>
      </c>
      <c r="C26" s="86"/>
      <c r="D26" s="86"/>
      <c r="E26" s="62"/>
      <c r="F26" s="73" t="s">
        <v>26</v>
      </c>
      <c r="G26" s="73" t="s">
        <v>27</v>
      </c>
      <c r="H26" s="62"/>
      <c r="I26"/>
    </row>
    <row r="27" spans="1:10" ht="15.75" x14ac:dyDescent="0.25">
      <c r="A27" s="72" t="s">
        <v>5</v>
      </c>
      <c r="B27" s="84" t="s">
        <v>28</v>
      </c>
      <c r="C27" s="86"/>
      <c r="D27" s="86"/>
      <c r="E27" s="62"/>
      <c r="F27" s="74" t="s">
        <v>29</v>
      </c>
      <c r="G27" s="75" t="s">
        <v>30</v>
      </c>
      <c r="H27" s="62"/>
      <c r="I27"/>
    </row>
    <row r="28" spans="1:10" ht="15.75" x14ac:dyDescent="0.25">
      <c r="A28" s="72" t="s">
        <v>7</v>
      </c>
      <c r="B28" s="84" t="s">
        <v>31</v>
      </c>
      <c r="C28" s="86"/>
      <c r="D28" s="86"/>
      <c r="E28" s="62"/>
      <c r="F28" s="76" t="s">
        <v>32</v>
      </c>
      <c r="G28" s="76" t="s">
        <v>33</v>
      </c>
      <c r="H28" s="62"/>
      <c r="I28"/>
    </row>
    <row r="29" spans="1:10" ht="15.75" x14ac:dyDescent="0.25">
      <c r="A29" s="72" t="s">
        <v>34</v>
      </c>
      <c r="B29" s="84" t="s">
        <v>35</v>
      </c>
      <c r="C29" s="86"/>
      <c r="D29" s="86"/>
      <c r="E29" s="62"/>
      <c r="F29" s="62"/>
      <c r="G29" s="62"/>
      <c r="H29" s="62"/>
      <c r="I29"/>
    </row>
    <row r="30" spans="1:10" ht="15.75" x14ac:dyDescent="0.25">
      <c r="A30" s="72" t="s">
        <v>36</v>
      </c>
      <c r="B30" s="84" t="s">
        <v>37</v>
      </c>
      <c r="C30" s="86"/>
      <c r="D30" s="86"/>
      <c r="E30" s="62"/>
      <c r="F30" s="63" t="s">
        <v>38</v>
      </c>
      <c r="G30"/>
      <c r="H30" s="62"/>
      <c r="I30"/>
    </row>
    <row r="31" spans="1:10" ht="15.75" x14ac:dyDescent="0.25">
      <c r="A31" s="72" t="s">
        <v>39</v>
      </c>
      <c r="B31" s="84" t="s">
        <v>40</v>
      </c>
      <c r="C31" s="86"/>
      <c r="D31" s="86"/>
      <c r="E31" s="62"/>
      <c r="F31" s="62" t="s">
        <v>41</v>
      </c>
      <c r="G31" s="62"/>
      <c r="H31" s="62"/>
      <c r="I31"/>
    </row>
    <row r="32" spans="1:10" ht="15.75" x14ac:dyDescent="0.25">
      <c r="A32" s="72" t="s">
        <v>42</v>
      </c>
      <c r="B32" s="84" t="s">
        <v>43</v>
      </c>
      <c r="C32" s="86"/>
      <c r="D32" s="86"/>
      <c r="E32" s="62"/>
      <c r="F32"/>
      <c r="G32"/>
      <c r="H32" s="62"/>
      <c r="I32"/>
    </row>
    <row r="33" spans="1:9" ht="15.75" x14ac:dyDescent="0.25">
      <c r="A33" s="72" t="s">
        <v>44</v>
      </c>
      <c r="B33" s="84" t="s">
        <v>45</v>
      </c>
      <c r="C33" s="86"/>
      <c r="D33" s="86"/>
      <c r="E33" s="62"/>
      <c r="F33" s="64"/>
      <c r="G33" s="64"/>
      <c r="H33" s="62"/>
      <c r="I33"/>
    </row>
    <row r="34" spans="1:9" ht="15.75" x14ac:dyDescent="0.25">
      <c r="A34" s="62"/>
      <c r="B34" s="62"/>
      <c r="C34" s="62"/>
      <c r="D34" s="62"/>
      <c r="E34" s="62"/>
      <c r="F34" s="64"/>
      <c r="G34" s="64"/>
      <c r="H34" s="62"/>
      <c r="I34" s="62"/>
    </row>
    <row r="35" spans="1:9" ht="15.75" x14ac:dyDescent="0.25">
      <c r="A35" s="62"/>
      <c r="B35" s="77" t="s">
        <v>46</v>
      </c>
      <c r="C35" s="77" t="s">
        <v>47</v>
      </c>
      <c r="D35" s="62"/>
      <c r="E35" s="62"/>
      <c r="F35" s="62"/>
      <c r="G35" s="62"/>
      <c r="H35" s="62"/>
      <c r="I35" s="62"/>
    </row>
    <row r="36" spans="1:9" ht="15.75" x14ac:dyDescent="0.25">
      <c r="A36" s="62"/>
      <c r="B36" s="78" t="s">
        <v>48</v>
      </c>
      <c r="C36" s="79" t="s">
        <v>49</v>
      </c>
      <c r="D36" s="62"/>
      <c r="E36" s="62"/>
      <c r="F36" s="63"/>
      <c r="G36" s="62"/>
      <c r="H36" s="62"/>
      <c r="I36" s="62"/>
    </row>
    <row r="37" spans="1:9" ht="15.75" x14ac:dyDescent="0.25">
      <c r="A37" s="62"/>
      <c r="B37" s="78" t="s">
        <v>7</v>
      </c>
      <c r="C37" s="80" t="s">
        <v>50</v>
      </c>
      <c r="D37" s="62"/>
      <c r="E37" s="62"/>
      <c r="F37" s="64"/>
      <c r="G37" s="64"/>
      <c r="H37" s="62"/>
      <c r="I37" s="62"/>
    </row>
    <row r="38" spans="1:9" ht="15.75" x14ac:dyDescent="0.25">
      <c r="A38" s="62"/>
      <c r="B38" s="78" t="s">
        <v>51</v>
      </c>
      <c r="C38" s="81" t="s">
        <v>52</v>
      </c>
      <c r="D38" s="62"/>
      <c r="E38" s="62"/>
      <c r="F38" s="64"/>
      <c r="G38" s="64"/>
      <c r="H38" s="62"/>
      <c r="I38" s="62"/>
    </row>
    <row r="39" spans="1:9" ht="15.75" x14ac:dyDescent="0.25">
      <c r="A39" s="62"/>
      <c r="B39" s="78" t="s">
        <v>53</v>
      </c>
      <c r="C39" s="82" t="s">
        <v>54</v>
      </c>
      <c r="D39" s="62"/>
      <c r="E39" s="62"/>
      <c r="F39" s="64"/>
      <c r="G39" s="64"/>
      <c r="H39" s="62"/>
      <c r="I39" s="62"/>
    </row>
    <row r="40" spans="1:9" ht="15.75" x14ac:dyDescent="0.25">
      <c r="A40" s="62"/>
      <c r="B40" s="62"/>
      <c r="C40" s="62"/>
      <c r="D40" s="62"/>
      <c r="E40" s="62"/>
      <c r="F40" s="62"/>
      <c r="G40" s="62"/>
      <c r="H40" s="62"/>
      <c r="I40" s="62"/>
    </row>
    <row r="41" spans="1:9" ht="15.75" x14ac:dyDescent="0.25">
      <c r="A41" s="62"/>
      <c r="B41" s="62"/>
      <c r="C41" s="62"/>
      <c r="D41" s="62"/>
      <c r="E41" s="62"/>
      <c r="F41" s="62"/>
      <c r="G41" s="62"/>
      <c r="H41" s="62"/>
      <c r="I41" s="62"/>
    </row>
    <row r="42" spans="1:9" ht="15.75" x14ac:dyDescent="0.25">
      <c r="A42" s="62"/>
      <c r="B42" s="62"/>
      <c r="C42" s="62"/>
      <c r="D42" s="62"/>
      <c r="E42" s="62"/>
      <c r="F42" s="62"/>
      <c r="G42" s="63"/>
      <c r="H42" s="62"/>
      <c r="I42" s="62"/>
    </row>
    <row r="43" spans="1:9" ht="15.75" x14ac:dyDescent="0.25">
      <c r="D43" s="62"/>
      <c r="E43" s="62"/>
      <c r="F43" s="62"/>
      <c r="G43" s="64"/>
      <c r="H43" s="64"/>
      <c r="I43" s="62"/>
    </row>
    <row r="44" spans="1:9" ht="15.75" x14ac:dyDescent="0.25">
      <c r="D44" s="62"/>
      <c r="E44" s="62"/>
      <c r="F44" s="62"/>
      <c r="G44" s="64"/>
      <c r="H44" s="64"/>
      <c r="I44" s="62"/>
    </row>
    <row r="45" spans="1:9" ht="15.75" x14ac:dyDescent="0.25">
      <c r="D45" s="62"/>
      <c r="E45" s="62"/>
      <c r="F45" s="62"/>
      <c r="G45" s="64"/>
      <c r="H45" s="64"/>
      <c r="I45" s="62"/>
    </row>
    <row r="46" spans="1:9" ht="15.75" x14ac:dyDescent="0.25">
      <c r="D46" s="62"/>
      <c r="E46" s="62"/>
      <c r="F46" s="62"/>
      <c r="G46" s="64"/>
      <c r="H46" s="64"/>
      <c r="I46" s="62"/>
    </row>
    <row r="47" spans="1:9" ht="15.75" x14ac:dyDescent="0.25">
      <c r="D47" s="62"/>
      <c r="E47" s="62"/>
      <c r="F47" s="62"/>
      <c r="G47" s="62"/>
      <c r="H47" s="62"/>
    </row>
    <row r="48" spans="1:9" ht="15.75" x14ac:dyDescent="0.25">
      <c r="D48" s="62"/>
      <c r="E48" s="62"/>
      <c r="F48" s="62"/>
      <c r="G48" s="63"/>
      <c r="H48" s="62"/>
    </row>
    <row r="49" spans="4:8" ht="15.75" x14ac:dyDescent="0.25">
      <c r="D49" s="62"/>
      <c r="E49" s="62"/>
      <c r="F49" s="62"/>
      <c r="G49" s="64"/>
      <c r="H49" s="64"/>
    </row>
    <row r="50" spans="4:8" ht="15.75" x14ac:dyDescent="0.25">
      <c r="D50" s="62"/>
      <c r="E50" s="62"/>
      <c r="F50" s="62"/>
      <c r="G50" s="64"/>
      <c r="H50" s="64"/>
    </row>
    <row r="51" spans="4:8" ht="15.75" x14ac:dyDescent="0.25">
      <c r="D51" s="62"/>
      <c r="E51" s="62"/>
      <c r="F51" s="62"/>
      <c r="G51" s="64"/>
      <c r="H51" s="64"/>
    </row>
    <row r="52" spans="4:8" ht="15.75" x14ac:dyDescent="0.25">
      <c r="D52" s="62"/>
      <c r="E52" s="62"/>
      <c r="F52" s="62"/>
    </row>
    <row r="53" spans="4:8" ht="15.75" x14ac:dyDescent="0.25">
      <c r="G53" s="63"/>
    </row>
    <row r="54" spans="4:8" ht="15.75" x14ac:dyDescent="0.25">
      <c r="G54" s="62"/>
      <c r="H54" s="62"/>
    </row>
  </sheetData>
  <mergeCells count="1">
    <mergeCell ref="B18:J20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60</v>
      </c>
    </row>
    <row r="2" spans="1:7" x14ac:dyDescent="0.25">
      <c r="A2" s="2" t="str">
        <f>TEXT(A1,"0.00")</f>
        <v>4.04</v>
      </c>
      <c r="B2" s="2" t="str">
        <f>VLOOKUP(A$2,Eixo4[],3,FALSE)</f>
        <v>Com relação ao ensino da graduação, avalie: [As práticas institucionais que estimulam o uso de novas tecnologias no ensino]</v>
      </c>
    </row>
    <row r="3" spans="1:7" x14ac:dyDescent="0.25">
      <c r="A3" s="2" t="s">
        <v>494</v>
      </c>
      <c r="B3" s="2" t="str">
        <f>VLOOKUP(A$2,Eixo4[],4,FALSE)</f>
        <v>Eixo 4: Questão 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COUNTIFS(Resp4[Vínculo],"tecnico",Resp4[4.04],B7)</f>
        <v>0</v>
      </c>
      <c r="D7" s="4">
        <f>COUNTIFS(Resp4[Vínculo],"docente",Resp4[4.04],B7)</f>
        <v>0</v>
      </c>
      <c r="E7" s="4">
        <f>COUNTIF(Resp4[4.04],B7)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COUNTIFS(Resp4[Vínculo],"tecnico",Resp4[4.04],B8)</f>
        <v>0</v>
      </c>
      <c r="D8" s="4">
        <f>COUNTIFS(Resp4[Vínculo],"docente",Resp4[4.04],B8)</f>
        <v>1</v>
      </c>
      <c r="E8" s="4">
        <f>COUNTIF(Resp4[4.04],B8)</f>
        <v>1</v>
      </c>
      <c r="F8" s="4">
        <f t="shared" si="0"/>
        <v>1.47</v>
      </c>
      <c r="G8" s="3">
        <f t="shared" si="1"/>
        <v>3.3330000000000002</v>
      </c>
    </row>
    <row r="9" spans="1:7" x14ac:dyDescent="0.25">
      <c r="B9" s="2" t="s">
        <v>202</v>
      </c>
      <c r="C9" s="4">
        <f>COUNTIFS(Resp4[Vínculo],"tecnico",Resp4[4.04],B9)</f>
        <v>1</v>
      </c>
      <c r="D9" s="4">
        <f>COUNTIFS(Resp4[Vínculo],"docente",Resp4[4.04],B9)</f>
        <v>3</v>
      </c>
      <c r="E9" s="4">
        <f>COUNTIF(Resp4[4.04],B9)</f>
        <v>4</v>
      </c>
      <c r="F9" s="4">
        <f t="shared" si="0"/>
        <v>5.88</v>
      </c>
      <c r="G9" s="3">
        <f t="shared" si="1"/>
        <v>13.333</v>
      </c>
    </row>
    <row r="10" spans="1:7" x14ac:dyDescent="0.25">
      <c r="B10" s="2" t="s">
        <v>30</v>
      </c>
      <c r="C10" s="4">
        <f>COUNTIFS(Resp4[Vínculo],"tecnico",Resp4[4.04],B10)</f>
        <v>0</v>
      </c>
      <c r="D10" s="4">
        <f>COUNTIFS(Resp4[Vínculo],"docente",Resp4[4.04],B10)</f>
        <v>6</v>
      </c>
      <c r="E10" s="4">
        <f>COUNTIF(Resp4[4.04],B10)</f>
        <v>6</v>
      </c>
      <c r="F10" s="4">
        <f t="shared" si="0"/>
        <v>8.82</v>
      </c>
      <c r="G10" s="3">
        <f t="shared" si="1"/>
        <v>20</v>
      </c>
    </row>
    <row r="11" spans="1:7" x14ac:dyDescent="0.25">
      <c r="B11" s="2" t="s">
        <v>199</v>
      </c>
      <c r="C11" s="4">
        <f>COUNTIFS(Resp4[Vínculo],"tecnico",Resp4[4.04],B11)</f>
        <v>2</v>
      </c>
      <c r="D11" s="4">
        <f>COUNTIFS(Resp4[Vínculo],"docente",Resp4[4.04],B11)</f>
        <v>13</v>
      </c>
      <c r="E11" s="4">
        <f>COUNTIF(Resp4[4.04],B11)</f>
        <v>15</v>
      </c>
      <c r="F11" s="4">
        <f t="shared" si="0"/>
        <v>22.06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COUNTIFS(Resp4[Vínculo],"tecnico",Resp4[4.04],B12)</f>
        <v>2</v>
      </c>
      <c r="D12" s="4">
        <f>COUNTIFS(Resp4[Vínculo],"docente",Resp4[4.04],B12)</f>
        <v>2</v>
      </c>
      <c r="E12" s="4">
        <f>COUNTIF(Resp4[4.04],B12)</f>
        <v>4</v>
      </c>
      <c r="F12" s="22">
        <f t="shared" si="0"/>
        <v>5.88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16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24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71093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4103</v>
      </c>
    </row>
    <row r="2" spans="1:7" x14ac:dyDescent="0.25">
      <c r="A2" s="2" t="str">
        <f>TEXT(A1,"0.00")</f>
        <v>4.103</v>
      </c>
      <c r="B2" s="2" t="str">
        <f>VLOOKUP(A$2,Eixo4[],3,FALSE)</f>
        <v>Com relação ao programa de pós-graduação onde você atua majoritariamente, avalie os seguintes itens: [Disponibilidade do corpo docente para atividades de orientação]</v>
      </c>
    </row>
    <row r="3" spans="1:7" x14ac:dyDescent="0.25">
      <c r="A3" s="2" t="s">
        <v>494</v>
      </c>
      <c r="B3" s="2" t="str">
        <f>VLOOKUP(A$2,Eixo4[],4,FALSE)</f>
        <v>Eixo 4: Questão 103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COUNTIFS(Resp4[Vínculo],"tecnico",Resp4[4.103],B7)</f>
        <v>1</v>
      </c>
      <c r="D7" s="4">
        <f>COUNTIFS(Resp4[Vínculo],"docente",Resp4[4.103],B7)</f>
        <v>0</v>
      </c>
      <c r="E7" s="4">
        <f>COUNTIF(Resp4[4.103],B7)</f>
        <v>1</v>
      </c>
      <c r="F7" s="4">
        <f t="shared" ref="F7:F13" si="0">ROUND($E7/E$13*100,2)</f>
        <v>1.47</v>
      </c>
      <c r="G7" s="3">
        <f t="shared" ref="G7:G12" si="1">ROUND($E7/SUM($E$7:$E$12)*100,3)</f>
        <v>4</v>
      </c>
    </row>
    <row r="8" spans="1:7" x14ac:dyDescent="0.25">
      <c r="B8" s="2" t="s">
        <v>206</v>
      </c>
      <c r="C8" s="4">
        <f>COUNTIFS(Resp4[Vínculo],"tecnico",Resp4[4.103],B8)</f>
        <v>0</v>
      </c>
      <c r="D8" s="4">
        <f>COUNTIFS(Resp4[Vínculo],"docente",Resp4[4.103],B8)</f>
        <v>0</v>
      </c>
      <c r="E8" s="4">
        <f>COUNTIF(Resp4[4.103],B8)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COUNTIFS(Resp4[Vínculo],"tecnico",Resp4[4.103],B9)</f>
        <v>1</v>
      </c>
      <c r="D9" s="4">
        <f>COUNTIFS(Resp4[Vínculo],"docente",Resp4[4.103],B9)</f>
        <v>0</v>
      </c>
      <c r="E9" s="4">
        <f>COUNTIF(Resp4[4.103],B9)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COUNTIFS(Resp4[Vínculo],"tecnico",Resp4[4.103],B10)</f>
        <v>0</v>
      </c>
      <c r="D10" s="4">
        <f>COUNTIFS(Resp4[Vínculo],"docente",Resp4[4.103],B10)</f>
        <v>2</v>
      </c>
      <c r="E10" s="4">
        <f>COUNTIF(Resp4[4.103],B10)</f>
        <v>2</v>
      </c>
      <c r="F10" s="4">
        <f t="shared" si="0"/>
        <v>2.94</v>
      </c>
      <c r="G10" s="3">
        <f t="shared" si="1"/>
        <v>8</v>
      </c>
    </row>
    <row r="11" spans="1:7" x14ac:dyDescent="0.25">
      <c r="B11" s="2" t="s">
        <v>199</v>
      </c>
      <c r="C11" s="4">
        <f>COUNTIFS(Resp4[Vínculo],"tecnico",Resp4[4.103],B11)</f>
        <v>3</v>
      </c>
      <c r="D11" s="4">
        <f>COUNTIFS(Resp4[Vínculo],"docente",Resp4[4.103],B11)</f>
        <v>7</v>
      </c>
      <c r="E11" s="4">
        <f>COUNTIF(Resp4[4.103],B11)</f>
        <v>10</v>
      </c>
      <c r="F11" s="4">
        <f t="shared" si="0"/>
        <v>14.71</v>
      </c>
      <c r="G11" s="3">
        <f t="shared" si="1"/>
        <v>40</v>
      </c>
    </row>
    <row r="12" spans="1:7" x14ac:dyDescent="0.25">
      <c r="B12" s="7" t="s">
        <v>200</v>
      </c>
      <c r="C12" s="4">
        <f>COUNTIFS(Resp4[Vínculo],"tecnico",Resp4[4.103],B12)</f>
        <v>1</v>
      </c>
      <c r="D12" s="4">
        <f>COUNTIFS(Resp4[Vínculo],"docente",Resp4[4.103],B12)</f>
        <v>10</v>
      </c>
      <c r="E12" s="4">
        <f>COUNTIF(Resp4[4.103],B12)</f>
        <v>11</v>
      </c>
      <c r="F12" s="22">
        <f t="shared" si="0"/>
        <v>16.18</v>
      </c>
      <c r="G12" s="3">
        <f t="shared" si="1"/>
        <v>44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89.474000000000004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4104</v>
      </c>
    </row>
    <row r="2" spans="1:7" x14ac:dyDescent="0.25">
      <c r="A2" s="2" t="str">
        <f>TEXT(A1,"0.00")</f>
        <v>4.104</v>
      </c>
      <c r="B2" s="2" t="str">
        <f>VLOOKUP(A$2,Eixo4[],3,FALSE)</f>
        <v>Sobre a Avaliação Quadrienal do Programa de Pós-Graduação, opine: [Pertinência dos conteúdos abordados]</v>
      </c>
    </row>
    <row r="3" spans="1:7" x14ac:dyDescent="0.25">
      <c r="A3" s="2" t="s">
        <v>494</v>
      </c>
      <c r="B3" s="2" t="str">
        <f>VLOOKUP(A$2,Eixo4[],4,FALSE)</f>
        <v>Eixo 4: Questão 104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COUNTIFS(Resp4[Vínculo],"tecnico",Resp4[4.104],B7)</f>
        <v>1</v>
      </c>
      <c r="D7" s="4">
        <f>COUNTIFS(Resp4[Vínculo],"docente",Resp4[4.104],B7)</f>
        <v>2</v>
      </c>
      <c r="E7" s="4">
        <f>COUNTIF(Resp4[4.104],B7)</f>
        <v>3</v>
      </c>
      <c r="F7" s="15">
        <f t="shared" ref="F7:F13" si="0">ROUND($E7/E$13*100,2)</f>
        <v>4.41</v>
      </c>
      <c r="G7" s="3">
        <f t="shared" ref="G7:G12" si="1">ROUND($E7/SUM($E$7:$E$12)*100,3)</f>
        <v>12</v>
      </c>
    </row>
    <row r="8" spans="1:7" x14ac:dyDescent="0.25">
      <c r="B8" s="2" t="s">
        <v>206</v>
      </c>
      <c r="C8" s="4">
        <f>COUNTIFS(Resp4[Vínculo],"tecnico",Resp4[4.104],B8)</f>
        <v>0</v>
      </c>
      <c r="D8" s="4">
        <f>COUNTIFS(Resp4[Vínculo],"docente",Resp4[4.104],B8)</f>
        <v>0</v>
      </c>
      <c r="E8" s="4">
        <f>COUNTIF(Resp4[4.104],B8)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COUNTIFS(Resp4[Vínculo],"tecnico",Resp4[4.104],B9)</f>
        <v>0</v>
      </c>
      <c r="D9" s="4">
        <f>COUNTIFS(Resp4[Vínculo],"docente",Resp4[4.104],B9)</f>
        <v>0</v>
      </c>
      <c r="E9" s="4">
        <f>COUNTIF(Resp4[4.104],B9)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COUNTIFS(Resp4[Vínculo],"tecnico",Resp4[4.104],B10)</f>
        <v>0</v>
      </c>
      <c r="D10" s="4">
        <f>COUNTIFS(Resp4[Vínculo],"docente",Resp4[4.104],B10)</f>
        <v>3</v>
      </c>
      <c r="E10" s="4">
        <f>COUNTIF(Resp4[4.104],B10)</f>
        <v>3</v>
      </c>
      <c r="F10" s="15">
        <f t="shared" si="0"/>
        <v>4.41</v>
      </c>
      <c r="G10" s="3">
        <f t="shared" si="1"/>
        <v>12</v>
      </c>
    </row>
    <row r="11" spans="1:7" x14ac:dyDescent="0.25">
      <c r="B11" s="2" t="s">
        <v>199</v>
      </c>
      <c r="C11" s="4">
        <f>COUNTIFS(Resp4[Vínculo],"tecnico",Resp4[4.104],B11)</f>
        <v>3</v>
      </c>
      <c r="D11" s="4">
        <f>COUNTIFS(Resp4[Vínculo],"docente",Resp4[4.104],B11)</f>
        <v>10</v>
      </c>
      <c r="E11" s="4">
        <f>COUNTIF(Resp4[4.104],B11)</f>
        <v>13</v>
      </c>
      <c r="F11" s="15">
        <f t="shared" si="0"/>
        <v>19.12</v>
      </c>
      <c r="G11" s="3">
        <f t="shared" si="1"/>
        <v>52</v>
      </c>
    </row>
    <row r="12" spans="1:7" x14ac:dyDescent="0.25">
      <c r="B12" s="7" t="s">
        <v>200</v>
      </c>
      <c r="C12" s="4">
        <f>COUNTIFS(Resp4[Vínculo],"tecnico",Resp4[4.104],B12)</f>
        <v>2</v>
      </c>
      <c r="D12" s="4">
        <f>COUNTIFS(Resp4[Vínculo],"docente",Resp4[4.104],B12)</f>
        <v>4</v>
      </c>
      <c r="E12" s="4">
        <f>COUNTIF(Resp4[4.104],B12)</f>
        <v>6</v>
      </c>
      <c r="F12" s="19">
        <f t="shared" si="0"/>
        <v>8.82</v>
      </c>
      <c r="G12" s="3">
        <f t="shared" si="1"/>
        <v>24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"/>
    </sheetView>
  </sheetViews>
  <sheetFormatPr defaultRowHeight="15" x14ac:dyDescent="0.25"/>
  <cols>
    <col min="1" max="1" width="5.7109375" style="2" customWidth="1"/>
    <col min="2" max="2" width="22.85546875" style="2" customWidth="1"/>
    <col min="3" max="3" width="22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4105</v>
      </c>
    </row>
    <row r="2" spans="1:7" x14ac:dyDescent="0.25">
      <c r="A2" s="2" t="str">
        <f>TEXT(A1,"0.00")</f>
        <v>4.105</v>
      </c>
      <c r="B2" s="2" t="str">
        <f>VLOOKUP(A$2,Eixo4[],3,FALSE)</f>
        <v>Sobre a Avaliação Quadrienal do Programa de Pós-Graduação, opine: [Profundidade dos temas]</v>
      </c>
    </row>
    <row r="3" spans="1:7" x14ac:dyDescent="0.25">
      <c r="A3" s="2" t="s">
        <v>494</v>
      </c>
      <c r="B3" s="2" t="str">
        <f>VLOOKUP(A$2,Eixo4[],4,FALSE)</f>
        <v>Eixo 4: Questão 105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COUNTIFS(Resp4[Vínculo],"tecnico",Resp4[4.105],B7)</f>
        <v>1</v>
      </c>
      <c r="D7" s="4">
        <f>COUNTIFS(Resp4[Vínculo],"docente",Resp4[4.105],B7)</f>
        <v>2</v>
      </c>
      <c r="E7" s="4">
        <f>COUNTIF(Resp4[4.105],B7)</f>
        <v>3</v>
      </c>
      <c r="F7" s="4">
        <f t="shared" ref="F7:F13" si="0">ROUND($E7/E$13*100,2)</f>
        <v>4.41</v>
      </c>
      <c r="G7" s="3">
        <f t="shared" ref="G7:G12" si="1">ROUND($E7/SUM($E$7:$E$12)*100,3)</f>
        <v>12</v>
      </c>
    </row>
    <row r="8" spans="1:7" x14ac:dyDescent="0.25">
      <c r="B8" s="2" t="s">
        <v>206</v>
      </c>
      <c r="C8" s="4">
        <f>COUNTIFS(Resp4[Vínculo],"tecnico",Resp4[4.105],B8)</f>
        <v>0</v>
      </c>
      <c r="D8" s="4">
        <f>COUNTIFS(Resp4[Vínculo],"docente",Resp4[4.105],B8)</f>
        <v>0</v>
      </c>
      <c r="E8" s="4">
        <f>COUNTIF(Resp4[4.105],B8)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COUNTIFS(Resp4[Vínculo],"tecnico",Resp4[4.105],B9)</f>
        <v>0</v>
      </c>
      <c r="D9" s="4">
        <f>COUNTIFS(Resp4[Vínculo],"docente",Resp4[4.105],B9)</f>
        <v>2</v>
      </c>
      <c r="E9" s="4">
        <f>COUNTIF(Resp4[4.105],B9)</f>
        <v>2</v>
      </c>
      <c r="F9" s="4">
        <f t="shared" si="0"/>
        <v>2.94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COUNTIFS(Resp4[Vínculo],"tecnico",Resp4[4.105],B10)</f>
        <v>0</v>
      </c>
      <c r="D10" s="4">
        <f>COUNTIFS(Resp4[Vínculo],"docente",Resp4[4.105],B10)</f>
        <v>2</v>
      </c>
      <c r="E10" s="4">
        <f>COUNTIF(Resp4[4.105],B10)</f>
        <v>2</v>
      </c>
      <c r="F10" s="4">
        <f t="shared" si="0"/>
        <v>2.94</v>
      </c>
      <c r="G10" s="3">
        <f t="shared" si="1"/>
        <v>8</v>
      </c>
    </row>
    <row r="11" spans="1:7" x14ac:dyDescent="0.25">
      <c r="B11" s="2" t="s">
        <v>199</v>
      </c>
      <c r="C11" s="4">
        <f>COUNTIFS(Resp4[Vínculo],"tecnico",Resp4[4.105],B11)</f>
        <v>3</v>
      </c>
      <c r="D11" s="4">
        <f>COUNTIFS(Resp4[Vínculo],"docente",Resp4[4.105],B11)</f>
        <v>9</v>
      </c>
      <c r="E11" s="4">
        <f>COUNTIF(Resp4[4.105],B11)</f>
        <v>12</v>
      </c>
      <c r="F11" s="4">
        <f t="shared" si="0"/>
        <v>17.649999999999999</v>
      </c>
      <c r="G11" s="3">
        <f t="shared" si="1"/>
        <v>48</v>
      </c>
    </row>
    <row r="12" spans="1:7" x14ac:dyDescent="0.25">
      <c r="B12" s="7" t="s">
        <v>200</v>
      </c>
      <c r="C12" s="4">
        <f>COUNTIFS(Resp4[Vínculo],"tecnico",Resp4[4.105],B12)</f>
        <v>2</v>
      </c>
      <c r="D12" s="4">
        <f>COUNTIFS(Resp4[Vínculo],"docente",Resp4[4.105],B12)</f>
        <v>4</v>
      </c>
      <c r="E12" s="4">
        <f>COUNTIF(Resp4[4.105],B12)</f>
        <v>6</v>
      </c>
      <c r="F12" s="22">
        <f t="shared" si="0"/>
        <v>8.82</v>
      </c>
      <c r="G12" s="3">
        <f t="shared" si="1"/>
        <v>24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10.526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68.421000000000006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4106</v>
      </c>
    </row>
    <row r="2" spans="1:7" x14ac:dyDescent="0.25">
      <c r="A2" s="2" t="str">
        <f>TEXT(A1,"0.00")</f>
        <v>4.106</v>
      </c>
      <c r="B2" s="2" t="str">
        <f>VLOOKUP(A$2,Eixo4[],3,FALSE)</f>
        <v>Sobre a Avaliação Quadrienal do Programa de Pós-Graduação, opine: [Quantidade de reuniões, workshops, lives e demais eventos de orientação sobre o tema]</v>
      </c>
    </row>
    <row r="3" spans="1:7" x14ac:dyDescent="0.25">
      <c r="A3" s="2" t="s">
        <v>494</v>
      </c>
      <c r="B3" s="2" t="str">
        <f>VLOOKUP(A$2,Eixo4[],4,FALSE)</f>
        <v>Eixo 4: Questão 106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COUNTIFS(Resp4[Vínculo],"tecnico",Resp4[4.106],B7)</f>
        <v>1</v>
      </c>
      <c r="D7" s="4">
        <f>COUNTIFS(Resp4[Vínculo],"docente",Resp4[4.106],B7)</f>
        <v>5</v>
      </c>
      <c r="E7" s="4">
        <f>COUNTIF(Resp4[4.106],B7)</f>
        <v>6</v>
      </c>
      <c r="F7" s="4">
        <f t="shared" ref="F7:F13" si="0">ROUND($E7/E$13*100,2)</f>
        <v>8.82</v>
      </c>
      <c r="G7" s="3">
        <f t="shared" ref="G7:G12" si="1">ROUND($E7/SUM($E$7:$E$12)*100,3)</f>
        <v>24</v>
      </c>
    </row>
    <row r="8" spans="1:7" x14ac:dyDescent="0.25">
      <c r="B8" s="2" t="s">
        <v>206</v>
      </c>
      <c r="C8" s="4">
        <f>COUNTIFS(Resp4[Vínculo],"tecnico",Resp4[4.106],B8)</f>
        <v>0</v>
      </c>
      <c r="D8" s="4">
        <f>COUNTIFS(Resp4[Vínculo],"docente",Resp4[4.106],B8)</f>
        <v>0</v>
      </c>
      <c r="E8" s="4">
        <f>COUNTIF(Resp4[4.106],B8)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COUNTIFS(Resp4[Vínculo],"tecnico",Resp4[4.106],B9)</f>
        <v>0</v>
      </c>
      <c r="D9" s="4">
        <f>COUNTIFS(Resp4[Vínculo],"docente",Resp4[4.106],B9)</f>
        <v>1</v>
      </c>
      <c r="E9" s="4">
        <f>COUNTIF(Resp4[4.106],B9)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COUNTIFS(Resp4[Vínculo],"tecnico",Resp4[4.106],B10)</f>
        <v>1</v>
      </c>
      <c r="D10" s="4">
        <f>COUNTIFS(Resp4[Vínculo],"docente",Resp4[4.106],B10)</f>
        <v>5</v>
      </c>
      <c r="E10" s="4">
        <f>COUNTIF(Resp4[4.106],B10)</f>
        <v>6</v>
      </c>
      <c r="F10" s="4">
        <f t="shared" si="0"/>
        <v>8.82</v>
      </c>
      <c r="G10" s="3">
        <f t="shared" si="1"/>
        <v>24</v>
      </c>
    </row>
    <row r="11" spans="1:7" x14ac:dyDescent="0.25">
      <c r="B11" s="2" t="s">
        <v>199</v>
      </c>
      <c r="C11" s="4">
        <f>COUNTIFS(Resp4[Vínculo],"tecnico",Resp4[4.106],B11)</f>
        <v>2</v>
      </c>
      <c r="D11" s="4">
        <f>COUNTIFS(Resp4[Vínculo],"docente",Resp4[4.106],B11)</f>
        <v>7</v>
      </c>
      <c r="E11" s="4">
        <f>COUNTIF(Resp4[4.106],B11)</f>
        <v>9</v>
      </c>
      <c r="F11" s="4">
        <f t="shared" si="0"/>
        <v>13.24</v>
      </c>
      <c r="G11" s="3">
        <f t="shared" si="1"/>
        <v>36</v>
      </c>
    </row>
    <row r="12" spans="1:7" x14ac:dyDescent="0.25">
      <c r="B12" s="7" t="s">
        <v>200</v>
      </c>
      <c r="C12" s="4">
        <f>COUNTIFS(Resp4[Vínculo],"tecnico",Resp4[4.106],B12)</f>
        <v>2</v>
      </c>
      <c r="D12" s="4">
        <f>COUNTIFS(Resp4[Vínculo],"docente",Resp4[4.106],B12)</f>
        <v>1</v>
      </c>
      <c r="E12" s="4">
        <f>COUNTIF(Resp4[4.106],B12)</f>
        <v>3</v>
      </c>
      <c r="F12" s="22">
        <f t="shared" si="0"/>
        <v>4.41</v>
      </c>
      <c r="G12" s="3">
        <f t="shared" si="1"/>
        <v>12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26.315999999999999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26.315999999999999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42.104999999999997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25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4107</v>
      </c>
    </row>
    <row r="2" spans="1:7" x14ac:dyDescent="0.25">
      <c r="A2" s="2" t="str">
        <f>TEXT(A1,"0.00")</f>
        <v>4.107</v>
      </c>
      <c r="B2" s="2" t="str">
        <f>VLOOKUP(A$2,Eixo4[],3,FALSE)</f>
        <v>Sobre a Avaliação Quadrienal do Programa de Pós-Graduação, opine: [Qualidade da informação]</v>
      </c>
    </row>
    <row r="3" spans="1:7" x14ac:dyDescent="0.25">
      <c r="A3" s="2" t="s">
        <v>494</v>
      </c>
      <c r="B3" s="2" t="str">
        <f>VLOOKUP(A$2,Eixo4[],4,FALSE)</f>
        <v>Eixo 4: Questão 107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COUNTIFS(Resp4[Vínculo],"tecnico",Resp4[4.107],B7)</f>
        <v>1</v>
      </c>
      <c r="D7" s="4">
        <f>COUNTIFS(Resp4[Vínculo],"docente",Resp4[4.107],B7)</f>
        <v>2</v>
      </c>
      <c r="E7" s="4">
        <f>COUNTIF(Resp4[4.107],B7)</f>
        <v>3</v>
      </c>
      <c r="F7" s="4">
        <f t="shared" ref="F7:F13" si="0">ROUND($E7/E$13*100,2)</f>
        <v>4.41</v>
      </c>
      <c r="G7" s="3">
        <f t="shared" ref="G7:G12" si="1">ROUND($E7/SUM($E$7:$E$12)*100,3)</f>
        <v>12</v>
      </c>
    </row>
    <row r="8" spans="1:7" x14ac:dyDescent="0.25">
      <c r="B8" s="2" t="s">
        <v>206</v>
      </c>
      <c r="C8" s="4">
        <f>COUNTIFS(Resp4[Vínculo],"tecnico",Resp4[4.107],B8)</f>
        <v>0</v>
      </c>
      <c r="D8" s="4">
        <f>COUNTIFS(Resp4[Vínculo],"docente",Resp4[4.107],B8)</f>
        <v>0</v>
      </c>
      <c r="E8" s="4">
        <f>COUNTIF(Resp4[4.107],B8)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COUNTIFS(Resp4[Vínculo],"tecnico",Resp4[4.107],B9)</f>
        <v>0</v>
      </c>
      <c r="D9" s="4">
        <f>COUNTIFS(Resp4[Vínculo],"docente",Resp4[4.107],B9)</f>
        <v>2</v>
      </c>
      <c r="E9" s="4">
        <f>COUNTIF(Resp4[4.107],B9)</f>
        <v>2</v>
      </c>
      <c r="F9" s="4">
        <f t="shared" si="0"/>
        <v>2.94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COUNTIFS(Resp4[Vínculo],"tecnico",Resp4[4.107],B10)</f>
        <v>0</v>
      </c>
      <c r="D10" s="4">
        <f>COUNTIFS(Resp4[Vínculo],"docente",Resp4[4.107],B10)</f>
        <v>3</v>
      </c>
      <c r="E10" s="4">
        <f>COUNTIF(Resp4[4.107],B10)</f>
        <v>3</v>
      </c>
      <c r="F10" s="4">
        <f t="shared" si="0"/>
        <v>4.41</v>
      </c>
      <c r="G10" s="3">
        <f t="shared" si="1"/>
        <v>12</v>
      </c>
    </row>
    <row r="11" spans="1:7" x14ac:dyDescent="0.25">
      <c r="B11" s="2" t="s">
        <v>199</v>
      </c>
      <c r="C11" s="4">
        <f>COUNTIFS(Resp4[Vínculo],"tecnico",Resp4[4.107],B11)</f>
        <v>3</v>
      </c>
      <c r="D11" s="4">
        <f>COUNTIFS(Resp4[Vínculo],"docente",Resp4[4.107],B11)</f>
        <v>10</v>
      </c>
      <c r="E11" s="4">
        <f>COUNTIF(Resp4[4.107],B11)</f>
        <v>13</v>
      </c>
      <c r="F11" s="4">
        <f t="shared" si="0"/>
        <v>19.12</v>
      </c>
      <c r="G11" s="3">
        <f t="shared" si="1"/>
        <v>52</v>
      </c>
    </row>
    <row r="12" spans="1:7" x14ac:dyDescent="0.25">
      <c r="B12" s="7" t="s">
        <v>200</v>
      </c>
      <c r="C12" s="4">
        <f>COUNTIFS(Resp4[Vínculo],"tecnico",Resp4[4.107],B12)</f>
        <v>2</v>
      </c>
      <c r="D12" s="4">
        <f>COUNTIFS(Resp4[Vínculo],"docente",Resp4[4.107],B12)</f>
        <v>2</v>
      </c>
      <c r="E12" s="4">
        <f>COUNTIF(Resp4[4.107],B12)</f>
        <v>4</v>
      </c>
      <c r="F12" s="22">
        <f t="shared" si="0"/>
        <v>5.88</v>
      </c>
      <c r="G12" s="3">
        <f t="shared" si="1"/>
        <v>16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10.526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63.158000000000001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4108</v>
      </c>
    </row>
    <row r="2" spans="1:7" x14ac:dyDescent="0.25">
      <c r="A2" s="2" t="str">
        <f>TEXT(A1,"0.00")</f>
        <v>4.108</v>
      </c>
      <c r="B2" s="2" t="str">
        <f>VLOOKUP(A$2,Eixo4[],3,FALSE)</f>
        <v>Sobre a Avaliação Quadrienal do Programa de Pós-Graduação, opine: [Efetividade da contribuição para a melhoria da avaliação do programa]</v>
      </c>
    </row>
    <row r="3" spans="1:7" x14ac:dyDescent="0.25">
      <c r="A3" s="2" t="s">
        <v>494</v>
      </c>
      <c r="B3" s="2" t="str">
        <f>VLOOKUP(A$2,Eixo4[],4,FALSE)</f>
        <v>Eixo 4: Questão 108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COUNTIFS(Resp4[Vínculo],"tecnico",Resp4[4.108],B7)</f>
        <v>1</v>
      </c>
      <c r="D7" s="4">
        <f>COUNTIFS(Resp4[Vínculo],"docente",Resp4[4.108],B7)</f>
        <v>3</v>
      </c>
      <c r="E7" s="4">
        <f>COUNTIF(Resp4[4.108],B7)</f>
        <v>4</v>
      </c>
      <c r="F7" s="4">
        <f t="shared" ref="F7:F13" si="0">ROUND($E7/E$13*100,2)</f>
        <v>5.88</v>
      </c>
      <c r="G7" s="3">
        <f t="shared" ref="G7:G12" si="1">ROUND($E7/SUM($E$7:$E$12)*100,3)</f>
        <v>16</v>
      </c>
    </row>
    <row r="8" spans="1:7" x14ac:dyDescent="0.25">
      <c r="B8" s="2" t="s">
        <v>206</v>
      </c>
      <c r="C8" s="4">
        <f>COUNTIFS(Resp4[Vínculo],"tecnico",Resp4[4.108],B8)</f>
        <v>0</v>
      </c>
      <c r="D8" s="4">
        <f>COUNTIFS(Resp4[Vínculo],"docente",Resp4[4.108],B8)</f>
        <v>0</v>
      </c>
      <c r="E8" s="4">
        <f>COUNTIF(Resp4[4.108],B8)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COUNTIFS(Resp4[Vínculo],"tecnico",Resp4[4.108],B9)</f>
        <v>0</v>
      </c>
      <c r="D9" s="4">
        <f>COUNTIFS(Resp4[Vínculo],"docente",Resp4[4.108],B9)</f>
        <v>2</v>
      </c>
      <c r="E9" s="4">
        <f>COUNTIF(Resp4[4.108],B9)</f>
        <v>2</v>
      </c>
      <c r="F9" s="4">
        <f t="shared" si="0"/>
        <v>2.94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COUNTIFS(Resp4[Vínculo],"tecnico",Resp4[4.108],B10)</f>
        <v>0</v>
      </c>
      <c r="D10" s="4">
        <f>COUNTIFS(Resp4[Vínculo],"docente",Resp4[4.108],B10)</f>
        <v>2</v>
      </c>
      <c r="E10" s="4">
        <f>COUNTIF(Resp4[4.108],B10)</f>
        <v>2</v>
      </c>
      <c r="F10" s="4">
        <f t="shared" si="0"/>
        <v>2.94</v>
      </c>
      <c r="G10" s="3">
        <f t="shared" si="1"/>
        <v>8</v>
      </c>
    </row>
    <row r="11" spans="1:7" x14ac:dyDescent="0.25">
      <c r="B11" s="2" t="s">
        <v>199</v>
      </c>
      <c r="C11" s="4">
        <f>COUNTIFS(Resp4[Vínculo],"tecnico",Resp4[4.108],B11)</f>
        <v>3</v>
      </c>
      <c r="D11" s="4">
        <f>COUNTIFS(Resp4[Vínculo],"docente",Resp4[4.108],B11)</f>
        <v>10</v>
      </c>
      <c r="E11" s="4">
        <f>COUNTIF(Resp4[4.108],B11)</f>
        <v>13</v>
      </c>
      <c r="F11" s="4">
        <f t="shared" si="0"/>
        <v>19.12</v>
      </c>
      <c r="G11" s="3">
        <f t="shared" si="1"/>
        <v>52</v>
      </c>
    </row>
    <row r="12" spans="1:7" x14ac:dyDescent="0.25">
      <c r="B12" s="7" t="s">
        <v>200</v>
      </c>
      <c r="C12" s="4">
        <f>COUNTIFS(Resp4[Vínculo],"tecnico",Resp4[4.108],B12)</f>
        <v>2</v>
      </c>
      <c r="D12" s="4">
        <f>COUNTIFS(Resp4[Vínculo],"docente",Resp4[4.108],B12)</f>
        <v>2</v>
      </c>
      <c r="E12" s="4">
        <f>COUNTIF(Resp4[4.108],B12)</f>
        <v>4</v>
      </c>
      <c r="F12" s="22">
        <f t="shared" si="0"/>
        <v>5.88</v>
      </c>
      <c r="G12" s="3">
        <f t="shared" si="1"/>
        <v>16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10.526</v>
      </c>
    </row>
    <row r="26" spans="2:7" x14ac:dyDescent="0.25">
      <c r="B26" s="16" t="s">
        <v>201</v>
      </c>
      <c r="C26" s="16" t="s">
        <v>23</v>
      </c>
      <c r="D26" s="14">
        <f>D7</f>
        <v>3</v>
      </c>
      <c r="E26" s="15">
        <f>ROUND(D26/SUM(D$25:D$28)*100,3)</f>
        <v>15.789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63.158000000000001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42578125" style="2" customWidth="1"/>
    <col min="3" max="3" width="22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4109</v>
      </c>
    </row>
    <row r="2" spans="1:7" x14ac:dyDescent="0.25">
      <c r="A2" s="2" t="str">
        <f>TEXT(A1,"0.00")</f>
        <v>4.109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[Construção do planejamento do Programa (diagnóstico, discussão e participação dos diversos atores)]</v>
      </c>
    </row>
    <row r="3" spans="1:7" x14ac:dyDescent="0.25">
      <c r="A3" s="2" t="s">
        <v>494</v>
      </c>
      <c r="B3" s="2" t="str">
        <f>VLOOKUP(A$2,Eixo4[],4,FALSE)</f>
        <v>Eixo 4: Questão 109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16</v>
      </c>
      <c r="E6" s="4">
        <f>E13-SUM(E7:E12)</f>
        <v>44</v>
      </c>
      <c r="F6" s="4">
        <f>ROUND($E6/E$13*100,2)</f>
        <v>64.709999999999994</v>
      </c>
    </row>
    <row r="7" spans="1:7" x14ac:dyDescent="0.25">
      <c r="B7" s="2" t="s">
        <v>201</v>
      </c>
      <c r="C7" s="4">
        <f>COUNTIFS(Resp4[Vínculo],"tecnico",Resp4[4.109],B7)</f>
        <v>2</v>
      </c>
      <c r="D7" s="4">
        <f>COUNTIFS(Resp4[Vínculo],"docente",Resp4[4.109],B7)</f>
        <v>5</v>
      </c>
      <c r="E7" s="4">
        <f>COUNTIF(Resp4[4.109],B7)</f>
        <v>7</v>
      </c>
      <c r="F7" s="4">
        <f t="shared" ref="F7:F13" si="0">ROUND($E7/E$13*100,2)</f>
        <v>10.29</v>
      </c>
      <c r="G7" s="3">
        <f t="shared" ref="G7:G12" si="1">ROUND($E7/SUM($E$7:$E$12)*100,3)</f>
        <v>29.167000000000002</v>
      </c>
    </row>
    <row r="8" spans="1:7" x14ac:dyDescent="0.25">
      <c r="B8" s="2" t="s">
        <v>206</v>
      </c>
      <c r="C8" s="4">
        <f>COUNTIFS(Resp4[Vínculo],"tecnico",Resp4[4.109],B8)</f>
        <v>0</v>
      </c>
      <c r="D8" s="4">
        <f>COUNTIFS(Resp4[Vínculo],"docente",Resp4[4.109],B8)</f>
        <v>0</v>
      </c>
      <c r="E8" s="4">
        <f>COUNTIF(Resp4[4.109],B8)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COUNTIFS(Resp4[Vínculo],"tecnico",Resp4[4.109],B9)</f>
        <v>0</v>
      </c>
      <c r="D9" s="4">
        <f>COUNTIFS(Resp4[Vínculo],"docente",Resp4[4.109],B9)</f>
        <v>0</v>
      </c>
      <c r="E9" s="4">
        <f>COUNTIF(Resp4[4.109],B9)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COUNTIFS(Resp4[Vínculo],"tecnico",Resp4[4.109],B10)</f>
        <v>2</v>
      </c>
      <c r="D10" s="4">
        <f>COUNTIFS(Resp4[Vínculo],"docente",Resp4[4.109],B10)</f>
        <v>2</v>
      </c>
      <c r="E10" s="4">
        <f>COUNTIF(Resp4[4.109],B10)</f>
        <v>4</v>
      </c>
      <c r="F10" s="4">
        <f t="shared" si="0"/>
        <v>5.88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COUNTIFS(Resp4[Vínculo],"tecnico",Resp4[4.109],B11)</f>
        <v>1</v>
      </c>
      <c r="D11" s="4">
        <f>COUNTIFS(Resp4[Vínculo],"docente",Resp4[4.109],B11)</f>
        <v>7</v>
      </c>
      <c r="E11" s="4">
        <f>COUNTIF(Resp4[4.109],B11)</f>
        <v>8</v>
      </c>
      <c r="F11" s="4">
        <f t="shared" si="0"/>
        <v>11.76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COUNTIFS(Resp4[Vínculo],"tecnico",Resp4[4.109],B12)</f>
        <v>1</v>
      </c>
      <c r="D12" s="4">
        <f>COUNTIFS(Resp4[Vínculo],"docente",Resp4[4.109],B12)</f>
        <v>4</v>
      </c>
      <c r="E12" s="4">
        <f>COUNTIF(Resp4[4.109],B12)</f>
        <v>5</v>
      </c>
      <c r="F12" s="22">
        <f t="shared" si="0"/>
        <v>7.35</v>
      </c>
      <c r="G12" s="3">
        <f t="shared" si="1"/>
        <v>20.832999999999998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27.777999999999999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61.110999999999997</v>
      </c>
    </row>
  </sheetData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2851562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4110</v>
      </c>
    </row>
    <row r="2" spans="1:7" x14ac:dyDescent="0.25">
      <c r="A2" s="2" t="str">
        <f>TEXT(A1,"0.00")</f>
        <v>4.110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[Autoavaliação (criação da comissão, definição do planejamento, incluindo métodos, critérios, práticas, etapas, sensibilização e uso dos resultados na gestão do programa)]</v>
      </c>
    </row>
    <row r="3" spans="1:7" x14ac:dyDescent="0.25">
      <c r="A3" s="2" t="s">
        <v>494</v>
      </c>
      <c r="B3" s="2" t="str">
        <f>VLOOKUP(A$2,Eixo4[],4,FALSE)</f>
        <v>Eixo 4: Questão 110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16</v>
      </c>
      <c r="E6" s="4">
        <f>E13-SUM(E7:E12)</f>
        <v>44</v>
      </c>
      <c r="F6" s="4">
        <f>ROUND($E6/E$13*100,2)</f>
        <v>64.709999999999994</v>
      </c>
    </row>
    <row r="7" spans="1:7" x14ac:dyDescent="0.25">
      <c r="B7" s="2" t="s">
        <v>201</v>
      </c>
      <c r="C7" s="4">
        <f>COUNTIFS(Resp4[Vínculo],"tecnico",Resp4[4.110],B7)</f>
        <v>2</v>
      </c>
      <c r="D7" s="4">
        <f>COUNTIFS(Resp4[Vínculo],"docente",Resp4[4.110],B7)</f>
        <v>5</v>
      </c>
      <c r="E7" s="4">
        <f>COUNTIF(Resp4[4.110],B7)</f>
        <v>7</v>
      </c>
      <c r="F7" s="4">
        <f t="shared" ref="F7:F13" si="0">ROUND($E7/E$13*100,2)</f>
        <v>10.29</v>
      </c>
      <c r="G7" s="3">
        <f t="shared" ref="G7:G12" si="1">ROUND($E7/SUM($E$7:$E$12)*100,3)</f>
        <v>29.167000000000002</v>
      </c>
    </row>
    <row r="8" spans="1:7" x14ac:dyDescent="0.25">
      <c r="B8" s="2" t="s">
        <v>206</v>
      </c>
      <c r="C8" s="4">
        <f>COUNTIFS(Resp4[Vínculo],"tecnico",Resp4[4.110],B8)</f>
        <v>0</v>
      </c>
      <c r="D8" s="4">
        <f>COUNTIFS(Resp4[Vínculo],"docente",Resp4[4.110],B8)</f>
        <v>0</v>
      </c>
      <c r="E8" s="4">
        <f>COUNTIF(Resp4[4.110],B8)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COUNTIFS(Resp4[Vínculo],"tecnico",Resp4[4.110],B9)</f>
        <v>0</v>
      </c>
      <c r="D9" s="4">
        <f>COUNTIFS(Resp4[Vínculo],"docente",Resp4[4.110],B9)</f>
        <v>1</v>
      </c>
      <c r="E9" s="4">
        <f>COUNTIF(Resp4[4.110],B9)</f>
        <v>1</v>
      </c>
      <c r="F9" s="4">
        <f t="shared" si="0"/>
        <v>1.47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COUNTIFS(Resp4[Vínculo],"tecnico",Resp4[4.110],B10)</f>
        <v>0</v>
      </c>
      <c r="D10" s="4">
        <f>COUNTIFS(Resp4[Vínculo],"docente",Resp4[4.110],B10)</f>
        <v>3</v>
      </c>
      <c r="E10" s="4">
        <f>COUNTIF(Resp4[4.110],B10)</f>
        <v>3</v>
      </c>
      <c r="F10" s="4">
        <f t="shared" si="0"/>
        <v>4.41</v>
      </c>
      <c r="G10" s="3">
        <f t="shared" si="1"/>
        <v>12.5</v>
      </c>
    </row>
    <row r="11" spans="1:7" x14ac:dyDescent="0.25">
      <c r="B11" s="2" t="s">
        <v>199</v>
      </c>
      <c r="C11" s="4">
        <f>COUNTIFS(Resp4[Vínculo],"tecnico",Resp4[4.110],B11)</f>
        <v>2</v>
      </c>
      <c r="D11" s="4">
        <f>COUNTIFS(Resp4[Vínculo],"docente",Resp4[4.110],B11)</f>
        <v>8</v>
      </c>
      <c r="E11" s="4">
        <f>COUNTIF(Resp4[4.110],B11)</f>
        <v>10</v>
      </c>
      <c r="F11" s="4">
        <f t="shared" si="0"/>
        <v>14.71</v>
      </c>
      <c r="G11" s="3">
        <f t="shared" si="1"/>
        <v>41.667000000000002</v>
      </c>
    </row>
    <row r="12" spans="1:7" x14ac:dyDescent="0.25">
      <c r="B12" s="7" t="s">
        <v>200</v>
      </c>
      <c r="C12" s="4">
        <f>COUNTIFS(Resp4[Vínculo],"tecnico",Resp4[4.110],B12)</f>
        <v>2</v>
      </c>
      <c r="D12" s="4">
        <f>COUNTIFS(Resp4[Vínculo],"docente",Resp4[4.110],B12)</f>
        <v>1</v>
      </c>
      <c r="E12" s="4">
        <f>COUNTIF(Resp4[4.110],B12)</f>
        <v>3</v>
      </c>
      <c r="F12" s="22">
        <f t="shared" si="0"/>
        <v>4.41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27.777999999999999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2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4111</v>
      </c>
    </row>
    <row r="2" spans="1:7" x14ac:dyDescent="0.25">
      <c r="A2" s="2" t="str">
        <f>TEXT(A1,"0.00")</f>
        <v>4.111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[Aplicação da abordagem multidimensional em relação ao levantamento das condições de qualidade dos programas de pós-graduação]</v>
      </c>
    </row>
    <row r="3" spans="1:7" x14ac:dyDescent="0.25">
      <c r="A3" s="2" t="s">
        <v>494</v>
      </c>
      <c r="B3" s="2" t="str">
        <f>VLOOKUP(A$2,Eixo4[],4,FALSE)</f>
        <v>Eixo 4: Questão 111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16</v>
      </c>
      <c r="E6" s="4">
        <f>E13-SUM(E7:E12)</f>
        <v>44</v>
      </c>
      <c r="F6" s="4">
        <f>ROUND($E6/E$13*100,2)</f>
        <v>64.709999999999994</v>
      </c>
    </row>
    <row r="7" spans="1:7" x14ac:dyDescent="0.25">
      <c r="B7" s="2" t="s">
        <v>201</v>
      </c>
      <c r="C7" s="4">
        <f>COUNTIFS(Resp4[Vínculo],"tecnico",Resp4[4.111],B7)</f>
        <v>2</v>
      </c>
      <c r="D7" s="4">
        <f>COUNTIFS(Resp4[Vínculo],"docente",Resp4[4.111],B7)</f>
        <v>7</v>
      </c>
      <c r="E7" s="4">
        <f>COUNTIF(Resp4[4.111],B7)</f>
        <v>9</v>
      </c>
      <c r="F7" s="4">
        <f t="shared" ref="F7:F13" si="0">ROUND($E7/E$13*100,2)</f>
        <v>13.24</v>
      </c>
      <c r="G7" s="3">
        <f t="shared" ref="G7:G12" si="1">ROUND($E7/SUM($E$7:$E$12)*100,3)</f>
        <v>37.5</v>
      </c>
    </row>
    <row r="8" spans="1:7" x14ac:dyDescent="0.25">
      <c r="B8" s="2" t="s">
        <v>206</v>
      </c>
      <c r="C8" s="4">
        <f>COUNTIFS(Resp4[Vínculo],"tecnico",Resp4[4.111],B8)</f>
        <v>0</v>
      </c>
      <c r="D8" s="4">
        <f>COUNTIFS(Resp4[Vínculo],"docente",Resp4[4.111],B8)</f>
        <v>0</v>
      </c>
      <c r="E8" s="4">
        <f>COUNTIF(Resp4[4.111],B8)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COUNTIFS(Resp4[Vínculo],"tecnico",Resp4[4.111],B9)</f>
        <v>0</v>
      </c>
      <c r="D9" s="4">
        <f>COUNTIFS(Resp4[Vínculo],"docente",Resp4[4.111],B9)</f>
        <v>0</v>
      </c>
      <c r="E9" s="4">
        <f>COUNTIF(Resp4[4.111],B9)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COUNTIFS(Resp4[Vínculo],"tecnico",Resp4[4.111],B10)</f>
        <v>0</v>
      </c>
      <c r="D10" s="4">
        <f>COUNTIFS(Resp4[Vínculo],"docente",Resp4[4.111],B10)</f>
        <v>2</v>
      </c>
      <c r="E10" s="4">
        <f>COUNTIF(Resp4[4.111],B10)</f>
        <v>2</v>
      </c>
      <c r="F10" s="4">
        <f t="shared" si="0"/>
        <v>2.94</v>
      </c>
      <c r="G10" s="3">
        <f t="shared" si="1"/>
        <v>8.3330000000000002</v>
      </c>
    </row>
    <row r="11" spans="1:7" x14ac:dyDescent="0.25">
      <c r="B11" s="2" t="s">
        <v>199</v>
      </c>
      <c r="C11" s="4">
        <f>COUNTIFS(Resp4[Vínculo],"tecnico",Resp4[4.111],B11)</f>
        <v>2</v>
      </c>
      <c r="D11" s="4">
        <f>COUNTIFS(Resp4[Vínculo],"docente",Resp4[4.111],B11)</f>
        <v>7</v>
      </c>
      <c r="E11" s="4">
        <f>COUNTIF(Resp4[4.111],B11)</f>
        <v>9</v>
      </c>
      <c r="F11" s="4">
        <f t="shared" si="0"/>
        <v>13.24</v>
      </c>
      <c r="G11" s="3">
        <f t="shared" si="1"/>
        <v>37.5</v>
      </c>
    </row>
    <row r="12" spans="1:7" x14ac:dyDescent="0.25">
      <c r="B12" s="7" t="s">
        <v>200</v>
      </c>
      <c r="C12" s="4">
        <f>COUNTIFS(Resp4[Vínculo],"tecnico",Resp4[4.111],B12)</f>
        <v>2</v>
      </c>
      <c r="D12" s="4">
        <f>COUNTIFS(Resp4[Vínculo],"docente",Resp4[4.111],B12)</f>
        <v>2</v>
      </c>
      <c r="E12" s="4">
        <f>COUNTIF(Resp4[4.111],B12)</f>
        <v>4</v>
      </c>
      <c r="F12" s="22">
        <f t="shared" si="0"/>
        <v>5.88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7</v>
      </c>
      <c r="E26" s="15">
        <f>ROUND(D26/SUM(D$25:D$28)*100,3)</f>
        <v>38.889000000000003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21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4112</v>
      </c>
    </row>
    <row r="2" spans="1:7" x14ac:dyDescent="0.25">
      <c r="A2" s="2" t="str">
        <f>TEXT(A1,"0.00")</f>
        <v>4.112</v>
      </c>
      <c r="B2" s="2" t="str">
        <f>VLOOKUP(A$2,Eixo4[],3,FALSE)</f>
        <v>Tendo em vista as Novas Diretrizes de Avaliação dos Programas de Pós-Graduação definidas pela CAPES, avalie os itens seguintes. Considere a organização e adequação das diretrizes com o(s) programa(s) ao(s) quais você está vinculado/a [Integração entre a Autoavaliação do programa de pós-graduação e os processos de Autoavaliação Institucional conduzidos pela CPA em parceria com a PRPPG]</v>
      </c>
    </row>
    <row r="3" spans="1:7" x14ac:dyDescent="0.25">
      <c r="A3" s="2" t="s">
        <v>494</v>
      </c>
      <c r="B3" s="2" t="str">
        <f>VLOOKUP(A$2,Eixo4[],4,FALSE)</f>
        <v>Eixo 4: Questão 112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16</v>
      </c>
      <c r="E6" s="4">
        <f>E13-SUM(E7:E12)</f>
        <v>44</v>
      </c>
      <c r="F6" s="3">
        <f>ROUND($E6/E$13*100,2)</f>
        <v>64.709999999999994</v>
      </c>
    </row>
    <row r="7" spans="1:7" x14ac:dyDescent="0.25">
      <c r="B7" s="2" t="s">
        <v>201</v>
      </c>
      <c r="C7" s="4">
        <f>COUNTIFS(Resp4[Vínculo],"tecnico",Resp4[4.112],B7)</f>
        <v>2</v>
      </c>
      <c r="D7" s="4">
        <f>COUNTIFS(Resp4[Vínculo],"docente",Resp4[4.112],B7)</f>
        <v>9</v>
      </c>
      <c r="E7" s="4">
        <f>COUNTIF(Resp4[4.112],B7)</f>
        <v>11</v>
      </c>
      <c r="F7" s="3">
        <f t="shared" ref="F7:F13" si="0">ROUND($E7/E$13*100,2)</f>
        <v>16.18</v>
      </c>
      <c r="G7" s="3">
        <f t="shared" ref="G7:G12" si="1">ROUND($E7/SUM($E$7:$E$12)*100,3)</f>
        <v>45.832999999999998</v>
      </c>
    </row>
    <row r="8" spans="1:7" x14ac:dyDescent="0.25">
      <c r="B8" s="2" t="s">
        <v>206</v>
      </c>
      <c r="C8" s="4">
        <f>COUNTIFS(Resp4[Vínculo],"tecnico",Resp4[4.112],B8)</f>
        <v>0</v>
      </c>
      <c r="D8" s="4">
        <f>COUNTIFS(Resp4[Vínculo],"docente",Resp4[4.112],B8)</f>
        <v>0</v>
      </c>
      <c r="E8" s="4">
        <f>COUNTIF(Resp4[4.112],B8)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COUNTIFS(Resp4[Vínculo],"tecnico",Resp4[4.112],B9)</f>
        <v>1</v>
      </c>
      <c r="D9" s="4">
        <f>COUNTIFS(Resp4[Vínculo],"docente",Resp4[4.112],B9)</f>
        <v>0</v>
      </c>
      <c r="E9" s="4">
        <f>COUNTIF(Resp4[4.112],B9)</f>
        <v>1</v>
      </c>
      <c r="F9" s="3">
        <f t="shared" si="0"/>
        <v>1.47</v>
      </c>
      <c r="G9" s="3">
        <f t="shared" si="1"/>
        <v>4.1669999999999998</v>
      </c>
    </row>
    <row r="10" spans="1:7" x14ac:dyDescent="0.25">
      <c r="B10" s="2" t="s">
        <v>30</v>
      </c>
      <c r="C10" s="4">
        <f>COUNTIFS(Resp4[Vínculo],"tecnico",Resp4[4.112],B10)</f>
        <v>1</v>
      </c>
      <c r="D10" s="4">
        <f>COUNTIFS(Resp4[Vínculo],"docente",Resp4[4.112],B10)</f>
        <v>4</v>
      </c>
      <c r="E10" s="4">
        <f>COUNTIF(Resp4[4.112],B10)</f>
        <v>5</v>
      </c>
      <c r="F10" s="3">
        <f t="shared" si="0"/>
        <v>7.35</v>
      </c>
      <c r="G10" s="3">
        <f t="shared" si="1"/>
        <v>20.832999999999998</v>
      </c>
    </row>
    <row r="11" spans="1:7" x14ac:dyDescent="0.25">
      <c r="B11" s="2" t="s">
        <v>199</v>
      </c>
      <c r="C11" s="4">
        <f>COUNTIFS(Resp4[Vínculo],"tecnico",Resp4[4.112],B11)</f>
        <v>1</v>
      </c>
      <c r="D11" s="4">
        <f>COUNTIFS(Resp4[Vínculo],"docente",Resp4[4.112],B11)</f>
        <v>3</v>
      </c>
      <c r="E11" s="4">
        <f>COUNTIF(Resp4[4.112],B11)</f>
        <v>4</v>
      </c>
      <c r="F11" s="3">
        <f t="shared" si="0"/>
        <v>5.88</v>
      </c>
      <c r="G11" s="3">
        <f t="shared" si="1"/>
        <v>16.667000000000002</v>
      </c>
    </row>
    <row r="12" spans="1:7" x14ac:dyDescent="0.25">
      <c r="B12" s="7" t="s">
        <v>200</v>
      </c>
      <c r="C12" s="4">
        <f>COUNTIFS(Resp4[Vínculo],"tecnico",Resp4[4.112],B12)</f>
        <v>1</v>
      </c>
      <c r="D12" s="4">
        <f>COUNTIFS(Resp4[Vínculo],"docente",Resp4[4.112],B12)</f>
        <v>2</v>
      </c>
      <c r="E12" s="4">
        <f>COUNTIF(Resp4[4.112],B12)</f>
        <v>3</v>
      </c>
      <c r="F12" s="24">
        <f t="shared" si="0"/>
        <v>4.41</v>
      </c>
      <c r="G12" s="3">
        <f t="shared" si="1"/>
        <v>12.5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9</v>
      </c>
      <c r="E26" s="15">
        <f>ROUND(D26/SUM(D$25:D$28)*100,3)</f>
        <v>50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22.222000000000001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27.777999999999999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5.42578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61</v>
      </c>
    </row>
    <row r="2" spans="1:7" x14ac:dyDescent="0.25">
      <c r="A2" s="2" t="str">
        <f>TEXT(A1,"0.00")</f>
        <v>4.05</v>
      </c>
      <c r="B2" s="2" t="str">
        <f>VLOOKUP(A$2,Eixo4[],3,FALSE)</f>
        <v>Com relação ao ensino da graduação, avalie: [As ações de orientação e de acompanhamento dos cursos que recebem avaliação in loco]</v>
      </c>
    </row>
    <row r="3" spans="1:7" x14ac:dyDescent="0.25">
      <c r="A3" s="2" t="s">
        <v>494</v>
      </c>
      <c r="B3" s="2" t="str">
        <f>VLOOKUP(A$2,Eixo4[],4,FALSE)</f>
        <v>Eixo 4: Questão 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COUNTIFS(Resp4[Vínculo],"tecnico",Resp4[4.05],B7)</f>
        <v>1</v>
      </c>
      <c r="D7" s="4">
        <f>COUNTIFS(Resp4[Vínculo],"docente",Resp4[4.05],B7)</f>
        <v>6</v>
      </c>
      <c r="E7" s="4">
        <f>COUNTIF(Resp4[4.05],B7)</f>
        <v>7</v>
      </c>
      <c r="F7" s="4">
        <f t="shared" ref="F7:F13" si="0">ROUND($E7/E$13*100,2)</f>
        <v>10.29</v>
      </c>
      <c r="G7" s="3">
        <f t="shared" ref="G7:G12" si="1">ROUND($E7/SUM($E$7:$E$12)*100,3)</f>
        <v>23.332999999999998</v>
      </c>
    </row>
    <row r="8" spans="1:7" x14ac:dyDescent="0.25">
      <c r="B8" s="2" t="s">
        <v>206</v>
      </c>
      <c r="C8" s="4">
        <f>COUNTIFS(Resp4[Vínculo],"tecnico",Resp4[4.02],B$8)</f>
        <v>0</v>
      </c>
      <c r="D8" s="4">
        <f>COUNTIFS(Resp4[Vínculo],"docente",Resp4[4.05],B8)</f>
        <v>2</v>
      </c>
      <c r="E8" s="4">
        <f>COUNTIF(Resp4[4.05],B8)</f>
        <v>3</v>
      </c>
      <c r="F8" s="4">
        <f t="shared" si="0"/>
        <v>4.41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COUNTIFS(Resp4[Vínculo],"tecnico",Resp4[4.02],B$9)</f>
        <v>1</v>
      </c>
      <c r="D9" s="4">
        <f>COUNTIFS(Resp4[Vínculo],"docente",Resp4[4.05],B9)</f>
        <v>1</v>
      </c>
      <c r="E9" s="4">
        <f>COUNTIF(Resp4[4.05],B9)</f>
        <v>1</v>
      </c>
      <c r="F9" s="4">
        <f t="shared" si="0"/>
        <v>1.47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COUNTIFS(Resp4[Vínculo],"docente",Resp4[4.05],B10)</f>
        <v>4</v>
      </c>
      <c r="E10" s="4">
        <f>COUNTIF(Resp4[4.05],B10)</f>
        <v>4</v>
      </c>
      <c r="F10" s="4">
        <f t="shared" si="0"/>
        <v>5.88</v>
      </c>
      <c r="G10" s="3">
        <f t="shared" si="1"/>
        <v>13.333</v>
      </c>
    </row>
    <row r="11" spans="1:7" x14ac:dyDescent="0.25">
      <c r="B11" s="2" t="s">
        <v>199</v>
      </c>
      <c r="C11" s="4">
        <f>COUNTIFS(Resp4[Vínculo],"tecnico",Resp4[4.02],B$11)</f>
        <v>2</v>
      </c>
      <c r="D11" s="4">
        <f>COUNTIFS(Resp4[Vínculo],"docente",Resp4[4.05],B11)</f>
        <v>10</v>
      </c>
      <c r="E11" s="4">
        <f>COUNTIF(Resp4[4.05],B11)</f>
        <v>11</v>
      </c>
      <c r="F11" s="4">
        <f t="shared" si="0"/>
        <v>16.18</v>
      </c>
      <c r="G11" s="3">
        <f t="shared" si="1"/>
        <v>36.667000000000002</v>
      </c>
    </row>
    <row r="12" spans="1:7" x14ac:dyDescent="0.25">
      <c r="B12" s="7" t="s">
        <v>200</v>
      </c>
      <c r="C12" s="4">
        <f>COUNTIFS(Resp4[Vínculo],"tecnico",Resp4[4.02],B$12)</f>
        <v>2</v>
      </c>
      <c r="D12" s="4">
        <f>COUNTIFS(Resp4[Vínculo],"docente",Resp4[4.05],B12)</f>
        <v>2</v>
      </c>
      <c r="E12" s="4">
        <f>COUNTIF(Resp4[4.05],B12)</f>
        <v>4</v>
      </c>
      <c r="F12" s="22">
        <f t="shared" si="0"/>
        <v>5.88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24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16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48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8" sqref="F8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4114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4.114</v>
      </c>
      <c r="B2" s="2" t="str">
        <f>VLOOKUP(A$2, Eixo4[], 3, FALSE)</f>
        <v>Por favor, escolha Sim se deseja contribuir com a avaliação da pós-graduação lato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114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COUNTIFS(Resp4[Vínculo],"tecnico",Resp4[4.114],B7)</f>
        <v>2</v>
      </c>
      <c r="D7" s="4">
        <f>COUNTIFS(Resp4[Vínculo],"docente",Resp4[4.114],B7)</f>
        <v>4</v>
      </c>
      <c r="E7" s="2">
        <f>COUNTIF(Resp4[4.114],B7)</f>
        <v>6</v>
      </c>
      <c r="F7" s="15">
        <f t="shared" ref="F7:F9" si="0">ROUND($E7/E$9*100,2)</f>
        <v>8.82</v>
      </c>
      <c r="G7" s="4">
        <f>ROUND($E7/SUM($E$7:$E$8)*100,2)</f>
        <v>8.82</v>
      </c>
      <c r="H7" s="2"/>
    </row>
    <row r="8" spans="1:8" x14ac:dyDescent="0.25">
      <c r="A8" s="2"/>
      <c r="B8" s="2" t="s">
        <v>194</v>
      </c>
      <c r="C8" s="4">
        <f>COUNTIFS(Resp4[Vínculo],"tecnico",Resp4[4.114],B8)</f>
        <v>32</v>
      </c>
      <c r="D8" s="4">
        <f>COUNTIFS(Resp4[Vínculo],"docente",Resp4[4.114],B8)</f>
        <v>30</v>
      </c>
      <c r="E8" s="2">
        <f>COUNTIF(Resp4[4.114],B8)</f>
        <v>62</v>
      </c>
      <c r="F8" s="19">
        <f t="shared" si="0"/>
        <v>91.18</v>
      </c>
      <c r="G8" s="4">
        <f>ROUND($E8/SUM($E$7:$E$8)*100,2)</f>
        <v>91.18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4115</v>
      </c>
    </row>
    <row r="2" spans="1:7" x14ac:dyDescent="0.25">
      <c r="A2" s="2" t="str">
        <f>TEXT(A1,"0.00")</f>
        <v>4.115</v>
      </c>
      <c r="B2" s="2" t="str">
        <f>VLOOKUP(A$2,Eixo4[],3,FALSE)</f>
        <v>Considerando as políticas para a pós-graduação lato sensu, avalie as ações institucionais de: [Criação, ampliação e manutenção]</v>
      </c>
    </row>
    <row r="3" spans="1:7" x14ac:dyDescent="0.25">
      <c r="A3" s="2" t="s">
        <v>494</v>
      </c>
      <c r="B3" s="2" t="str">
        <f>VLOOKUP(A$2,Eixo4[],4,FALSE)</f>
        <v>Eixo 4: Questão 115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COUNTIFS(Resp4[Vínculo],"tecnico",Resp4[4.115],B7)</f>
        <v>0</v>
      </c>
      <c r="D7" s="4">
        <f>COUNTIFS(Resp4[Vínculo],"docente",Resp4[4.115],B7)</f>
        <v>0</v>
      </c>
      <c r="E7" s="4">
        <f>COUNTIF(Resp4[4.115],B7)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COUNTIFS(Resp4[Vínculo],"tecnico",Resp4[4.115],B8)</f>
        <v>0</v>
      </c>
      <c r="D8" s="4">
        <f>COUNTIFS(Resp4[Vínculo],"docente",Resp4[4.115],B8)</f>
        <v>0</v>
      </c>
      <c r="E8" s="4">
        <f>COUNTIF(Resp4[4.115],B8)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COUNTIFS(Resp4[Vínculo],"tecnico",Resp4[4.115],B9)</f>
        <v>0</v>
      </c>
      <c r="D9" s="4">
        <f>COUNTIFS(Resp4[Vínculo],"docente",Resp4[4.115],B9)</f>
        <v>0</v>
      </c>
      <c r="E9" s="4">
        <f>COUNTIF(Resp4[4.115],B9)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COUNTIFS(Resp4[Vínculo],"tecnico",Resp4[4.115],B10)</f>
        <v>1</v>
      </c>
      <c r="D10" s="4">
        <f>COUNTIFS(Resp4[Vínculo],"docente",Resp4[4.115],B10)</f>
        <v>1</v>
      </c>
      <c r="E10" s="4">
        <f>COUNTIF(Resp4[4.115],B10)</f>
        <v>2</v>
      </c>
      <c r="F10" s="3">
        <f t="shared" si="0"/>
        <v>2.94</v>
      </c>
      <c r="G10" s="3">
        <f t="shared" si="1"/>
        <v>33.332999999999998</v>
      </c>
    </row>
    <row r="11" spans="1:7" x14ac:dyDescent="0.25">
      <c r="B11" s="2" t="s">
        <v>199</v>
      </c>
      <c r="C11" s="4">
        <f>COUNTIFS(Resp4[Vínculo],"tecnico",Resp4[4.115],B11)</f>
        <v>0</v>
      </c>
      <c r="D11" s="4">
        <f>COUNTIFS(Resp4[Vínculo],"docente",Resp4[4.115],B11)</f>
        <v>2</v>
      </c>
      <c r="E11" s="4">
        <f>COUNTIF(Resp4[4.115],B11)</f>
        <v>2</v>
      </c>
      <c r="F11" s="3">
        <f t="shared" si="0"/>
        <v>2.94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COUNTIFS(Resp4[Vínculo],"tecnico",Resp4[4.115],B12)</f>
        <v>1</v>
      </c>
      <c r="D12" s="4">
        <f>COUNTIFS(Resp4[Vínculo],"docente",Resp4[4.115],B12)</f>
        <v>1</v>
      </c>
      <c r="E12" s="4">
        <f>COUNTIF(Resp4[4.115],B12)</f>
        <v>2</v>
      </c>
      <c r="F12" s="24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42578125" style="2" customWidth="1"/>
    <col min="3" max="3" width="25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4116</v>
      </c>
    </row>
    <row r="2" spans="1:7" x14ac:dyDescent="0.25">
      <c r="A2" s="2" t="str">
        <f>TEXT(A1,"0.00")</f>
        <v>4.116</v>
      </c>
      <c r="B2" s="2" t="str">
        <f>VLOOKUP(A$2,Eixo4[],3,FALSE)</f>
        <v>Considerando as políticas para a pós-graduação lato sensu, avalie as ações institucionais de: [Melhoria da qualidade]</v>
      </c>
    </row>
    <row r="3" spans="1:7" x14ac:dyDescent="0.25">
      <c r="A3" s="2" t="s">
        <v>494</v>
      </c>
      <c r="B3" s="2" t="str">
        <f>VLOOKUP(A$2,Eixo4[],4,FALSE)</f>
        <v>Eixo 4: Questão 116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COUNTIFS(Resp4[Vínculo],"tecnico",Resp4[4.116],B7)</f>
        <v>0</v>
      </c>
      <c r="D7" s="4">
        <f>COUNTIFS(Resp4[Vínculo],"docente",Resp4[4.116],B7)</f>
        <v>0</v>
      </c>
      <c r="E7" s="4">
        <f>COUNTIF(Resp4[4.116],B7)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COUNTIFS(Resp4[Vínculo],"tecnico",Resp4[4.116],B8)</f>
        <v>0</v>
      </c>
      <c r="D8" s="4">
        <f>COUNTIFS(Resp4[Vínculo],"docente",Resp4[4.116],B8)</f>
        <v>0</v>
      </c>
      <c r="E8" s="4">
        <f>COUNTIF(Resp4[4.116],B8)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COUNTIFS(Resp4[Vínculo],"tecnico",Resp4[4.116],B9)</f>
        <v>0</v>
      </c>
      <c r="D9" s="4">
        <f>COUNTIFS(Resp4[Vínculo],"docente",Resp4[4.116],B9)</f>
        <v>0</v>
      </c>
      <c r="E9" s="4">
        <f>COUNTIF(Resp4[4.116],B9)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COUNTIFS(Resp4[Vínculo],"tecnico",Resp4[4.116],B10)</f>
        <v>1</v>
      </c>
      <c r="D10" s="4">
        <f>COUNTIFS(Resp4[Vínculo],"docente",Resp4[4.116],B10)</f>
        <v>1</v>
      </c>
      <c r="E10" s="4">
        <f>COUNTIF(Resp4[4.116],B10)</f>
        <v>2</v>
      </c>
      <c r="F10" s="3">
        <f t="shared" si="0"/>
        <v>2.94</v>
      </c>
      <c r="G10" s="3">
        <f t="shared" si="1"/>
        <v>33.332999999999998</v>
      </c>
    </row>
    <row r="11" spans="1:7" x14ac:dyDescent="0.25">
      <c r="B11" s="2" t="s">
        <v>199</v>
      </c>
      <c r="C11" s="4">
        <f>COUNTIFS(Resp4[Vínculo],"tecnico",Resp4[4.116],B11)</f>
        <v>0</v>
      </c>
      <c r="D11" s="4">
        <f>COUNTIFS(Resp4[Vínculo],"docente",Resp4[4.116],B11)</f>
        <v>2</v>
      </c>
      <c r="E11" s="4">
        <f>COUNTIF(Resp4[4.116],B11)</f>
        <v>2</v>
      </c>
      <c r="F11" s="3">
        <f t="shared" si="0"/>
        <v>2.94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COUNTIFS(Resp4[Vínculo],"tecnico",Resp4[4.116],B12)</f>
        <v>1</v>
      </c>
      <c r="D12" s="4">
        <f>COUNTIFS(Resp4[Vínculo],"docente",Resp4[4.116],B12)</f>
        <v>1</v>
      </c>
      <c r="E12" s="4">
        <f>COUNTIF(Resp4[4.116],B12)</f>
        <v>2</v>
      </c>
      <c r="F12" s="24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50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" style="2" customWidth="1"/>
    <col min="3" max="3" width="3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4117</v>
      </c>
    </row>
    <row r="2" spans="1:7" x14ac:dyDescent="0.25">
      <c r="A2" s="2" t="str">
        <f>TEXT(A1,"0.00")</f>
        <v>4.117</v>
      </c>
      <c r="B2" s="2" t="str">
        <f>VLOOKUP(A$2,Eixo4[],3,FALSE)</f>
        <v>Considerando as políticas para a pós-graduação lato sensu, avalie as ações institucionais de: [Acompanhamento de ocupação e evasão]</v>
      </c>
    </row>
    <row r="3" spans="1:7" x14ac:dyDescent="0.25">
      <c r="A3" s="2" t="s">
        <v>494</v>
      </c>
      <c r="B3" s="2" t="str">
        <f>VLOOKUP(A$2,Eixo4[],4,FALSE)</f>
        <v>Eixo 4: Questão 117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COUNTIFS(Resp4[Vínculo],"tecnico",Resp4[4.117],B7)</f>
        <v>0</v>
      </c>
      <c r="D7" s="4">
        <f>COUNTIFS(Resp4[Vínculo],"docente",Resp4[4.117],B7)</f>
        <v>0</v>
      </c>
      <c r="E7" s="4">
        <f>COUNTIF(Resp4[4.117],B7)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COUNTIFS(Resp4[Vínculo],"tecnico",Resp4[4.117],B8)</f>
        <v>0</v>
      </c>
      <c r="D8" s="4">
        <f>COUNTIFS(Resp4[Vínculo],"docente",Resp4[4.117],B8)</f>
        <v>0</v>
      </c>
      <c r="E8" s="4">
        <f>COUNTIF(Resp4[4.117],B8)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COUNTIFS(Resp4[Vínculo],"tecnico",Resp4[4.117],B9)</f>
        <v>1</v>
      </c>
      <c r="D9" s="4">
        <f>COUNTIFS(Resp4[Vínculo],"docente",Resp4[4.117],B9)</f>
        <v>1</v>
      </c>
      <c r="E9" s="4">
        <f>COUNTIF(Resp4[4.117],B9)</f>
        <v>2</v>
      </c>
      <c r="F9" s="3">
        <f t="shared" si="0"/>
        <v>2.94</v>
      </c>
      <c r="G9" s="3">
        <f t="shared" si="1"/>
        <v>33.332999999999998</v>
      </c>
    </row>
    <row r="10" spans="1:7" x14ac:dyDescent="0.25">
      <c r="B10" s="2" t="s">
        <v>30</v>
      </c>
      <c r="C10" s="4">
        <f>COUNTIFS(Resp4[Vínculo],"tecnico",Resp4[4.117],B10)</f>
        <v>0</v>
      </c>
      <c r="D10" s="4">
        <f>COUNTIFS(Resp4[Vínculo],"docente",Resp4[4.117],B10)</f>
        <v>2</v>
      </c>
      <c r="E10" s="4">
        <f>COUNTIF(Resp4[4.117],B10)</f>
        <v>2</v>
      </c>
      <c r="F10" s="3">
        <f t="shared" si="0"/>
        <v>2.94</v>
      </c>
      <c r="G10" s="3">
        <f t="shared" si="1"/>
        <v>33.332999999999998</v>
      </c>
    </row>
    <row r="11" spans="1:7" x14ac:dyDescent="0.25">
      <c r="B11" s="2" t="s">
        <v>199</v>
      </c>
      <c r="C11" s="4">
        <f>COUNTIFS(Resp4[Vínculo],"tecnico",Resp4[4.117],B11)</f>
        <v>0</v>
      </c>
      <c r="D11" s="4">
        <f>COUNTIFS(Resp4[Vínculo],"docente",Resp4[4.117],B11)</f>
        <v>1</v>
      </c>
      <c r="E11" s="4">
        <f>COUNTIF(Resp4[4.117],B11)</f>
        <v>1</v>
      </c>
      <c r="F11" s="3">
        <f t="shared" si="0"/>
        <v>1.47</v>
      </c>
      <c r="G11" s="3">
        <f t="shared" si="1"/>
        <v>16.667000000000002</v>
      </c>
    </row>
    <row r="12" spans="1:7" x14ac:dyDescent="0.25">
      <c r="B12" s="7" t="s">
        <v>200</v>
      </c>
      <c r="C12" s="4">
        <f>COUNTIFS(Resp4[Vínculo],"tecnico",Resp4[4.117],B12)</f>
        <v>1</v>
      </c>
      <c r="D12" s="4">
        <f>COUNTIFS(Resp4[Vínculo],"docente",Resp4[4.117],B12)</f>
        <v>0</v>
      </c>
      <c r="E12" s="4">
        <f>COUNTIF(Resp4[4.117],B12)</f>
        <v>1</v>
      </c>
      <c r="F12" s="24">
        <f t="shared" si="0"/>
        <v>1.47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25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25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18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4118</v>
      </c>
    </row>
    <row r="2" spans="1:7" x14ac:dyDescent="0.25">
      <c r="A2" s="2" t="str">
        <f>TEXT(A1,"0.00")</f>
        <v>4.118</v>
      </c>
      <c r="B2" s="2" t="str">
        <f>VLOOKUP(A$2,Eixo4[],3,FALSE)</f>
        <v>Considerando as políticas para a pós-graduação lato sensu, avalie as ações institucionais de: [Avaliação e revisão dos currículos dos cursos em função das mudanças do mercado e da sociedade]</v>
      </c>
    </row>
    <row r="3" spans="1:7" x14ac:dyDescent="0.25">
      <c r="A3" s="2" t="s">
        <v>494</v>
      </c>
      <c r="B3" s="2" t="str">
        <f>VLOOKUP(A$2,Eixo4[],4,FALSE)</f>
        <v>Eixo 4: Questão 118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COUNTIFS(Resp4[Vínculo],"tecnico",Resp4[4.118],B7)</f>
        <v>0</v>
      </c>
      <c r="D7" s="4">
        <f>COUNTIFS(Resp4[Vínculo],"docente",Resp4[4.118],B7)</f>
        <v>0</v>
      </c>
      <c r="E7" s="4">
        <f>COUNTIF(Resp4[4.118],B7)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COUNTIFS(Resp4[Vínculo],"tecnico",Resp4[4.118],B8)</f>
        <v>0</v>
      </c>
      <c r="D8" s="4">
        <f>COUNTIFS(Resp4[Vínculo],"docente",Resp4[4.118],B8)</f>
        <v>0</v>
      </c>
      <c r="E8" s="4">
        <f>COUNTIF(Resp4[4.118],B8)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COUNTIFS(Resp4[Vínculo],"tecnico",Resp4[4.118],B9)</f>
        <v>1</v>
      </c>
      <c r="D9" s="4">
        <f>COUNTIFS(Resp4[Vínculo],"docente",Resp4[4.118],B9)</f>
        <v>0</v>
      </c>
      <c r="E9" s="4">
        <f>COUNTIF(Resp4[4.118],B9)</f>
        <v>1</v>
      </c>
      <c r="F9" s="3">
        <f t="shared" si="0"/>
        <v>1.47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COUNTIFS(Resp4[Vínculo],"tecnico",Resp4[4.118],B10)</f>
        <v>0</v>
      </c>
      <c r="D10" s="4">
        <f>COUNTIFS(Resp4[Vínculo],"docente",Resp4[4.118],B10)</f>
        <v>1</v>
      </c>
      <c r="E10" s="4">
        <f>COUNTIF(Resp4[4.118],B10)</f>
        <v>1</v>
      </c>
      <c r="F10" s="3">
        <f t="shared" si="0"/>
        <v>1.47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COUNTIFS(Resp4[Vínculo],"tecnico",Resp4[4.118],B11)</f>
        <v>0</v>
      </c>
      <c r="D11" s="4">
        <f>COUNTIFS(Resp4[Vínculo],"docente",Resp4[4.118],B11)</f>
        <v>3</v>
      </c>
      <c r="E11" s="4">
        <f>COUNTIF(Resp4[4.118],B11)</f>
        <v>3</v>
      </c>
      <c r="F11" s="3">
        <f t="shared" si="0"/>
        <v>4.41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COUNTIFS(Resp4[Vínculo],"tecnico",Resp4[4.118],B12)</f>
        <v>1</v>
      </c>
      <c r="D12" s="4">
        <f>COUNTIFS(Resp4[Vínculo],"docente",Resp4[4.118],B12)</f>
        <v>0</v>
      </c>
      <c r="E12" s="4">
        <f>COUNTIF(Resp4[4.118],B12)</f>
        <v>1</v>
      </c>
      <c r="F12" s="24">
        <f t="shared" si="0"/>
        <v>1.47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21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4119</v>
      </c>
    </row>
    <row r="2" spans="1:7" x14ac:dyDescent="0.25">
      <c r="A2" s="2" t="str">
        <f>TEXT(A1,"0.00")</f>
        <v>4.119</v>
      </c>
      <c r="B2" s="2" t="str">
        <f>VLOOKUP(A$2,Eixo4[],3,FALSE)</f>
        <v>Sobre os cursos de pós-graduação lato sensu, avalie os itens a seguir: [Clareza do processo seletivo para o ingresso de estudantes nos cursos]</v>
      </c>
    </row>
    <row r="3" spans="1:7" x14ac:dyDescent="0.25">
      <c r="A3" s="2" t="s">
        <v>494</v>
      </c>
      <c r="B3" s="2" t="str">
        <f>VLOOKUP(A$2,Eixo4[],4,FALSE)</f>
        <v>Eixo 4: Questão 119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COUNTIFS(Resp4[Vínculo],"tecnico",Resp4[4.119],B7)</f>
        <v>0</v>
      </c>
      <c r="D7" s="4">
        <f>COUNTIFS(Resp4[Vínculo],"docente",Resp4[4.119],B7)</f>
        <v>0</v>
      </c>
      <c r="E7" s="4">
        <f>COUNTIF(Resp4[4.119],B7)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COUNTIFS(Resp4[Vínculo],"tecnico",Resp4[4.119],B8)</f>
        <v>0</v>
      </c>
      <c r="D8" s="4">
        <f>COUNTIFS(Resp4[Vínculo],"docente",Resp4[4.119],B8)</f>
        <v>0</v>
      </c>
      <c r="E8" s="4">
        <f>COUNTIF(Resp4[4.119],B8)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COUNTIFS(Resp4[Vínculo],"tecnico",Resp4[4.119],B9)</f>
        <v>0</v>
      </c>
      <c r="D9" s="4">
        <f>COUNTIFS(Resp4[Vínculo],"docente",Resp4[4.119],B9)</f>
        <v>0</v>
      </c>
      <c r="E9" s="4">
        <f>COUNTIF(Resp4[4.119],B9)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COUNTIFS(Resp4[Vínculo],"tecnico",Resp4[4.119],B10)</f>
        <v>0</v>
      </c>
      <c r="D10" s="4">
        <f>COUNTIFS(Resp4[Vínculo],"docente",Resp4[4.119],B10)</f>
        <v>0</v>
      </c>
      <c r="E10" s="4">
        <f>COUNTIF(Resp4[4.119],B10)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COUNTIFS(Resp4[Vínculo],"tecnico",Resp4[4.119],B11)</f>
        <v>1</v>
      </c>
      <c r="D11" s="4">
        <f>COUNTIFS(Resp4[Vínculo],"docente",Resp4[4.119],B11)</f>
        <v>2</v>
      </c>
      <c r="E11" s="4">
        <f>COUNTIF(Resp4[4.119],B11)</f>
        <v>3</v>
      </c>
      <c r="F11" s="3">
        <f t="shared" si="0"/>
        <v>4.41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COUNTIFS(Resp4[Vínculo],"tecnico",Resp4[4.119],B12)</f>
        <v>1</v>
      </c>
      <c r="D12" s="4">
        <f>COUNTIFS(Resp4[Vínculo],"docente",Resp4[4.119],B12)</f>
        <v>2</v>
      </c>
      <c r="E12" s="4">
        <f>COUNTIF(Resp4[4.119],B12)</f>
        <v>3</v>
      </c>
      <c r="F12" s="24">
        <f t="shared" si="0"/>
        <v>4.41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4120</v>
      </c>
    </row>
    <row r="2" spans="1:7" x14ac:dyDescent="0.25">
      <c r="A2" s="2" t="str">
        <f>TEXT(A1,"0.00")</f>
        <v>4.120</v>
      </c>
      <c r="B2" s="2" t="str">
        <f>VLOOKUP(A$2,Eixo4[],3,FALSE)</f>
        <v>Sobre os cursos de pós-graduação lato sensu, avalie os itens a seguir: [Clareza do processo seletivo de bolsas destinadas aos estudantes]</v>
      </c>
    </row>
    <row r="3" spans="1:7" x14ac:dyDescent="0.25">
      <c r="A3" s="2" t="s">
        <v>494</v>
      </c>
      <c r="B3" s="2" t="str">
        <f>VLOOKUP(A$2,Eixo4[],4,FALSE)</f>
        <v>Eixo 4: Questão 120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COUNTIFS(Resp4[Vínculo],"tecnico",Resp4[4.120],B7)</f>
        <v>0</v>
      </c>
      <c r="D7" s="4">
        <f>COUNTIFS(Resp4[Vínculo],"docente",Resp4[4.120],B7)</f>
        <v>0</v>
      </c>
      <c r="E7" s="4">
        <f>COUNTIF(Resp4[4.120],B7)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COUNTIFS(Resp4[Vínculo],"tecnico",Resp4[4.120],B8)</f>
        <v>0</v>
      </c>
      <c r="D8" s="4">
        <f>COUNTIFS(Resp4[Vínculo],"docente",Resp4[4.120],B8)</f>
        <v>0</v>
      </c>
      <c r="E8" s="4">
        <f>COUNTIF(Resp4[4.120],B8)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COUNTIFS(Resp4[Vínculo],"tecnico",Resp4[4.120],B9)</f>
        <v>0</v>
      </c>
      <c r="D9" s="4">
        <f>COUNTIFS(Resp4[Vínculo],"docente",Resp4[4.120],B9)</f>
        <v>0</v>
      </c>
      <c r="E9" s="4">
        <f>COUNTIF(Resp4[4.120],B9)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COUNTIFS(Resp4[Vínculo],"tecnico",Resp4[4.120],B10)</f>
        <v>0</v>
      </c>
      <c r="D10" s="4">
        <f>COUNTIFS(Resp4[Vínculo],"docente",Resp4[4.120],B10)</f>
        <v>0</v>
      </c>
      <c r="E10" s="4">
        <f>COUNTIF(Resp4[4.120],B10)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COUNTIFS(Resp4[Vínculo],"tecnico",Resp4[4.120],B11)</f>
        <v>1</v>
      </c>
      <c r="D11" s="4">
        <f>COUNTIFS(Resp4[Vínculo],"docente",Resp4[4.120],B11)</f>
        <v>2</v>
      </c>
      <c r="E11" s="4">
        <f>COUNTIF(Resp4[4.120],B11)</f>
        <v>3</v>
      </c>
      <c r="F11" s="3">
        <f t="shared" si="0"/>
        <v>4.41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COUNTIFS(Resp4[Vínculo],"tecnico",Resp4[4.120],B12)</f>
        <v>1</v>
      </c>
      <c r="D12" s="4">
        <f>COUNTIFS(Resp4[Vínculo],"docente",Resp4[4.120],B12)</f>
        <v>2</v>
      </c>
      <c r="E12" s="4">
        <f>COUNTIF(Resp4[4.120],B12)</f>
        <v>3</v>
      </c>
      <c r="F12" s="24">
        <f t="shared" si="0"/>
        <v>4.41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710937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4121</v>
      </c>
    </row>
    <row r="2" spans="1:7" x14ac:dyDescent="0.25">
      <c r="A2" s="2" t="str">
        <f>TEXT(A1,"0.00")</f>
        <v>4.121</v>
      </c>
      <c r="B2" s="2" t="str">
        <f>VLOOKUP(A$2,Eixo4[],3,FALSE)</f>
        <v>Sobre os cursos de pós-graduação lato sensu, avalie os itens a seguir: [Disponibilidade de bolsas aos estudantes]</v>
      </c>
    </row>
    <row r="3" spans="1:7" x14ac:dyDescent="0.25">
      <c r="A3" s="2" t="s">
        <v>494</v>
      </c>
      <c r="B3" s="2" t="str">
        <f>VLOOKUP(A$2,Eixo4[],4,FALSE)</f>
        <v>Eixo 4: Questão 121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COUNTIFS(Resp4[Vínculo],"tecnico",Resp4[4.121],B7)</f>
        <v>0</v>
      </c>
      <c r="D7" s="4">
        <f>COUNTIFS(Resp4[Vínculo],"docente",Resp4[4.121],B7)</f>
        <v>0</v>
      </c>
      <c r="E7" s="4">
        <f>COUNTIF(Resp4[4.121],B7)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COUNTIFS(Resp4[Vínculo],"tecnico",Resp4[4.121],B8)</f>
        <v>0</v>
      </c>
      <c r="D8" s="4">
        <f>COUNTIFS(Resp4[Vínculo],"docente",Resp4[4.121],B8)</f>
        <v>0</v>
      </c>
      <c r="E8" s="4">
        <f>COUNTIF(Resp4[4.121],B8)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COUNTIFS(Resp4[Vínculo],"tecnico",Resp4[4.121],B9)</f>
        <v>1</v>
      </c>
      <c r="D9" s="4">
        <f>COUNTIFS(Resp4[Vínculo],"docente",Resp4[4.121],B9)</f>
        <v>0</v>
      </c>
      <c r="E9" s="4">
        <f>COUNTIF(Resp4[4.121],B9)</f>
        <v>1</v>
      </c>
      <c r="F9" s="3">
        <f t="shared" si="0"/>
        <v>1.47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COUNTIFS(Resp4[Vínculo],"tecnico",Resp4[4.121],B10)</f>
        <v>0</v>
      </c>
      <c r="D10" s="4">
        <f>COUNTIFS(Resp4[Vínculo],"docente",Resp4[4.121],B10)</f>
        <v>2</v>
      </c>
      <c r="E10" s="4">
        <f>COUNTIF(Resp4[4.121],B10)</f>
        <v>2</v>
      </c>
      <c r="F10" s="3">
        <f t="shared" si="0"/>
        <v>2.94</v>
      </c>
      <c r="G10" s="3">
        <f t="shared" si="1"/>
        <v>33.332999999999998</v>
      </c>
    </row>
    <row r="11" spans="1:7" x14ac:dyDescent="0.25">
      <c r="B11" s="2" t="s">
        <v>199</v>
      </c>
      <c r="C11" s="4">
        <f>COUNTIFS(Resp4[Vínculo],"tecnico",Resp4[4.121],B11)</f>
        <v>0</v>
      </c>
      <c r="D11" s="4">
        <f>COUNTIFS(Resp4[Vínculo],"docente",Resp4[4.121],B11)</f>
        <v>2</v>
      </c>
      <c r="E11" s="4">
        <f>COUNTIF(Resp4[4.121],B11)</f>
        <v>2</v>
      </c>
      <c r="F11" s="3">
        <f t="shared" si="0"/>
        <v>2.94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COUNTIFS(Resp4[Vínculo],"tecnico",Resp4[4.121],B12)</f>
        <v>1</v>
      </c>
      <c r="D12" s="4">
        <f>COUNTIFS(Resp4[Vínculo],"docente",Resp4[4.121],B12)</f>
        <v>0</v>
      </c>
      <c r="E12" s="4">
        <f>COUNTIF(Resp4[4.121],B12)</f>
        <v>1</v>
      </c>
      <c r="F12" s="24">
        <f t="shared" si="0"/>
        <v>1.47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50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50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4122</v>
      </c>
    </row>
    <row r="2" spans="1:7" x14ac:dyDescent="0.25">
      <c r="A2" s="2" t="str">
        <f>TEXT(A1,"0.00")</f>
        <v>4.122</v>
      </c>
      <c r="B2" s="2" t="str">
        <f>VLOOKUP(A$2,Eixo4[],3,FALSE)</f>
        <v>Sobre os cursos de pós-graduação lato sensu, avalie os itens a seguir: [Compatibilidade entre a oferta de disciplinas e os propósitos do curso]</v>
      </c>
    </row>
    <row r="3" spans="1:7" x14ac:dyDescent="0.25">
      <c r="A3" s="2" t="s">
        <v>494</v>
      </c>
      <c r="B3" s="2" t="str">
        <f>VLOOKUP(A$2,Eixo4[],4,FALSE)</f>
        <v>Eixo 4: Questão 122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COUNTIFS(Resp4[Vínculo],"tecnico",Resp4[4.122],B7)</f>
        <v>0</v>
      </c>
      <c r="D7" s="4">
        <f>COUNTIFS(Resp4[Vínculo],"docente",Resp4[4.122],B7)</f>
        <v>0</v>
      </c>
      <c r="E7" s="4">
        <f>COUNTIF(Resp4[4.122],B7)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COUNTIFS(Resp4[Vínculo],"tecnico",Resp4[4.122],B8)</f>
        <v>0</v>
      </c>
      <c r="D8" s="4">
        <f>COUNTIFS(Resp4[Vínculo],"docente",Resp4[4.122],B8)</f>
        <v>0</v>
      </c>
      <c r="E8" s="4">
        <f>COUNTIF(Resp4[4.122],B8)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COUNTIFS(Resp4[Vínculo],"tecnico",Resp4[4.122],B9)</f>
        <v>0</v>
      </c>
      <c r="D9" s="4">
        <f>COUNTIFS(Resp4[Vínculo],"docente",Resp4[4.122],B9)</f>
        <v>0</v>
      </c>
      <c r="E9" s="4">
        <f>COUNTIF(Resp4[4.122],B9)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COUNTIFS(Resp4[Vínculo],"tecnico",Resp4[4.122],B10)</f>
        <v>0</v>
      </c>
      <c r="D10" s="4">
        <f>COUNTIFS(Resp4[Vínculo],"docente",Resp4[4.122],B10)</f>
        <v>0</v>
      </c>
      <c r="E10" s="4">
        <f>COUNTIF(Resp4[4.122],B10)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COUNTIFS(Resp4[Vínculo],"tecnico",Resp4[4.122],B11)</f>
        <v>1</v>
      </c>
      <c r="D11" s="4">
        <f>COUNTIFS(Resp4[Vínculo],"docente",Resp4[4.122],B11)</f>
        <v>2</v>
      </c>
      <c r="E11" s="4">
        <f>COUNTIF(Resp4[4.122],B11)</f>
        <v>3</v>
      </c>
      <c r="F11" s="3">
        <f t="shared" si="0"/>
        <v>4.41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COUNTIFS(Resp4[Vínculo],"tecnico",Resp4[4.122],B12)</f>
        <v>1</v>
      </c>
      <c r="D12" s="4">
        <f>COUNTIFS(Resp4[Vínculo],"docente",Resp4[4.122],B12)</f>
        <v>2</v>
      </c>
      <c r="E12" s="4">
        <f>COUNTIF(Resp4[4.122],B12)</f>
        <v>3</v>
      </c>
      <c r="F12" s="24">
        <f t="shared" si="0"/>
        <v>4.41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7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4123</v>
      </c>
    </row>
    <row r="2" spans="1:7" x14ac:dyDescent="0.25">
      <c r="A2" s="2" t="str">
        <f>TEXT(A1,"0.00")</f>
        <v>4.123</v>
      </c>
      <c r="B2" s="2" t="str">
        <f>VLOOKUP(A$2,Eixo4[],3,FALSE)</f>
        <v>Sobre os cursos de pós-graduação lato sensu, avalie os itens a seguir: [Nível de satisfação dos estudantes quanto às disciplinas ofertadas]</v>
      </c>
    </row>
    <row r="3" spans="1:7" x14ac:dyDescent="0.25">
      <c r="A3" s="2" t="s">
        <v>494</v>
      </c>
      <c r="B3" s="2" t="str">
        <f>VLOOKUP(A$2,Eixo4[],4,FALSE)</f>
        <v>Eixo 4: Questão 123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COUNTIFS(Resp4[Vínculo],"tecnico",Resp4[4.123],B7)</f>
        <v>1</v>
      </c>
      <c r="D7" s="4">
        <f>COUNTIFS(Resp4[Vínculo],"docente",Resp4[4.123],B7)</f>
        <v>0</v>
      </c>
      <c r="E7" s="4">
        <f>COUNTIF(Resp4[4.123],B7)</f>
        <v>1</v>
      </c>
      <c r="F7" s="3">
        <f t="shared" ref="F7:F13" si="0">ROUND($E7/E$13*100,2)</f>
        <v>1.47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COUNTIFS(Resp4[Vínculo],"tecnico",Resp4[4.123],B8)</f>
        <v>0</v>
      </c>
      <c r="D8" s="4">
        <f>COUNTIFS(Resp4[Vínculo],"docente",Resp4[4.123],B8)</f>
        <v>0</v>
      </c>
      <c r="E8" s="4">
        <f>COUNTIF(Resp4[4.123],B8)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COUNTIFS(Resp4[Vínculo],"tecnico",Resp4[4.123],B9)</f>
        <v>0</v>
      </c>
      <c r="D9" s="4">
        <f>COUNTIFS(Resp4[Vínculo],"docente",Resp4[4.123],B9)</f>
        <v>0</v>
      </c>
      <c r="E9" s="4">
        <f>COUNTIF(Resp4[4.123],B9)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COUNTIFS(Resp4[Vínculo],"tecnico",Resp4[4.123],B10)</f>
        <v>0</v>
      </c>
      <c r="D10" s="4">
        <f>COUNTIFS(Resp4[Vínculo],"docente",Resp4[4.123],B10)</f>
        <v>1</v>
      </c>
      <c r="E10" s="4">
        <f>COUNTIF(Resp4[4.123],B10)</f>
        <v>1</v>
      </c>
      <c r="F10" s="3">
        <f t="shared" si="0"/>
        <v>1.47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COUNTIFS(Resp4[Vínculo],"tecnico",Resp4[4.123],B11)</f>
        <v>0</v>
      </c>
      <c r="D11" s="4">
        <f>COUNTIFS(Resp4[Vínculo],"docente",Resp4[4.123],B11)</f>
        <v>2</v>
      </c>
      <c r="E11" s="4">
        <f>COUNTIF(Resp4[4.123],B11)</f>
        <v>2</v>
      </c>
      <c r="F11" s="3">
        <f t="shared" si="0"/>
        <v>2.94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COUNTIFS(Resp4[Vínculo],"tecnico",Resp4[4.123],B12)</f>
        <v>1</v>
      </c>
      <c r="D12" s="4">
        <f>COUNTIFS(Resp4[Vínculo],"docente",Resp4[4.123],B12)</f>
        <v>1</v>
      </c>
      <c r="E12" s="4">
        <f>COUNTIF(Resp4[4.123],B12)</f>
        <v>2</v>
      </c>
      <c r="F12" s="24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25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75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62</v>
      </c>
    </row>
    <row r="2" spans="1:7" x14ac:dyDescent="0.25">
      <c r="A2" s="2" t="str">
        <f>TEXT(A1,"0.00")</f>
        <v>4.06</v>
      </c>
      <c r="B2" s="2" t="str">
        <f>VLOOKUP(A$2,Eixo4[],3,FALSE)</f>
        <v>Com relação ao ensino da graduação, avalie: [A oferta de disciplinas de pós-graduação a estudantes egressos da graduação]</v>
      </c>
    </row>
    <row r="3" spans="1:7" x14ac:dyDescent="0.25">
      <c r="A3" s="2" t="s">
        <v>494</v>
      </c>
      <c r="B3" s="2" t="str">
        <f>VLOOKUP(A$2,Eixo4[],4,FALSE)</f>
        <v>Eixo 4: Questão 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COUNTIFS(Resp4[Vínculo],"tecnico",Resp4[4.06],B7)</f>
        <v>1</v>
      </c>
      <c r="D7" s="4">
        <f>COUNTIFS(Resp4[Vínculo],"docente",Resp4[4.06],B7)</f>
        <v>3</v>
      </c>
      <c r="E7" s="4">
        <f>COUNTIF(Resp4[4.06],B7)</f>
        <v>4</v>
      </c>
      <c r="F7" s="4">
        <f t="shared" ref="F7:F13" si="0">ROUND($E7/E$13*100,2)</f>
        <v>5.88</v>
      </c>
      <c r="G7" s="3">
        <f t="shared" ref="G7:G12" si="1">ROUND($E7/SUM($E$7:$E$12)*100,3)</f>
        <v>13.333</v>
      </c>
    </row>
    <row r="8" spans="1:7" x14ac:dyDescent="0.25">
      <c r="B8" s="2" t="s">
        <v>206</v>
      </c>
      <c r="C8" s="4">
        <f>COUNTIFS(Resp4[Vínculo],"tecnico",Resp4[4.06],B8)</f>
        <v>1</v>
      </c>
      <c r="D8" s="4">
        <f>COUNTIFS(Resp4[Vínculo],"docente",Resp4[4.06],B8)</f>
        <v>1</v>
      </c>
      <c r="E8" s="4">
        <f>COUNTIF(Resp4[4.06],B8)</f>
        <v>2</v>
      </c>
      <c r="F8" s="4">
        <f t="shared" si="0"/>
        <v>2.94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COUNTIFS(Resp4[Vínculo],"tecnico",Resp4[4.06],B9)</f>
        <v>0</v>
      </c>
      <c r="D9" s="4">
        <f>COUNTIFS(Resp4[Vínculo],"docente",Resp4[4.06],B9)</f>
        <v>2</v>
      </c>
      <c r="E9" s="4">
        <f>COUNTIF(Resp4[4.06],B9)</f>
        <v>2</v>
      </c>
      <c r="F9" s="4">
        <f t="shared" si="0"/>
        <v>2.94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COUNTIFS(Resp4[Vínculo],"tecnico",Resp4[4.06],B10)</f>
        <v>0</v>
      </c>
      <c r="D10" s="4">
        <f>COUNTIFS(Resp4[Vínculo],"docente",Resp4[4.06],B10)</f>
        <v>4</v>
      </c>
      <c r="E10" s="4">
        <f>COUNTIF(Resp4[4.06],B10)</f>
        <v>4</v>
      </c>
      <c r="F10" s="4">
        <f t="shared" si="0"/>
        <v>5.88</v>
      </c>
      <c r="G10" s="3">
        <f t="shared" si="1"/>
        <v>13.333</v>
      </c>
    </row>
    <row r="11" spans="1:7" x14ac:dyDescent="0.25">
      <c r="B11" s="2" t="s">
        <v>199</v>
      </c>
      <c r="C11" s="4">
        <f>COUNTIFS(Resp4[Vínculo],"tecnico",Resp4[4.06],B11)</f>
        <v>1</v>
      </c>
      <c r="D11" s="4">
        <f>COUNTIFS(Resp4[Vínculo],"docente",Resp4[4.06],B11)</f>
        <v>12</v>
      </c>
      <c r="E11" s="4">
        <f>COUNTIF(Resp4[4.06],B11)</f>
        <v>13</v>
      </c>
      <c r="F11" s="4">
        <f t="shared" si="0"/>
        <v>19.12</v>
      </c>
      <c r="G11" s="3">
        <f t="shared" si="1"/>
        <v>43.332999999999998</v>
      </c>
    </row>
    <row r="12" spans="1:7" x14ac:dyDescent="0.25">
      <c r="B12" s="7" t="s">
        <v>200</v>
      </c>
      <c r="C12" s="4">
        <f>COUNTIFS(Resp4[Vínculo],"tecnico",Resp4[4.06],B12)</f>
        <v>2</v>
      </c>
      <c r="D12" s="4">
        <f>COUNTIFS(Resp4[Vínculo],"docente",Resp4[4.06],B12)</f>
        <v>3</v>
      </c>
      <c r="E12" s="4">
        <f>COUNTIF(Resp4[4.06],B12)</f>
        <v>5</v>
      </c>
      <c r="F12" s="22">
        <f t="shared" si="0"/>
        <v>7.35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16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4124</v>
      </c>
    </row>
    <row r="2" spans="1:7" x14ac:dyDescent="0.25">
      <c r="A2" s="2" t="str">
        <f>TEXT(A1,"0.00")</f>
        <v>4.124</v>
      </c>
      <c r="B2" s="2" t="str">
        <f>VLOOKUP(A$2,Eixo4[],3,FALSE)</f>
        <v>Sobre os cursos de pós-graduação lato sensu, avalie os itens a seguir: [Adequação da carga horária das disciplinas para as finalidades aos quais o curso se propõe]</v>
      </c>
    </row>
    <row r="3" spans="1:7" x14ac:dyDescent="0.25">
      <c r="A3" s="2" t="s">
        <v>494</v>
      </c>
      <c r="B3" s="2" t="str">
        <f>VLOOKUP(A$2,Eixo4[],4,FALSE)</f>
        <v>Eixo 4: Questão 124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COUNTIFS(Resp4[Vínculo],"tecnico",Resp4[4.124],B7)</f>
        <v>0</v>
      </c>
      <c r="D7" s="4">
        <f>COUNTIFS(Resp4[Vínculo],"docente",Resp4[4.124],B7)</f>
        <v>0</v>
      </c>
      <c r="E7" s="4">
        <f>COUNTIF(Resp4[4.124],B7)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COUNTIFS(Resp4[Vínculo],"tecnico",Resp4[4.124],B8)</f>
        <v>0</v>
      </c>
      <c r="D8" s="4">
        <f>COUNTIFS(Resp4[Vínculo],"docente",Resp4[4.124],B8)</f>
        <v>0</v>
      </c>
      <c r="E8" s="4">
        <f>COUNTIF(Resp4[4.124],B8)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COUNTIFS(Resp4[Vínculo],"tecnico",Resp4[4.124],B9)</f>
        <v>0</v>
      </c>
      <c r="D9" s="4">
        <f>COUNTIFS(Resp4[Vínculo],"docente",Resp4[4.124],B9)</f>
        <v>0</v>
      </c>
      <c r="E9" s="4">
        <f>COUNTIF(Resp4[4.124],B9)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COUNTIFS(Resp4[Vínculo],"tecnico",Resp4[4.124],B10)</f>
        <v>0</v>
      </c>
      <c r="D10" s="4">
        <f>COUNTIFS(Resp4[Vínculo],"docente",Resp4[4.124],B10)</f>
        <v>0</v>
      </c>
      <c r="E10" s="4">
        <f>COUNTIF(Resp4[4.124],B10)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COUNTIFS(Resp4[Vínculo],"tecnico",Resp4[4.124],B11)</f>
        <v>1</v>
      </c>
      <c r="D11" s="4">
        <f>COUNTIFS(Resp4[Vínculo],"docente",Resp4[4.124],B11)</f>
        <v>3</v>
      </c>
      <c r="E11" s="4">
        <f>COUNTIF(Resp4[4.124],B11)</f>
        <v>4</v>
      </c>
      <c r="F11" s="3">
        <f t="shared" si="0"/>
        <v>5.88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COUNTIFS(Resp4[Vínculo],"tecnico",Resp4[4.124],B12)</f>
        <v>1</v>
      </c>
      <c r="D12" s="4">
        <f>COUNTIFS(Resp4[Vínculo],"docente",Resp4[4.124],B12)</f>
        <v>1</v>
      </c>
      <c r="E12" s="4">
        <f>COUNTIF(Resp4[4.124],B12)</f>
        <v>2</v>
      </c>
      <c r="F12" s="24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3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4125</v>
      </c>
    </row>
    <row r="2" spans="1:7" x14ac:dyDescent="0.25">
      <c r="A2" s="2" t="str">
        <f>TEXT(A1,"0.00")</f>
        <v>4.125</v>
      </c>
      <c r="B2" s="2" t="str">
        <f>VLOOKUP(A$2,Eixo4[],3,FALSE)</f>
        <v>Sobre os cursos de pós-graduação lato sensu, avalie os itens a seguir: [Nível de qualificação profissional e acadêmica do corpo docente do curso]</v>
      </c>
    </row>
    <row r="3" spans="1:7" x14ac:dyDescent="0.25">
      <c r="A3" s="2" t="s">
        <v>494</v>
      </c>
      <c r="B3" s="2" t="str">
        <f>VLOOKUP(A$2,Eixo4[],4,FALSE)</f>
        <v>Eixo 4: Questão 125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COUNTIFS(Resp4[Vínculo],"tecnico",Resp4[4.125],B7)</f>
        <v>0</v>
      </c>
      <c r="D7" s="4">
        <f>COUNTIFS(Resp4[Vínculo],"docente",Resp4[4.125],B7)</f>
        <v>0</v>
      </c>
      <c r="E7" s="4">
        <f>COUNTIF(Resp4[4.125],B7)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COUNTIFS(Resp4[Vínculo],"tecnico",Resp4[4.125],B8)</f>
        <v>0</v>
      </c>
      <c r="D8" s="4">
        <f>COUNTIFS(Resp4[Vínculo],"docente",Resp4[4.125],B8)</f>
        <v>0</v>
      </c>
      <c r="E8" s="4">
        <f>COUNTIF(Resp4[4.125],B8)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COUNTIFS(Resp4[Vínculo],"tecnico",Resp4[4.125],B9)</f>
        <v>0</v>
      </c>
      <c r="D9" s="4">
        <f>COUNTIFS(Resp4[Vínculo],"docente",Resp4[4.125],B9)</f>
        <v>0</v>
      </c>
      <c r="E9" s="4">
        <f>COUNTIF(Resp4[4.125],B9)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COUNTIFS(Resp4[Vínculo],"tecnico",Resp4[4.125],B10)</f>
        <v>0</v>
      </c>
      <c r="D10" s="4">
        <f>COUNTIFS(Resp4[Vínculo],"docente",Resp4[4.125],B10)</f>
        <v>0</v>
      </c>
      <c r="E10" s="4">
        <f>COUNTIF(Resp4[4.125],B10)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COUNTIFS(Resp4[Vínculo],"tecnico",Resp4[4.125],B11)</f>
        <v>0</v>
      </c>
      <c r="D11" s="4">
        <f>COUNTIFS(Resp4[Vínculo],"docente",Resp4[4.125],B11)</f>
        <v>2</v>
      </c>
      <c r="E11" s="4">
        <f>COUNTIF(Resp4[4.125],B11)</f>
        <v>2</v>
      </c>
      <c r="F11" s="3">
        <f t="shared" si="0"/>
        <v>2.94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COUNTIFS(Resp4[Vínculo],"tecnico",Resp4[4.125],B12)</f>
        <v>2</v>
      </c>
      <c r="D12" s="4">
        <f>COUNTIFS(Resp4[Vínculo],"docente",Resp4[4.125],B12)</f>
        <v>2</v>
      </c>
      <c r="E12" s="4">
        <f>COUNTIF(Resp4[4.125],B12)</f>
        <v>4</v>
      </c>
      <c r="F12" s="24">
        <f t="shared" si="0"/>
        <v>5.88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8.5703125" style="2" customWidth="1"/>
    <col min="3" max="3" width="23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4126</v>
      </c>
    </row>
    <row r="2" spans="1:7" x14ac:dyDescent="0.25">
      <c r="A2" s="2" t="str">
        <f>TEXT(A1,"0.00")</f>
        <v>4.126</v>
      </c>
      <c r="B2" s="2" t="str">
        <f>VLOOKUP(A$2,Eixo4[],3,FALSE)</f>
        <v>Sobre os cursos de pós-graduação lato sensu, avalie os itens a seguir: [Compatibilidade entre a quantidade de orientadores e as demandas monográficas do curso]</v>
      </c>
    </row>
    <row r="3" spans="1:7" x14ac:dyDescent="0.25">
      <c r="A3" s="2" t="s">
        <v>494</v>
      </c>
      <c r="B3" s="2" t="str">
        <f>VLOOKUP(A$2,Eixo4[],4,FALSE)</f>
        <v>Eixo 4: Questão 126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COUNTIFS(Resp4[Vínculo],"tecnico",Resp4[4.126],B7)</f>
        <v>0</v>
      </c>
      <c r="D7" s="4">
        <f>COUNTIFS(Resp4[Vínculo],"docente",Resp4[4.126],B7)</f>
        <v>0</v>
      </c>
      <c r="E7" s="4">
        <f>COUNTIF(Resp4[4.126],B7)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COUNTIFS(Resp4[Vínculo],"tecnico",Resp4[4.126],B8)</f>
        <v>0</v>
      </c>
      <c r="D8" s="4">
        <f>COUNTIFS(Resp4[Vínculo],"docente",Resp4[4.126],B8)</f>
        <v>0</v>
      </c>
      <c r="E8" s="4">
        <f>COUNTIF(Resp4[4.126],B8)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COUNTIFS(Resp4[Vínculo],"tecnico",Resp4[4.126],B9)</f>
        <v>0</v>
      </c>
      <c r="D9" s="4">
        <f>COUNTIFS(Resp4[Vínculo],"docente",Resp4[4.126],B9)</f>
        <v>0</v>
      </c>
      <c r="E9" s="4">
        <f>COUNTIF(Resp4[4.126],B9)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COUNTIFS(Resp4[Vínculo],"tecnico",Resp4[4.126],B10)</f>
        <v>0</v>
      </c>
      <c r="D10" s="4">
        <f>COUNTIFS(Resp4[Vínculo],"docente",Resp4[4.126],B10)</f>
        <v>0</v>
      </c>
      <c r="E10" s="4">
        <f>COUNTIF(Resp4[4.126],B10)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COUNTIFS(Resp4[Vínculo],"tecnico",Resp4[4.126],B11)</f>
        <v>0</v>
      </c>
      <c r="D11" s="4">
        <f>COUNTIFS(Resp4[Vínculo],"docente",Resp4[4.126],B11)</f>
        <v>2</v>
      </c>
      <c r="E11" s="4">
        <f>COUNTIF(Resp4[4.126],B11)</f>
        <v>2</v>
      </c>
      <c r="F11" s="3">
        <f t="shared" si="0"/>
        <v>2.94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COUNTIFS(Resp4[Vínculo],"tecnico",Resp4[4.126],B12)</f>
        <v>2</v>
      </c>
      <c r="D12" s="4">
        <f>COUNTIFS(Resp4[Vínculo],"docente",Resp4[4.126],B12)</f>
        <v>2</v>
      </c>
      <c r="E12" s="4">
        <f>COUNTIF(Resp4[4.126],B12)</f>
        <v>4</v>
      </c>
      <c r="F12" s="24">
        <f t="shared" si="0"/>
        <v>5.88</v>
      </c>
      <c r="G12" s="3">
        <f t="shared" si="1"/>
        <v>66.667000000000002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8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4127</v>
      </c>
    </row>
    <row r="2" spans="1:7" x14ac:dyDescent="0.25">
      <c r="A2" s="2" t="str">
        <f>TEXT(A1,"0.00")</f>
        <v>4.127</v>
      </c>
      <c r="B2" s="2" t="str">
        <f>VLOOKUP(A$2,Eixo4[],3,FALSE)</f>
        <v>Sobre os cursos de pós-graduação lato sensu, avalie os itens a seguir: [Metodologias de medição de avaliação de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COUNTIFS(Resp4[Vínculo],"tecnico",Resp4[4.127],B7)</f>
        <v>0</v>
      </c>
      <c r="D7" s="4">
        <f>COUNTIFS(Resp4[Vínculo],"docente",Resp4[4.127],B7)</f>
        <v>0</v>
      </c>
      <c r="E7" s="4">
        <f>COUNTIF(Resp4[4.127],B7)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COUNTIFS(Resp4[Vínculo],"tecnico",Resp4[4.127],B8)</f>
        <v>0</v>
      </c>
      <c r="D8" s="4">
        <f>COUNTIFS(Resp4[Vínculo],"docente",Resp4[4.127],B8)</f>
        <v>0</v>
      </c>
      <c r="E8" s="4">
        <f>COUNTIF(Resp4[4.127],B8)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COUNTIFS(Resp4[Vínculo],"tecnico",Resp4[4.127],B9)</f>
        <v>0</v>
      </c>
      <c r="D9" s="4">
        <f>COUNTIFS(Resp4[Vínculo],"docente",Resp4[4.127],B9)</f>
        <v>0</v>
      </c>
      <c r="E9" s="4">
        <f>COUNTIF(Resp4[4.127],B9)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COUNTIFS(Resp4[Vínculo],"tecnico",Resp4[4.127],B10)</f>
        <v>0</v>
      </c>
      <c r="D10" s="4">
        <f>COUNTIFS(Resp4[Vínculo],"docente",Resp4[4.127],B10)</f>
        <v>0</v>
      </c>
      <c r="E10" s="4">
        <f>COUNTIF(Resp4[4.127],B10)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COUNTIFS(Resp4[Vínculo],"tecnico",Resp4[4.127],B11)</f>
        <v>1</v>
      </c>
      <c r="D11" s="4">
        <f>COUNTIFS(Resp4[Vínculo],"docente",Resp4[4.127],B11)</f>
        <v>3</v>
      </c>
      <c r="E11" s="4">
        <f>COUNTIF(Resp4[4.127],B11)</f>
        <v>4</v>
      </c>
      <c r="F11" s="3">
        <f t="shared" si="0"/>
        <v>5.88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COUNTIFS(Resp4[Vínculo],"tecnico",Resp4[4.127],B12)</f>
        <v>1</v>
      </c>
      <c r="D12" s="4">
        <f>COUNTIFS(Resp4[Vínculo],"docente",Resp4[4.127],B12)</f>
        <v>1</v>
      </c>
      <c r="E12" s="4">
        <f>COUNTIF(Resp4[4.127],B12)</f>
        <v>2</v>
      </c>
      <c r="F12" s="24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8" sqref="F8"/>
    </sheetView>
  </sheetViews>
  <sheetFormatPr defaultRowHeight="15" x14ac:dyDescent="0.25"/>
  <cols>
    <col min="1" max="1" width="5.7109375" style="2" customWidth="1"/>
    <col min="2" max="2" width="16.71093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4128</v>
      </c>
    </row>
    <row r="2" spans="1:7" x14ac:dyDescent="0.25">
      <c r="A2" s="2" t="str">
        <f>TEXT(A1,"0.00")</f>
        <v>4.128</v>
      </c>
      <c r="B2" s="2" t="str">
        <f>VLOOKUP(A$2,Eixo4[],3,FALSE)</f>
        <v>Sobre os cursos de pós-graduação lato sensu, avalie os itens a seguir: [Qualidade da produção intelectual dos estudantes em relação aos objetivos de aprofundamento de conhecimento proposta para o curso]</v>
      </c>
    </row>
    <row r="3" spans="1:7" x14ac:dyDescent="0.25">
      <c r="A3" s="2" t="s">
        <v>494</v>
      </c>
      <c r="B3" s="2" t="str">
        <f>VLOOKUP(A$2,Eixo4[],4,FALSE)</f>
        <v>Eixo 4: Questão 128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32</v>
      </c>
      <c r="D6" s="2">
        <f>COUNTIF(Resp4[Vínculo],"docente")-SUM(D$7:D$12)</f>
        <v>30</v>
      </c>
      <c r="E6" s="4">
        <f>E13-SUM(E7:E12)</f>
        <v>62</v>
      </c>
      <c r="F6" s="3">
        <f>ROUND($E6/E$13*100,2)</f>
        <v>91.18</v>
      </c>
    </row>
    <row r="7" spans="1:7" x14ac:dyDescent="0.25">
      <c r="B7" s="2" t="s">
        <v>201</v>
      </c>
      <c r="C7" s="4">
        <f>COUNTIFS(Resp4[Vínculo],"tecnico",Resp4[4.128],B7)</f>
        <v>0</v>
      </c>
      <c r="D7" s="4">
        <f>COUNTIFS(Resp4[Vínculo],"docente",Resp4[4.128],B7)</f>
        <v>0</v>
      </c>
      <c r="E7" s="4">
        <f>COUNTIF(Resp4[4.128],B7)</f>
        <v>0</v>
      </c>
      <c r="F7" s="3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COUNTIFS(Resp4[Vínculo],"tecnico",Resp4[4.128],B8)</f>
        <v>0</v>
      </c>
      <c r="D8" s="4">
        <f>COUNTIFS(Resp4[Vínculo],"docente",Resp4[4.128],B8)</f>
        <v>0</v>
      </c>
      <c r="E8" s="4">
        <f>COUNTIF(Resp4[4.128],B8)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COUNTIFS(Resp4[Vínculo],"tecnico",Resp4[4.128],B9)</f>
        <v>0</v>
      </c>
      <c r="D9" s="4">
        <f>COUNTIFS(Resp4[Vínculo],"docente",Resp4[4.128],B9)</f>
        <v>0</v>
      </c>
      <c r="E9" s="4">
        <f>COUNTIF(Resp4[4.128],B9)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COUNTIFS(Resp4[Vínculo],"tecnico",Resp4[4.128],B10)</f>
        <v>0</v>
      </c>
      <c r="D10" s="4">
        <f>COUNTIFS(Resp4[Vínculo],"docente",Resp4[4.128],B10)</f>
        <v>0</v>
      </c>
      <c r="E10" s="4">
        <f>COUNTIF(Resp4[4.128],B10)</f>
        <v>0</v>
      </c>
      <c r="F10" s="3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COUNTIFS(Resp4[Vínculo],"tecnico",Resp4[4.128],B11)</f>
        <v>1</v>
      </c>
      <c r="D11" s="4">
        <f>COUNTIFS(Resp4[Vínculo],"docente",Resp4[4.128],B11)</f>
        <v>3</v>
      </c>
      <c r="E11" s="4">
        <f>COUNTIF(Resp4[4.128],B11)</f>
        <v>4</v>
      </c>
      <c r="F11" s="3">
        <f t="shared" si="0"/>
        <v>5.88</v>
      </c>
      <c r="G11" s="3">
        <f t="shared" si="1"/>
        <v>66.667000000000002</v>
      </c>
    </row>
    <row r="12" spans="1:7" x14ac:dyDescent="0.25">
      <c r="B12" s="7" t="s">
        <v>200</v>
      </c>
      <c r="C12" s="4">
        <f>COUNTIFS(Resp4[Vínculo],"tecnico",Resp4[4.128],B12)</f>
        <v>1</v>
      </c>
      <c r="D12" s="4">
        <f>COUNTIFS(Resp4[Vínculo],"docente",Resp4[4.128],B12)</f>
        <v>1</v>
      </c>
      <c r="E12" s="4">
        <f>COUNTIF(Resp4[4.128],B12)</f>
        <v>2</v>
      </c>
      <c r="F12" s="24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7">
        <v>4130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4.130</v>
      </c>
      <c r="B2" s="2" t="str">
        <f>VLOOKUP(A$2, Eixo4[], 3, FALSE)</f>
        <v>Considerando o planejamento e as políticas para a internacionalização da UFPR, escolha Sim para avaliar e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130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COUNTIFS(Resp4[Vínculo],"tecnico",Resp4[4.130],B7)</f>
        <v>6</v>
      </c>
      <c r="D7" s="4">
        <f>COUNTIFS(Resp4[Vínculo],"docente",Resp4[4.130],B7)</f>
        <v>7</v>
      </c>
      <c r="E7" s="2">
        <f>COUNTIF(Resp4[4.130],B7)</f>
        <v>13</v>
      </c>
      <c r="F7" s="4">
        <f t="shared" ref="F7:F9" si="0">ROUND($E7/E$9*100,2)</f>
        <v>19.12</v>
      </c>
      <c r="G7" s="4">
        <f>ROUND($E7/SUM($E$7:$E$8)*100,2)</f>
        <v>19.12</v>
      </c>
      <c r="H7" s="2"/>
    </row>
    <row r="8" spans="1:8" x14ac:dyDescent="0.25">
      <c r="A8" s="2"/>
      <c r="B8" s="2" t="s">
        <v>194</v>
      </c>
      <c r="C8" s="4">
        <f>COUNTIFS(Resp4[Vínculo],"tecnico",Resp4[4.130],B8)</f>
        <v>28</v>
      </c>
      <c r="D8" s="4">
        <f>COUNTIFS(Resp4[Vínculo],"docente",Resp4[4.130],B8)</f>
        <v>27</v>
      </c>
      <c r="E8" s="2">
        <f>COUNTIF(Resp4[4.130],B8)</f>
        <v>55</v>
      </c>
      <c r="F8" s="22">
        <f t="shared" si="0"/>
        <v>80.88</v>
      </c>
      <c r="G8" s="4">
        <f>ROUND($E8/SUM($E$7:$E$8)*100,2)</f>
        <v>80.88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6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4131</v>
      </c>
    </row>
    <row r="2" spans="1:7" x14ac:dyDescent="0.25">
      <c r="A2" s="2" t="str">
        <f>TEXT(A1,"0.00")</f>
        <v>4.131</v>
      </c>
      <c r="B2" s="2" t="str">
        <f>VLOOKUP(A$2,Eixo4[],3,FALSE)</f>
        <v>Sobre as ações para a internacionalização, no contexto das políticas acadêmicas, avalie: [A oferta de disciplinas em língua inglesa]</v>
      </c>
    </row>
    <row r="3" spans="1:7" x14ac:dyDescent="0.25">
      <c r="A3" s="2" t="s">
        <v>494</v>
      </c>
      <c r="B3" s="2" t="str">
        <f>VLOOKUP(A$2,Eixo4[],4,FALSE)</f>
        <v>Eixo 4: Questão 131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27</v>
      </c>
      <c r="E6" s="4">
        <f>E13-SUM(E7:E12)</f>
        <v>55</v>
      </c>
      <c r="F6" s="3">
        <f>ROUND($E6/E$13*100,2)</f>
        <v>80.88</v>
      </c>
    </row>
    <row r="7" spans="1:7" x14ac:dyDescent="0.25">
      <c r="B7" s="2" t="s">
        <v>201</v>
      </c>
      <c r="C7" s="4">
        <f>COUNTIFS(Resp4[Vínculo],"tecnico",Resp4[4.131],B7)</f>
        <v>1</v>
      </c>
      <c r="D7" s="4">
        <f>COUNTIFS(Resp4[Vínculo],"docente",Resp4[4.131],B7)</f>
        <v>0</v>
      </c>
      <c r="E7" s="4">
        <f>COUNTIF(Resp4[4.131],B7)</f>
        <v>1</v>
      </c>
      <c r="F7" s="3">
        <f t="shared" ref="F7:F13" si="0">ROUND($E7/E$13*100,2)</f>
        <v>1.47</v>
      </c>
      <c r="G7" s="3">
        <f t="shared" ref="G7:G12" si="1">ROUND($E7/SUM($E$7:$E$12)*100,3)</f>
        <v>7.6920000000000002</v>
      </c>
    </row>
    <row r="8" spans="1:7" x14ac:dyDescent="0.25">
      <c r="B8" s="2" t="s">
        <v>206</v>
      </c>
      <c r="C8" s="4">
        <f>COUNTIFS(Resp4[Vínculo],"tecnico",Resp4[4.131],B8)</f>
        <v>0</v>
      </c>
      <c r="D8" s="4">
        <f>COUNTIFS(Resp4[Vínculo],"docente",Resp4[4.131],B8)</f>
        <v>1</v>
      </c>
      <c r="E8" s="4">
        <f>COUNTIF(Resp4[4.131],B8)</f>
        <v>1</v>
      </c>
      <c r="F8" s="3">
        <f t="shared" si="0"/>
        <v>1.47</v>
      </c>
      <c r="G8" s="3">
        <f t="shared" si="1"/>
        <v>7.6920000000000002</v>
      </c>
    </row>
    <row r="9" spans="1:7" x14ac:dyDescent="0.25">
      <c r="B9" s="2" t="s">
        <v>202</v>
      </c>
      <c r="C9" s="4">
        <f>COUNTIFS(Resp4[Vínculo],"tecnico",Resp4[4.131],B9)</f>
        <v>1</v>
      </c>
      <c r="D9" s="4">
        <f>COUNTIFS(Resp4[Vínculo],"docente",Resp4[4.131],B9)</f>
        <v>1</v>
      </c>
      <c r="E9" s="4">
        <f>COUNTIF(Resp4[4.131],B9)</f>
        <v>2</v>
      </c>
      <c r="F9" s="3">
        <f t="shared" si="0"/>
        <v>2.94</v>
      </c>
      <c r="G9" s="3">
        <f t="shared" si="1"/>
        <v>15.385</v>
      </c>
    </row>
    <row r="10" spans="1:7" x14ac:dyDescent="0.25">
      <c r="B10" s="2" t="s">
        <v>30</v>
      </c>
      <c r="C10" s="4">
        <f>COUNTIFS(Resp4[Vínculo],"tecnico",Resp4[4.131],B10)</f>
        <v>1</v>
      </c>
      <c r="D10" s="4">
        <f>COUNTIFS(Resp4[Vínculo],"docente",Resp4[4.131],B10)</f>
        <v>2</v>
      </c>
      <c r="E10" s="4">
        <f>COUNTIF(Resp4[4.131],B10)</f>
        <v>3</v>
      </c>
      <c r="F10" s="3">
        <f t="shared" si="0"/>
        <v>4.41</v>
      </c>
      <c r="G10" s="3">
        <f t="shared" si="1"/>
        <v>23.077000000000002</v>
      </c>
    </row>
    <row r="11" spans="1:7" x14ac:dyDescent="0.25">
      <c r="B11" s="2" t="s">
        <v>199</v>
      </c>
      <c r="C11" s="4">
        <f>COUNTIFS(Resp4[Vínculo],"tecnico",Resp4[4.131],B11)</f>
        <v>2</v>
      </c>
      <c r="D11" s="4">
        <f>COUNTIFS(Resp4[Vínculo],"docente",Resp4[4.131],B11)</f>
        <v>3</v>
      </c>
      <c r="E11" s="4">
        <f>COUNTIF(Resp4[4.131],B11)</f>
        <v>5</v>
      </c>
      <c r="F11" s="3">
        <f t="shared" si="0"/>
        <v>7.35</v>
      </c>
      <c r="G11" s="3">
        <f t="shared" si="1"/>
        <v>38.462000000000003</v>
      </c>
    </row>
    <row r="12" spans="1:7" x14ac:dyDescent="0.25">
      <c r="B12" s="7" t="s">
        <v>200</v>
      </c>
      <c r="C12" s="4">
        <f>COUNTIFS(Resp4[Vínculo],"tecnico",Resp4[4.131],B12)</f>
        <v>1</v>
      </c>
      <c r="D12" s="4">
        <f>COUNTIFS(Resp4[Vínculo],"docente",Resp4[4.131],B12)</f>
        <v>0</v>
      </c>
      <c r="E12" s="4">
        <f>COUNTIF(Resp4[4.131],B12)</f>
        <v>1</v>
      </c>
      <c r="F12" s="24">
        <f t="shared" si="0"/>
        <v>1.47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28.571000000000002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28.571000000000002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16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4132</v>
      </c>
    </row>
    <row r="2" spans="1:7" x14ac:dyDescent="0.25">
      <c r="A2" s="2" t="str">
        <f>TEXT(A1,"0.00")</f>
        <v>4.132</v>
      </c>
      <c r="B2" s="2" t="str">
        <f>VLOOKUP(A$2,Eixo4[],3,FALSE)</f>
        <v>Sobre as ações para a internacionalização, no contexto das políticas acadêmicas, avalie: [A oferta de cursos de capacitação para disciplinas em língua inglesa]</v>
      </c>
    </row>
    <row r="3" spans="1:7" x14ac:dyDescent="0.25">
      <c r="A3" s="2" t="s">
        <v>494</v>
      </c>
      <c r="B3" s="2" t="str">
        <f>VLOOKUP(A$2,Eixo4[],4,FALSE)</f>
        <v>Eixo 4: Questão 132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27</v>
      </c>
      <c r="E6" s="4">
        <f>E13-SUM(E7:E12)</f>
        <v>55</v>
      </c>
      <c r="F6" s="3">
        <f>ROUND($E6/E$13*100,2)</f>
        <v>80.88</v>
      </c>
    </row>
    <row r="7" spans="1:7" x14ac:dyDescent="0.25">
      <c r="B7" s="2" t="s">
        <v>201</v>
      </c>
      <c r="C7" s="4">
        <f>COUNTIFS(Resp4[Vínculo],"tecnico",Resp4[4.132],B7)</f>
        <v>1</v>
      </c>
      <c r="D7" s="4">
        <f>COUNTIFS(Resp4[Vínculo],"docente",Resp4[4.132],B7)</f>
        <v>2</v>
      </c>
      <c r="E7" s="4">
        <f>COUNTIF(Resp4[4.132],B7)</f>
        <v>3</v>
      </c>
      <c r="F7" s="3">
        <f t="shared" ref="F7:F13" si="0">ROUND($E7/E$13*100,2)</f>
        <v>4.41</v>
      </c>
      <c r="G7" s="3">
        <f t="shared" ref="G7:G12" si="1">ROUND($E7/SUM($E$7:$E$12)*100,3)</f>
        <v>23.077000000000002</v>
      </c>
    </row>
    <row r="8" spans="1:7" x14ac:dyDescent="0.25">
      <c r="B8" s="2" t="s">
        <v>206</v>
      </c>
      <c r="C8" s="4">
        <f>COUNTIFS(Resp4[Vínculo],"tecnico",Resp4[4.132],B8)</f>
        <v>0</v>
      </c>
      <c r="D8" s="4">
        <f>COUNTIFS(Resp4[Vínculo],"docente",Resp4[4.132],B8)</f>
        <v>1</v>
      </c>
      <c r="E8" s="4">
        <f>COUNTIF(Resp4[4.132],B8)</f>
        <v>1</v>
      </c>
      <c r="F8" s="3">
        <f t="shared" si="0"/>
        <v>1.47</v>
      </c>
      <c r="G8" s="3">
        <f t="shared" si="1"/>
        <v>7.6920000000000002</v>
      </c>
    </row>
    <row r="9" spans="1:7" x14ac:dyDescent="0.25">
      <c r="B9" s="2" t="s">
        <v>202</v>
      </c>
      <c r="C9" s="4">
        <f>COUNTIFS(Resp4[Vínculo],"tecnico",Resp4[4.132],B9)</f>
        <v>1</v>
      </c>
      <c r="D9" s="4">
        <f>COUNTIFS(Resp4[Vínculo],"docente",Resp4[4.132],B9)</f>
        <v>0</v>
      </c>
      <c r="E9" s="4">
        <f>COUNTIF(Resp4[4.132],B9)</f>
        <v>1</v>
      </c>
      <c r="F9" s="3">
        <f t="shared" si="0"/>
        <v>1.47</v>
      </c>
      <c r="G9" s="3">
        <f t="shared" si="1"/>
        <v>7.6920000000000002</v>
      </c>
    </row>
    <row r="10" spans="1:7" x14ac:dyDescent="0.25">
      <c r="B10" s="2" t="s">
        <v>30</v>
      </c>
      <c r="C10" s="4">
        <f>COUNTIFS(Resp4[Vínculo],"tecnico",Resp4[4.132],B10)</f>
        <v>1</v>
      </c>
      <c r="D10" s="4">
        <f>COUNTIFS(Resp4[Vínculo],"docente",Resp4[4.132],B10)</f>
        <v>3</v>
      </c>
      <c r="E10" s="4">
        <f>COUNTIF(Resp4[4.132],B10)</f>
        <v>4</v>
      </c>
      <c r="F10" s="3">
        <f t="shared" si="0"/>
        <v>5.88</v>
      </c>
      <c r="G10" s="3">
        <f t="shared" si="1"/>
        <v>30.768999999999998</v>
      </c>
    </row>
    <row r="11" spans="1:7" x14ac:dyDescent="0.25">
      <c r="B11" s="2" t="s">
        <v>199</v>
      </c>
      <c r="C11" s="4">
        <f>COUNTIFS(Resp4[Vínculo],"tecnico",Resp4[4.132],B11)</f>
        <v>2</v>
      </c>
      <c r="D11" s="4">
        <f>COUNTIFS(Resp4[Vínculo],"docente",Resp4[4.132],B11)</f>
        <v>1</v>
      </c>
      <c r="E11" s="4">
        <f>COUNTIF(Resp4[4.132],B11)</f>
        <v>3</v>
      </c>
      <c r="F11" s="3">
        <f t="shared" si="0"/>
        <v>4.41</v>
      </c>
      <c r="G11" s="3">
        <f t="shared" si="1"/>
        <v>23.077000000000002</v>
      </c>
    </row>
    <row r="12" spans="1:7" x14ac:dyDescent="0.25">
      <c r="B12" s="7" t="s">
        <v>200</v>
      </c>
      <c r="C12" s="4">
        <f>COUNTIFS(Resp4[Vínculo],"tecnico",Resp4[4.132],B12)</f>
        <v>1</v>
      </c>
      <c r="D12" s="4">
        <f>COUNTIFS(Resp4[Vínculo],"docente",Resp4[4.132],B12)</f>
        <v>0</v>
      </c>
      <c r="E12" s="4">
        <f>COUNTIF(Resp4[4.132],B12)</f>
        <v>1</v>
      </c>
      <c r="F12" s="24">
        <f t="shared" si="0"/>
        <v>1.47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28.571000000000002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14.286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0.42578125" style="2" customWidth="1"/>
    <col min="3" max="3" width="17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4133</v>
      </c>
    </row>
    <row r="2" spans="1:7" x14ac:dyDescent="0.25">
      <c r="A2" s="2" t="str">
        <f>TEXT(A1,"0.00")</f>
        <v>4.133</v>
      </c>
      <c r="B2" s="2" t="str">
        <f>VLOOKUP(A$2,Eixo4[],3,FALSE)</f>
        <v>Sobre as ações para a internacionalização, no contexto das políticas acadêmicas, avalie: [A oferta de cursos de língua portuguesa para estrangeiros]</v>
      </c>
    </row>
    <row r="3" spans="1:7" x14ac:dyDescent="0.25">
      <c r="A3" s="2" t="s">
        <v>494</v>
      </c>
      <c r="B3" s="2" t="str">
        <f>VLOOKUP(A$2,Eixo4[],4,FALSE)</f>
        <v>Eixo 4: Questão 133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27</v>
      </c>
      <c r="E6" s="4">
        <f>E13-SUM(E7:E12)</f>
        <v>55</v>
      </c>
      <c r="F6" s="3">
        <f>ROUND($E6/E$13*100,2)</f>
        <v>80.88</v>
      </c>
    </row>
    <row r="7" spans="1:7" x14ac:dyDescent="0.25">
      <c r="B7" s="2" t="s">
        <v>201</v>
      </c>
      <c r="C7" s="4">
        <f>COUNTIFS(Resp4[Vínculo],"tecnico",Resp4[4.133],B7)</f>
        <v>3</v>
      </c>
      <c r="D7" s="4">
        <f>COUNTIFS(Resp4[Vínculo],"docente",Resp4[4.133],B7)</f>
        <v>5</v>
      </c>
      <c r="E7" s="4">
        <f>COUNTIF(Resp4[4.133],B7)</f>
        <v>8</v>
      </c>
      <c r="F7" s="3">
        <f t="shared" ref="F7:F13" si="0">ROUND($E7/E$13*100,2)</f>
        <v>11.76</v>
      </c>
      <c r="G7" s="3">
        <f t="shared" ref="G7:G12" si="1">ROUND($E7/SUM($E$7:$E$12)*100,3)</f>
        <v>61.537999999999997</v>
      </c>
    </row>
    <row r="8" spans="1:7" x14ac:dyDescent="0.25">
      <c r="B8" s="2" t="s">
        <v>206</v>
      </c>
      <c r="C8" s="4">
        <f>COUNTIFS(Resp4[Vínculo],"tecnico",Resp4[4.133],B8)</f>
        <v>0</v>
      </c>
      <c r="D8" s="4">
        <f>COUNTIFS(Resp4[Vínculo],"docente",Resp4[4.133],B8)</f>
        <v>0</v>
      </c>
      <c r="E8" s="4">
        <f>COUNTIF(Resp4[4.133],B8)</f>
        <v>0</v>
      </c>
      <c r="F8" s="3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COUNTIFS(Resp4[Vínculo],"tecnico",Resp4[4.133],B9)</f>
        <v>0</v>
      </c>
      <c r="D9" s="4">
        <f>COUNTIFS(Resp4[Vínculo],"docente",Resp4[4.133],B9)</f>
        <v>0</v>
      </c>
      <c r="E9" s="4">
        <f>COUNTIF(Resp4[4.133],B9)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COUNTIFS(Resp4[Vínculo],"tecnico",Resp4[4.133],B10)</f>
        <v>0</v>
      </c>
      <c r="D10" s="4">
        <f>COUNTIFS(Resp4[Vínculo],"docente",Resp4[4.133],B10)</f>
        <v>1</v>
      </c>
      <c r="E10" s="4">
        <f>COUNTIF(Resp4[4.133],B10)</f>
        <v>1</v>
      </c>
      <c r="F10" s="3">
        <f t="shared" si="0"/>
        <v>1.47</v>
      </c>
      <c r="G10" s="3">
        <f t="shared" si="1"/>
        <v>7.6920000000000002</v>
      </c>
    </row>
    <row r="11" spans="1:7" x14ac:dyDescent="0.25">
      <c r="B11" s="2" t="s">
        <v>199</v>
      </c>
      <c r="C11" s="4">
        <f>COUNTIFS(Resp4[Vínculo],"tecnico",Resp4[4.133],B11)</f>
        <v>2</v>
      </c>
      <c r="D11" s="4">
        <f>COUNTIFS(Resp4[Vínculo],"docente",Resp4[4.133],B11)</f>
        <v>1</v>
      </c>
      <c r="E11" s="4">
        <f>COUNTIF(Resp4[4.133],B11)</f>
        <v>3</v>
      </c>
      <c r="F11" s="3">
        <f t="shared" si="0"/>
        <v>4.41</v>
      </c>
      <c r="G11" s="3">
        <f t="shared" si="1"/>
        <v>23.077000000000002</v>
      </c>
    </row>
    <row r="12" spans="1:7" x14ac:dyDescent="0.25">
      <c r="B12" s="7" t="s">
        <v>200</v>
      </c>
      <c r="C12" s="4">
        <f>COUNTIFS(Resp4[Vínculo],"tecnico",Resp4[4.133],B12)</f>
        <v>1</v>
      </c>
      <c r="D12" s="4">
        <f>COUNTIFS(Resp4[Vínculo],"docente",Resp4[4.133],B12)</f>
        <v>0</v>
      </c>
      <c r="E12" s="4">
        <f>COUNTIF(Resp4[4.133],B12)</f>
        <v>1</v>
      </c>
      <c r="F12" s="24">
        <f t="shared" si="0"/>
        <v>1.47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3</v>
      </c>
      <c r="E19" s="15">
        <f t="shared" ref="E19:E21" si="2">ROUND(D19/SUM(D$18:D$21)*100,3)</f>
        <v>50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71.429000000000002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14.286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4134</v>
      </c>
    </row>
    <row r="2" spans="1:7" x14ac:dyDescent="0.25">
      <c r="A2" s="2" t="str">
        <f>TEXT(A1,"0.00")</f>
        <v>4.134</v>
      </c>
      <c r="B2" s="2" t="str">
        <f>VLOOKUP(A$2,Eixo4[],3,FALSE)</f>
        <v>Sobre as ações para a internacionalização, no contexto das políticas acadêmicas, avalie: [A oferta de avaliações de proficiência em língua estrangeira]</v>
      </c>
    </row>
    <row r="3" spans="1:7" x14ac:dyDescent="0.25">
      <c r="A3" s="2" t="s">
        <v>494</v>
      </c>
      <c r="B3" s="2" t="str">
        <f>VLOOKUP(A$2,Eixo4[],4,FALSE)</f>
        <v>Eixo 4: Questão 134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27</v>
      </c>
      <c r="E6" s="4">
        <f>E13-SUM(E7:E12)</f>
        <v>55</v>
      </c>
      <c r="F6" s="3">
        <f>ROUND($E6/E$13*100,2)</f>
        <v>80.88</v>
      </c>
    </row>
    <row r="7" spans="1:7" x14ac:dyDescent="0.25">
      <c r="B7" s="2" t="s">
        <v>201</v>
      </c>
      <c r="C7" s="4">
        <f>COUNTIFS(Resp4[Vínculo],"tecnico",Resp4[4.134],B7)</f>
        <v>2</v>
      </c>
      <c r="D7" s="4">
        <f>COUNTIFS(Resp4[Vínculo],"docente",Resp4[4.134],B7)</f>
        <v>2</v>
      </c>
      <c r="E7" s="4">
        <f>COUNTIF(Resp4[4.134],B7)</f>
        <v>4</v>
      </c>
      <c r="F7" s="3">
        <f t="shared" ref="F7:F12" si="0">ROUND($E7/E$13*100,2)</f>
        <v>5.88</v>
      </c>
      <c r="G7" s="3">
        <f t="shared" ref="G7:G12" si="1">ROUND($E7/SUM($E$7:$E$12)*100,3)</f>
        <v>30.768999999999998</v>
      </c>
    </row>
    <row r="8" spans="1:7" x14ac:dyDescent="0.25">
      <c r="B8" s="2" t="s">
        <v>206</v>
      </c>
      <c r="C8" s="4">
        <f>COUNTIFS(Resp4[Vínculo],"tecnico",Resp4[4.134],B8)</f>
        <v>0</v>
      </c>
      <c r="D8" s="4">
        <f>COUNTIFS(Resp4[Vínculo],"docente",Resp4[4.134],B8)</f>
        <v>1</v>
      </c>
      <c r="E8" s="4">
        <f>COUNTIF(Resp4[4.134],B8)</f>
        <v>1</v>
      </c>
      <c r="F8" s="3">
        <f t="shared" si="0"/>
        <v>1.47</v>
      </c>
      <c r="G8" s="3">
        <f t="shared" si="1"/>
        <v>7.6920000000000002</v>
      </c>
    </row>
    <row r="9" spans="1:7" x14ac:dyDescent="0.25">
      <c r="B9" s="2" t="s">
        <v>202</v>
      </c>
      <c r="C9" s="4">
        <f>COUNTIFS(Resp4[Vínculo],"tecnico",Resp4[4.134],B9)</f>
        <v>0</v>
      </c>
      <c r="D9" s="4">
        <f>COUNTIFS(Resp4[Vínculo],"docente",Resp4[4.134],B9)</f>
        <v>0</v>
      </c>
      <c r="E9" s="4">
        <f>COUNTIF(Resp4[4.134],B9)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COUNTIFS(Resp4[Vínculo],"tecnico",Resp4[4.134],B10)</f>
        <v>1</v>
      </c>
      <c r="D10" s="4">
        <f>COUNTIFS(Resp4[Vínculo],"docente",Resp4[4.134],B10)</f>
        <v>1</v>
      </c>
      <c r="E10" s="4">
        <f>COUNTIF(Resp4[4.134],B10)</f>
        <v>2</v>
      </c>
      <c r="F10" s="3">
        <f t="shared" si="0"/>
        <v>2.94</v>
      </c>
      <c r="G10" s="3">
        <f t="shared" si="1"/>
        <v>15.385</v>
      </c>
    </row>
    <row r="11" spans="1:7" x14ac:dyDescent="0.25">
      <c r="B11" s="2" t="s">
        <v>199</v>
      </c>
      <c r="C11" s="4">
        <f>COUNTIFS(Resp4[Vínculo],"tecnico",Resp4[4.134],B11)</f>
        <v>2</v>
      </c>
      <c r="D11" s="4">
        <f>COUNTIFS(Resp4[Vínculo],"docente",Resp4[4.134],B11)</f>
        <v>3</v>
      </c>
      <c r="E11" s="4">
        <f>COUNTIF(Resp4[4.134],B11)</f>
        <v>5</v>
      </c>
      <c r="F11" s="3">
        <f t="shared" si="0"/>
        <v>7.35</v>
      </c>
      <c r="G11" s="3">
        <f t="shared" si="1"/>
        <v>38.462000000000003</v>
      </c>
    </row>
    <row r="12" spans="1:7" x14ac:dyDescent="0.25">
      <c r="B12" s="7" t="s">
        <v>200</v>
      </c>
      <c r="C12" s="4">
        <f>COUNTIFS(Resp4[Vínculo],"tecnico",Resp4[4.134],B12)</f>
        <v>1</v>
      </c>
      <c r="D12" s="4">
        <f>COUNTIFS(Resp4[Vínculo],"docente",Resp4[4.134],B12)</f>
        <v>0</v>
      </c>
      <c r="E12" s="4">
        <f>COUNTIF(Resp4[4.134],B12)</f>
        <v>1</v>
      </c>
      <c r="F12" s="24">
        <f t="shared" si="0"/>
        <v>1.47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>ROUND($E13/E$13*100,2)</f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28.571000000000002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14.286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42.856999999999999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63</v>
      </c>
    </row>
    <row r="2" spans="1:7" x14ac:dyDescent="0.25">
      <c r="A2" s="2" t="str">
        <f>TEXT(A1,"0.00")</f>
        <v>4.07</v>
      </c>
      <c r="B2" s="2" t="str">
        <f>VLOOKUP(A$2,Eixo4[],3,FALSE)</f>
        <v>Com relação ao ensino da graduação, avalie: [A integração entre graduação e pós-graduação e pesquisa]</v>
      </c>
    </row>
    <row r="3" spans="1:7" x14ac:dyDescent="0.25">
      <c r="A3" s="2" t="s">
        <v>494</v>
      </c>
      <c r="B3" s="2" t="str">
        <f>VLOOKUP(A$2,Eixo4[],4,FALSE)</f>
        <v>Eixo 4: Questão 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COUNTIFS(Resp4[Vínculo],"tecnico",Resp4[4.07],B7)</f>
        <v>0</v>
      </c>
      <c r="D7" s="4">
        <f>COUNTIFS(Resp4[Vínculo],"docente",Resp4[4.07],B7)</f>
        <v>0</v>
      </c>
      <c r="E7" s="4">
        <f>COUNTIF(Resp4[4.07],B7)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COUNTIFS(Resp4[Vínculo],"tecnico",Resp4[4.07],B8)</f>
        <v>1</v>
      </c>
      <c r="D8" s="4">
        <f>COUNTIFS(Resp4[Vínculo],"docente",Resp4[4.07],B8)</f>
        <v>1</v>
      </c>
      <c r="E8" s="4">
        <f>COUNTIF(Resp4[4.07],B8)</f>
        <v>2</v>
      </c>
      <c r="F8" s="4">
        <f t="shared" si="0"/>
        <v>2.94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COUNTIFS(Resp4[Vínculo],"tecnico",Resp4[4.07],B9)</f>
        <v>1</v>
      </c>
      <c r="D9" s="4">
        <f>COUNTIFS(Resp4[Vínculo],"docente",Resp4[4.07],B9)</f>
        <v>2</v>
      </c>
      <c r="E9" s="4">
        <f>COUNTIF(Resp4[4.07],B9)</f>
        <v>3</v>
      </c>
      <c r="F9" s="4">
        <f t="shared" si="0"/>
        <v>4.41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COUNTIFS(Resp4[Vínculo],"tecnico",Resp4[4.07],B10)</f>
        <v>0</v>
      </c>
      <c r="D10" s="4">
        <f>COUNTIFS(Resp4[Vínculo],"docente",Resp4[4.07],B10)</f>
        <v>8</v>
      </c>
      <c r="E10" s="4">
        <f>COUNTIF(Resp4[4.07],B10)</f>
        <v>8</v>
      </c>
      <c r="F10" s="4">
        <f t="shared" si="0"/>
        <v>11.76</v>
      </c>
      <c r="G10" s="3">
        <f t="shared" si="1"/>
        <v>26.667000000000002</v>
      </c>
    </row>
    <row r="11" spans="1:7" x14ac:dyDescent="0.25">
      <c r="B11" s="2" t="s">
        <v>199</v>
      </c>
      <c r="C11" s="4">
        <f>COUNTIFS(Resp4[Vínculo],"tecnico",Resp4[4.07],B11)</f>
        <v>1</v>
      </c>
      <c r="D11" s="4">
        <f>COUNTIFS(Resp4[Vínculo],"docente",Resp4[4.07],B11)</f>
        <v>12</v>
      </c>
      <c r="E11" s="4">
        <f>COUNTIF(Resp4[4.07],B11)</f>
        <v>13</v>
      </c>
      <c r="F11" s="4">
        <f t="shared" si="0"/>
        <v>19.12</v>
      </c>
      <c r="G11" s="3">
        <f t="shared" si="1"/>
        <v>43.332999999999998</v>
      </c>
    </row>
    <row r="12" spans="1:7" x14ac:dyDescent="0.25">
      <c r="B12" s="7" t="s">
        <v>200</v>
      </c>
      <c r="C12" s="4">
        <f>COUNTIFS(Resp4[Vínculo],"tecnico",Resp4[4.07],B12)</f>
        <v>2</v>
      </c>
      <c r="D12" s="4">
        <f>COUNTIFS(Resp4[Vínculo],"docente",Resp4[4.07],B12)</f>
        <v>2</v>
      </c>
      <c r="E12" s="4">
        <f>COUNTIF(Resp4[4.07],B12)</f>
        <v>4</v>
      </c>
      <c r="F12" s="22">
        <f t="shared" si="0"/>
        <v>5.88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40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32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56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1.4257812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4135</v>
      </c>
    </row>
    <row r="2" spans="1:7" x14ac:dyDescent="0.25">
      <c r="A2" s="2" t="str">
        <f>TEXT(A1,"0.00")</f>
        <v>4.135</v>
      </c>
      <c r="B2" s="2" t="str">
        <f>VLOOKUP(A$2,Eixo4[],3,FALSE)</f>
        <v>Sobre as ações para a internacionalização, no contexto das políticas acadêmicas, avalie: [O apoio à escrita de artigos científicos em língua inglesa]</v>
      </c>
    </row>
    <row r="3" spans="1:7" x14ac:dyDescent="0.25">
      <c r="A3" s="2" t="s">
        <v>494</v>
      </c>
      <c r="B3" s="2" t="str">
        <f>VLOOKUP(A$2,Eixo4[],4,FALSE)</f>
        <v>Eixo 4: Questão 135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27</v>
      </c>
      <c r="E6" s="4">
        <f>E13-SUM(E7:E12)</f>
        <v>55</v>
      </c>
      <c r="F6" s="3">
        <f>ROUND($E6/E$13*100,2)</f>
        <v>80.88</v>
      </c>
    </row>
    <row r="7" spans="1:7" x14ac:dyDescent="0.25">
      <c r="B7" s="2" t="s">
        <v>201</v>
      </c>
      <c r="C7" s="4">
        <f>COUNTIFS(Resp4[Vínculo],"tecnico",Resp4[4.135],B7)</f>
        <v>2</v>
      </c>
      <c r="D7" s="4">
        <f>COUNTIFS(Resp4[Vínculo],"docente",Resp4[4.135],B7)</f>
        <v>1</v>
      </c>
      <c r="E7" s="4">
        <f>COUNTIF(Resp4[4.135],B7)</f>
        <v>3</v>
      </c>
      <c r="F7" s="3">
        <f t="shared" ref="F7:F13" si="0">ROUND($E7/E$13*100,2)</f>
        <v>4.41</v>
      </c>
      <c r="G7" s="3">
        <f t="shared" ref="G7:G12" si="1">ROUND($E7/SUM($E$7:$E$12)*100,3)</f>
        <v>23.077000000000002</v>
      </c>
    </row>
    <row r="8" spans="1:7" x14ac:dyDescent="0.25">
      <c r="B8" s="2" t="s">
        <v>206</v>
      </c>
      <c r="C8" s="4">
        <f>COUNTIFS(Resp4[Vínculo],"tecnico",Resp4[4.135],B8)</f>
        <v>0</v>
      </c>
      <c r="D8" s="4">
        <f>COUNTIFS(Resp4[Vínculo],"docente",Resp4[4.135],B8)</f>
        <v>1</v>
      </c>
      <c r="E8" s="4">
        <f>COUNTIF(Resp4[4.135],B8)</f>
        <v>1</v>
      </c>
      <c r="F8" s="3">
        <f t="shared" si="0"/>
        <v>1.47</v>
      </c>
      <c r="G8" s="3">
        <f t="shared" si="1"/>
        <v>7.6920000000000002</v>
      </c>
    </row>
    <row r="9" spans="1:7" x14ac:dyDescent="0.25">
      <c r="B9" s="2" t="s">
        <v>202</v>
      </c>
      <c r="C9" s="4">
        <f>COUNTIFS(Resp4[Vínculo],"tecnico",Resp4[4.135],B9)</f>
        <v>0</v>
      </c>
      <c r="D9" s="4">
        <f>COUNTIFS(Resp4[Vínculo],"docente",Resp4[4.135],B9)</f>
        <v>0</v>
      </c>
      <c r="E9" s="4">
        <f>COUNTIF(Resp4[4.135],B9)</f>
        <v>0</v>
      </c>
      <c r="F9" s="3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COUNTIFS(Resp4[Vínculo],"tecnico",Resp4[4.135],B10)</f>
        <v>1</v>
      </c>
      <c r="D10" s="4">
        <f>COUNTIFS(Resp4[Vínculo],"docente",Resp4[4.135],B10)</f>
        <v>3</v>
      </c>
      <c r="E10" s="4">
        <f>COUNTIF(Resp4[4.135],B10)</f>
        <v>4</v>
      </c>
      <c r="F10" s="3">
        <f t="shared" si="0"/>
        <v>5.88</v>
      </c>
      <c r="G10" s="3">
        <f t="shared" si="1"/>
        <v>30.768999999999998</v>
      </c>
    </row>
    <row r="11" spans="1:7" x14ac:dyDescent="0.25">
      <c r="B11" s="2" t="s">
        <v>199</v>
      </c>
      <c r="C11" s="4">
        <f>COUNTIFS(Resp4[Vínculo],"tecnico",Resp4[4.135],B11)</f>
        <v>2</v>
      </c>
      <c r="D11" s="4">
        <f>COUNTIFS(Resp4[Vínculo],"docente",Resp4[4.135],B11)</f>
        <v>2</v>
      </c>
      <c r="E11" s="4">
        <f>COUNTIF(Resp4[4.135],B11)</f>
        <v>4</v>
      </c>
      <c r="F11" s="3">
        <f t="shared" si="0"/>
        <v>5.88</v>
      </c>
      <c r="G11" s="3">
        <f t="shared" si="1"/>
        <v>30.768999999999998</v>
      </c>
    </row>
    <row r="12" spans="1:7" x14ac:dyDescent="0.25">
      <c r="B12" s="7" t="s">
        <v>200</v>
      </c>
      <c r="C12" s="4">
        <f>COUNTIFS(Resp4[Vínculo],"tecnico",Resp4[4.135],B12)</f>
        <v>1</v>
      </c>
      <c r="D12" s="4">
        <f>COUNTIFS(Resp4[Vínculo],"docente",Resp4[4.135],B12)</f>
        <v>0</v>
      </c>
      <c r="E12" s="4">
        <f>COUNTIF(Resp4[4.135],B12)</f>
        <v>1</v>
      </c>
      <c r="F12" s="24">
        <f t="shared" si="0"/>
        <v>1.47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14.286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2</v>
      </c>
      <c r="E28" s="19">
        <f>ROUND(D28/SUM(D$25:D$28)*100,3)</f>
        <v>28.571000000000002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E6" sqref="E6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0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4136</v>
      </c>
    </row>
    <row r="2" spans="1:7" x14ac:dyDescent="0.25">
      <c r="A2" s="2" t="str">
        <f>TEXT(A1,"0.00")</f>
        <v>4.136</v>
      </c>
      <c r="B2" s="2" t="str">
        <f>VLOOKUP(A$2,Eixo4[],3,FALSE)</f>
        <v>Sobre as ações para a internacionalização, no contexto das políticas acadêmicas, avalie: [A capacitação dos docentes para participação de editais internacionais de cooperação]</v>
      </c>
    </row>
    <row r="3" spans="1:7" x14ac:dyDescent="0.25">
      <c r="A3" s="2" t="s">
        <v>494</v>
      </c>
      <c r="B3" s="2" t="str">
        <f>VLOOKUP(A$2,Eixo4[],4,FALSE)</f>
        <v>Eixo 4: Questão 136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27</v>
      </c>
      <c r="E6" s="4">
        <f>E13-SUM(E7:E12)</f>
        <v>55</v>
      </c>
      <c r="F6" s="3">
        <f>ROUND($E6/E$13*100,2)</f>
        <v>80.88</v>
      </c>
    </row>
    <row r="7" spans="1:7" x14ac:dyDescent="0.25">
      <c r="B7" s="2" t="s">
        <v>201</v>
      </c>
      <c r="C7" s="4">
        <f>COUNTIFS(Resp4[Vínculo],"tecnico",Resp4[4.136],B7)</f>
        <v>2</v>
      </c>
      <c r="D7" s="4">
        <f>COUNTIFS(Resp4[Vínculo],"docente",Resp4[4.136],B7)</f>
        <v>1</v>
      </c>
      <c r="E7" s="4">
        <f>COUNTIF(Resp4[4.136],B7)</f>
        <v>3</v>
      </c>
      <c r="F7" s="3">
        <f t="shared" ref="F7:F13" si="0">ROUND($E7/E$13*100,2)</f>
        <v>4.41</v>
      </c>
      <c r="G7" s="3">
        <f t="shared" ref="G7:G12" si="1">ROUND($E7/SUM($E$7:$E$12)*100,3)</f>
        <v>23.077000000000002</v>
      </c>
    </row>
    <row r="8" spans="1:7" x14ac:dyDescent="0.25">
      <c r="B8" s="2" t="s">
        <v>206</v>
      </c>
      <c r="C8" s="4">
        <f>COUNTIFS(Resp4[Vínculo],"tecnico",Resp4[4.136],B8)</f>
        <v>0</v>
      </c>
      <c r="D8" s="4">
        <f>COUNTIFS(Resp4[Vínculo],"docente",Resp4[4.136],B8)</f>
        <v>1</v>
      </c>
      <c r="E8" s="4">
        <f>COUNTIF(Resp4[4.136],B8)</f>
        <v>1</v>
      </c>
      <c r="F8" s="3">
        <f t="shared" si="0"/>
        <v>1.47</v>
      </c>
      <c r="G8" s="3">
        <f t="shared" si="1"/>
        <v>7.6920000000000002</v>
      </c>
    </row>
    <row r="9" spans="1:7" x14ac:dyDescent="0.25">
      <c r="B9" s="2" t="s">
        <v>202</v>
      </c>
      <c r="C9" s="4">
        <f>COUNTIFS(Resp4[Vínculo],"tecnico",Resp4[4.136],B9)</f>
        <v>0</v>
      </c>
      <c r="D9" s="4">
        <f>COUNTIFS(Resp4[Vínculo],"docente",Resp4[4.136],B9)</f>
        <v>1</v>
      </c>
      <c r="E9" s="4">
        <f>COUNTIF(Resp4[4.136],B9)</f>
        <v>1</v>
      </c>
      <c r="F9" s="3">
        <f t="shared" si="0"/>
        <v>1.47</v>
      </c>
      <c r="G9" s="3">
        <f t="shared" si="1"/>
        <v>7.6920000000000002</v>
      </c>
    </row>
    <row r="10" spans="1:7" x14ac:dyDescent="0.25">
      <c r="B10" s="2" t="s">
        <v>30</v>
      </c>
      <c r="C10" s="4">
        <f>COUNTIFS(Resp4[Vínculo],"tecnico",Resp4[4.136],B10)</f>
        <v>2</v>
      </c>
      <c r="D10" s="4">
        <f>COUNTIFS(Resp4[Vínculo],"docente",Resp4[4.136],B10)</f>
        <v>3</v>
      </c>
      <c r="E10" s="4">
        <f>COUNTIF(Resp4[4.136],B10)</f>
        <v>5</v>
      </c>
      <c r="F10" s="3">
        <f t="shared" si="0"/>
        <v>7.35</v>
      </c>
      <c r="G10" s="3">
        <f t="shared" si="1"/>
        <v>38.462000000000003</v>
      </c>
    </row>
    <row r="11" spans="1:7" x14ac:dyDescent="0.25">
      <c r="B11" s="2" t="s">
        <v>199</v>
      </c>
      <c r="C11" s="4">
        <f>COUNTIFS(Resp4[Vínculo],"tecnico",Resp4[4.136],B11)</f>
        <v>1</v>
      </c>
      <c r="D11" s="4">
        <f>COUNTIFS(Resp4[Vínculo],"docente",Resp4[4.136],B11)</f>
        <v>1</v>
      </c>
      <c r="E11" s="4">
        <f>COUNTIF(Resp4[4.136],B11)</f>
        <v>2</v>
      </c>
      <c r="F11" s="3">
        <f t="shared" si="0"/>
        <v>2.94</v>
      </c>
      <c r="G11" s="3">
        <f t="shared" si="1"/>
        <v>15.385</v>
      </c>
    </row>
    <row r="12" spans="1:7" x14ac:dyDescent="0.25">
      <c r="B12" s="7" t="s">
        <v>200</v>
      </c>
      <c r="C12" s="4">
        <f>COUNTIFS(Resp4[Vínculo],"tecnico",Resp4[4.136],B12)</f>
        <v>1</v>
      </c>
      <c r="D12" s="4">
        <f>COUNTIFS(Resp4[Vínculo],"docente",Resp4[4.136],B12)</f>
        <v>0</v>
      </c>
      <c r="E12" s="4">
        <f>COUNTIF(Resp4[4.136],B12)</f>
        <v>1</v>
      </c>
      <c r="F12" s="24">
        <f t="shared" si="0"/>
        <v>1.47</v>
      </c>
      <c r="G12" s="3">
        <f t="shared" si="1"/>
        <v>7.6920000000000002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28.571000000000002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14.286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42.856999999999999</v>
      </c>
    </row>
    <row r="28" spans="2:7" x14ac:dyDescent="0.25">
      <c r="B28" s="32" t="s">
        <v>33</v>
      </c>
      <c r="C28" s="32" t="s">
        <v>32</v>
      </c>
      <c r="D28" s="18">
        <f>SUM(D11:D12)</f>
        <v>1</v>
      </c>
      <c r="E28" s="19">
        <f>ROUND(D28/SUM(D$25:D$28)*100,3)</f>
        <v>14.286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5703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64</v>
      </c>
    </row>
    <row r="2" spans="1:7" x14ac:dyDescent="0.25">
      <c r="A2" s="2" t="str">
        <f>TEXT(A1,"0.00")</f>
        <v>4.08</v>
      </c>
      <c r="B2" s="2" t="str">
        <f>VLOOKUP(A$2,Eixo4[],3,FALSE)</f>
        <v>Com relação ao ensino da graduação, avalie: [O planejamento, a organização e as orientações para a realização da Feira de Profissões]</v>
      </c>
    </row>
    <row r="3" spans="1:7" x14ac:dyDescent="0.25">
      <c r="A3" s="2" t="s">
        <v>494</v>
      </c>
      <c r="B3" s="2" t="str">
        <f>VLOOKUP(A$2,Eixo4[],4,FALSE)</f>
        <v>Eixo 4: Questão 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COUNTIFS(Resp4[Vínculo],"tecnico",Resp4[4.08],B7)</f>
        <v>0</v>
      </c>
      <c r="D7" s="4">
        <f>COUNTIFS(Resp4[Vínculo],"docente",Resp4[4.08],B7)</f>
        <v>3</v>
      </c>
      <c r="E7" s="4">
        <f>COUNTIF(Resp4[4.08],B7)</f>
        <v>3</v>
      </c>
      <c r="F7" s="4">
        <f t="shared" ref="F7:F13" si="0">ROUND($E7/E$13*100,2)</f>
        <v>4.41</v>
      </c>
      <c r="G7" s="3">
        <f t="shared" ref="G7:G12" si="1">ROUND($E7/SUM($E$7:$E$12)*100,3)</f>
        <v>10</v>
      </c>
    </row>
    <row r="8" spans="1:7" x14ac:dyDescent="0.25">
      <c r="B8" s="2" t="s">
        <v>206</v>
      </c>
      <c r="C8" s="4">
        <f>COUNTIFS(Resp4[Vínculo],"tecnico",Resp4[4.08],B8)</f>
        <v>1</v>
      </c>
      <c r="D8" s="4">
        <f>COUNTIFS(Resp4[Vínculo],"docente",Resp4[4.08],B8)</f>
        <v>0</v>
      </c>
      <c r="E8" s="4">
        <f>COUNTIF(Resp4[4.08],B8)</f>
        <v>1</v>
      </c>
      <c r="F8" s="4">
        <f t="shared" si="0"/>
        <v>1.47</v>
      </c>
      <c r="G8" s="3">
        <f t="shared" si="1"/>
        <v>3.3330000000000002</v>
      </c>
    </row>
    <row r="9" spans="1:7" x14ac:dyDescent="0.25">
      <c r="B9" s="2" t="s">
        <v>202</v>
      </c>
      <c r="C9" s="4">
        <f>COUNTIFS(Resp4[Vínculo],"tecnico",Resp4[4.08],B9)</f>
        <v>0</v>
      </c>
      <c r="D9" s="4">
        <f>COUNTIFS(Resp4[Vínculo],"docente",Resp4[4.08],B9)</f>
        <v>3</v>
      </c>
      <c r="E9" s="4">
        <f>COUNTIF(Resp4[4.08],B9)</f>
        <v>3</v>
      </c>
      <c r="F9" s="4">
        <f t="shared" si="0"/>
        <v>4.41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COUNTIFS(Resp4[Vínculo],"tecnico",Resp4[4.08],B10)</f>
        <v>0</v>
      </c>
      <c r="D10" s="4">
        <f>COUNTIFS(Resp4[Vínculo],"docente",Resp4[4.08],B10)</f>
        <v>4</v>
      </c>
      <c r="E10" s="4">
        <f>COUNTIF(Resp4[4.08],B10)</f>
        <v>4</v>
      </c>
      <c r="F10" s="4">
        <f t="shared" si="0"/>
        <v>5.88</v>
      </c>
      <c r="G10" s="3">
        <f t="shared" si="1"/>
        <v>13.333</v>
      </c>
    </row>
    <row r="11" spans="1:7" x14ac:dyDescent="0.25">
      <c r="B11" s="2" t="s">
        <v>199</v>
      </c>
      <c r="C11" s="4">
        <f>COUNTIFS(Resp4[Vínculo],"tecnico",Resp4[4.08],B11)</f>
        <v>2</v>
      </c>
      <c r="D11" s="4">
        <f>COUNTIFS(Resp4[Vínculo],"docente",Resp4[4.08],B11)</f>
        <v>12</v>
      </c>
      <c r="E11" s="4">
        <f>COUNTIF(Resp4[4.08],B11)</f>
        <v>14</v>
      </c>
      <c r="F11" s="4">
        <f t="shared" si="0"/>
        <v>20.59</v>
      </c>
      <c r="G11" s="3">
        <f t="shared" si="1"/>
        <v>46.667000000000002</v>
      </c>
    </row>
    <row r="12" spans="1:7" x14ac:dyDescent="0.25">
      <c r="B12" s="7" t="s">
        <v>200</v>
      </c>
      <c r="C12" s="4">
        <f>COUNTIFS(Resp4[Vínculo],"tecnico",Resp4[4.08],B12)</f>
        <v>2</v>
      </c>
      <c r="D12" s="4">
        <f>COUNTIFS(Resp4[Vínculo],"docente",Resp4[4.08],B12)</f>
        <v>3</v>
      </c>
      <c r="E12" s="4">
        <f>COUNTIF(Resp4[4.08],B12)</f>
        <v>5</v>
      </c>
      <c r="F12" s="22">
        <f t="shared" si="0"/>
        <v>7.35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16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425781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65</v>
      </c>
    </row>
    <row r="2" spans="1:7" x14ac:dyDescent="0.25">
      <c r="A2" s="2" t="str">
        <f>TEXT(A1,"0.00")</f>
        <v>4.09</v>
      </c>
      <c r="B2" s="2" t="str">
        <f>VLOOKUP(A$2,Eixo4[],3,FALSE)</f>
        <v>Com relação ao ensino da graduação, avalie: [As políticas de orientação de revisão curricular para a implantação de disciplinas híbridas]</v>
      </c>
    </row>
    <row r="3" spans="1:7" x14ac:dyDescent="0.25">
      <c r="A3" s="2" t="s">
        <v>494</v>
      </c>
      <c r="B3" s="2" t="str">
        <f>VLOOKUP(A$2,Eixo4[],4,FALSE)</f>
        <v>Eixo 4: Questão 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COUNTIFS(Resp4[Vínculo],"tecnico",Resp4[4.09],B7)</f>
        <v>0</v>
      </c>
      <c r="D7" s="4">
        <f>COUNTIFS(Resp4[Vínculo],"docente",Resp4[4.09],B7)</f>
        <v>7</v>
      </c>
      <c r="E7" s="4">
        <f>COUNTIF(Resp4[4.09],B7)</f>
        <v>7</v>
      </c>
      <c r="F7" s="4">
        <f t="shared" ref="F7:F13" si="0">ROUND($E7/E$13*100,2)</f>
        <v>10.29</v>
      </c>
      <c r="G7" s="3">
        <f t="shared" ref="G7:G12" si="1">ROUND($E7/SUM($E$7:$E$12)*100,3)</f>
        <v>23.332999999999998</v>
      </c>
    </row>
    <row r="8" spans="1:7" x14ac:dyDescent="0.25">
      <c r="B8" s="2" t="s">
        <v>206</v>
      </c>
      <c r="C8" s="4">
        <f>COUNTIFS(Resp4[Vínculo],"tecnico",Resp4[4.09],B8)</f>
        <v>1</v>
      </c>
      <c r="D8" s="4">
        <f>COUNTIFS(Resp4[Vínculo],"docente",Resp4[4.09],B8)</f>
        <v>2</v>
      </c>
      <c r="E8" s="4">
        <f>COUNTIF(Resp4[4.09],B8)</f>
        <v>3</v>
      </c>
      <c r="F8" s="4">
        <f t="shared" si="0"/>
        <v>4.41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COUNTIFS(Resp4[Vínculo],"tecnico",Resp4[4.09],B9)</f>
        <v>1</v>
      </c>
      <c r="D9" s="4">
        <f>COUNTIFS(Resp4[Vínculo],"docente",Resp4[4.09],B9)</f>
        <v>1</v>
      </c>
      <c r="E9" s="4">
        <f>COUNTIF(Resp4[4.09],B9)</f>
        <v>2</v>
      </c>
      <c r="F9" s="4">
        <f t="shared" si="0"/>
        <v>2.94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COUNTIFS(Resp4[Vínculo],"tecnico",Resp4[4.09],B10)</f>
        <v>0</v>
      </c>
      <c r="D10" s="4">
        <f>COUNTIFS(Resp4[Vínculo],"docente",Resp4[4.09],B10)</f>
        <v>8</v>
      </c>
      <c r="E10" s="4">
        <f>COUNTIF(Resp4[4.09],B10)</f>
        <v>8</v>
      </c>
      <c r="F10" s="4">
        <f t="shared" si="0"/>
        <v>11.76</v>
      </c>
      <c r="G10" s="3">
        <f t="shared" si="1"/>
        <v>26.667000000000002</v>
      </c>
    </row>
    <row r="11" spans="1:7" x14ac:dyDescent="0.25">
      <c r="B11" s="2" t="s">
        <v>199</v>
      </c>
      <c r="C11" s="4">
        <f>COUNTIFS(Resp4[Vínculo],"tecnico",Resp4[4.09],B11)</f>
        <v>1</v>
      </c>
      <c r="D11" s="4">
        <f>COUNTIFS(Resp4[Vínculo],"docente",Resp4[4.09],B11)</f>
        <v>7</v>
      </c>
      <c r="E11" s="4">
        <f>COUNTIF(Resp4[4.09],B11)</f>
        <v>8</v>
      </c>
      <c r="F11" s="4">
        <f t="shared" si="0"/>
        <v>11.76</v>
      </c>
      <c r="G11" s="3">
        <f t="shared" si="1"/>
        <v>26.667000000000002</v>
      </c>
    </row>
    <row r="12" spans="1:7" x14ac:dyDescent="0.25">
      <c r="B12" s="7" t="s">
        <v>200</v>
      </c>
      <c r="C12" s="4">
        <f>COUNTIFS(Resp4[Vínculo],"tecnico",Resp4[4.09],B12)</f>
        <v>2</v>
      </c>
      <c r="D12" s="4">
        <f>COUNTIFS(Resp4[Vínculo],"docente",Resp4[4.09],B12)</f>
        <v>0</v>
      </c>
      <c r="E12" s="22">
        <f>COUNTIF(Resp4[4.09],B12)</f>
        <v>2</v>
      </c>
      <c r="F12" s="22">
        <f t="shared" si="0"/>
        <v>2.94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2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40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505</v>
      </c>
      <c r="C26" s="16" t="s">
        <v>23</v>
      </c>
      <c r="D26" s="14">
        <f>D7</f>
        <v>7</v>
      </c>
      <c r="E26" s="15">
        <f>ROUND(D26/SUM(D$25:D$28)*100,3)</f>
        <v>28</v>
      </c>
    </row>
    <row r="27" spans="2:7" x14ac:dyDescent="0.25">
      <c r="B27" s="17" t="s">
        <v>30</v>
      </c>
      <c r="C27" s="17" t="s">
        <v>29</v>
      </c>
      <c r="D27" s="14">
        <f>D10</f>
        <v>8</v>
      </c>
      <c r="E27" s="15">
        <f>ROUND(D27/SUM(D$25:D$28)*100,3)</f>
        <v>32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66</v>
      </c>
    </row>
    <row r="2" spans="1:7" x14ac:dyDescent="0.25">
      <c r="A2" s="2" t="str">
        <f>TEXT(A1,"0.00")</f>
        <v>4.10</v>
      </c>
      <c r="B2" s="2" t="str">
        <f>VLOOKUP(A$2,Eixo4[],3,FALSE)</f>
        <v>Com relação ao ensino da graduação, avalie: [As políticas de revisão curricular para adequação aos objetivos institucionais, às demandas sociais e às necessidades individuais]</v>
      </c>
    </row>
    <row r="3" spans="1:7" x14ac:dyDescent="0.25">
      <c r="A3" s="2" t="s">
        <v>494</v>
      </c>
      <c r="B3" s="2" t="str">
        <f>VLOOKUP(A$2,Eixo4[],4,FALSE)</f>
        <v>Eixo 4: Questão 10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COUNTIFS(Resp4[Vínculo],"tecnico",Resp4[4.10],B7)</f>
        <v>0</v>
      </c>
      <c r="D7" s="4">
        <f>COUNTIFS(Resp4[Vínculo],"docente",Resp4[4.10],B7)</f>
        <v>5</v>
      </c>
      <c r="E7" s="4">
        <f>COUNTIF(Resp4[4.10],B7)</f>
        <v>5</v>
      </c>
      <c r="F7" s="4">
        <f t="shared" ref="F7:F13" si="0">ROUND($E7/E$13*100,2)</f>
        <v>7.35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COUNTIFS(Resp4[Vínculo],"tecnico",Resp4[4.10],B8)</f>
        <v>1</v>
      </c>
      <c r="D8" s="4">
        <f>COUNTIFS(Resp4[Vínculo],"docente",Resp4[4.10],B8)</f>
        <v>2</v>
      </c>
      <c r="E8" s="4">
        <f>COUNTIF(Resp4[4.10],B8)</f>
        <v>3</v>
      </c>
      <c r="F8" s="4">
        <f t="shared" si="0"/>
        <v>4.41</v>
      </c>
      <c r="G8" s="3">
        <f t="shared" si="1"/>
        <v>10</v>
      </c>
    </row>
    <row r="9" spans="1:7" x14ac:dyDescent="0.25">
      <c r="B9" s="2" t="s">
        <v>202</v>
      </c>
      <c r="C9" s="4">
        <f>COUNTIFS(Resp4[Vínculo],"tecnico",Resp4[4.10],B9)</f>
        <v>0</v>
      </c>
      <c r="D9" s="4">
        <f>COUNTIFS(Resp4[Vínculo],"docente",Resp4[4.10],B9)</f>
        <v>1</v>
      </c>
      <c r="E9" s="4">
        <f>COUNTIF(Resp4[4.10],B9)</f>
        <v>1</v>
      </c>
      <c r="F9" s="4">
        <f t="shared" si="0"/>
        <v>1.47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COUNTIFS(Resp4[Vínculo],"tecnico",Resp4[4.10],B10)</f>
        <v>0</v>
      </c>
      <c r="D10" s="4">
        <f>COUNTIFS(Resp4[Vínculo],"docente",Resp4[4.10],B10)</f>
        <v>7</v>
      </c>
      <c r="E10" s="4">
        <f>COUNTIF(Resp4[4.10],B10)</f>
        <v>7</v>
      </c>
      <c r="F10" s="4">
        <f t="shared" si="0"/>
        <v>10.29</v>
      </c>
      <c r="G10" s="3">
        <f t="shared" si="1"/>
        <v>23.332999999999998</v>
      </c>
    </row>
    <row r="11" spans="1:7" x14ac:dyDescent="0.25">
      <c r="B11" s="2" t="s">
        <v>199</v>
      </c>
      <c r="C11" s="4">
        <f>COUNTIFS(Resp4[Vínculo],"tecnico",Resp4[4.10],B11)</f>
        <v>2</v>
      </c>
      <c r="D11" s="4">
        <f>COUNTIFS(Resp4[Vínculo],"docente",Resp4[4.10],B11)</f>
        <v>8</v>
      </c>
      <c r="E11" s="4">
        <f>COUNTIF(Resp4[4.10],B11)</f>
        <v>10</v>
      </c>
      <c r="F11" s="4">
        <f t="shared" si="0"/>
        <v>14.71</v>
      </c>
      <c r="G11" s="3">
        <f t="shared" si="1"/>
        <v>33.332999999999998</v>
      </c>
    </row>
    <row r="12" spans="1:7" x14ac:dyDescent="0.25">
      <c r="B12" s="7" t="s">
        <v>200</v>
      </c>
      <c r="C12" s="4">
        <f>COUNTIFS(Resp4[Vínculo],"tecnico",Resp4[4.10],B12)</f>
        <v>2</v>
      </c>
      <c r="D12" s="4">
        <f>COUNTIFS(Resp4[Vínculo],"docente",Resp4[4.10],B12)</f>
        <v>2</v>
      </c>
      <c r="E12" s="4">
        <f>COUNTIF(Resp4[4.10],B12)</f>
        <v>4</v>
      </c>
      <c r="F12" s="22">
        <f t="shared" si="0"/>
        <v>5.88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12</v>
      </c>
    </row>
    <row r="26" spans="2:7" x14ac:dyDescent="0.25">
      <c r="B26" s="16" t="s">
        <v>201</v>
      </c>
      <c r="C26" s="16" t="s">
        <v>23</v>
      </c>
      <c r="D26" s="14">
        <f>D7</f>
        <v>5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28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40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67</v>
      </c>
    </row>
    <row r="2" spans="1:7" x14ac:dyDescent="0.25">
      <c r="A2" s="2" t="str">
        <f>TEXT(A1,"0.00")</f>
        <v>4.11</v>
      </c>
      <c r="B2" s="2" t="str">
        <f>VLOOKUP(A$2,Eixo4[],3,FALSE)</f>
        <v>Com relação ao ensino da graduação, avalie: [As políticas e ações que visam à redução da evasão nos cursos]</v>
      </c>
    </row>
    <row r="3" spans="1:7" x14ac:dyDescent="0.25">
      <c r="A3" s="2" t="s">
        <v>494</v>
      </c>
      <c r="B3" s="2" t="str">
        <f>VLOOKUP(A$2,Eixo4[],4,FALSE)</f>
        <v>Eixo 4: Questão 11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COUNTIFS(Resp4[Vínculo],"tecnico",Resp4[4.11],B7)</f>
        <v>0</v>
      </c>
      <c r="D7" s="4">
        <f>COUNTIFS(Resp4[Vínculo],"docente",Resp4[4.11],B7)</f>
        <v>3</v>
      </c>
      <c r="E7" s="4">
        <f>COUNTIF(Resp4[4.11],B7)</f>
        <v>3</v>
      </c>
      <c r="F7" s="4">
        <f t="shared" ref="F7:F13" si="0">ROUND($E7/E$13*100,2)</f>
        <v>4.41</v>
      </c>
      <c r="G7" s="3">
        <f t="shared" ref="G7:G12" si="1">ROUND($E7/SUM($E$7:$E$12)*100,3)</f>
        <v>10</v>
      </c>
    </row>
    <row r="8" spans="1:7" x14ac:dyDescent="0.25">
      <c r="B8" s="2" t="s">
        <v>206</v>
      </c>
      <c r="C8" s="4">
        <f>COUNTIFS(Resp4[Vínculo],"tecnico",Resp4[4.11],B8)</f>
        <v>1</v>
      </c>
      <c r="D8" s="4">
        <f>COUNTIFS(Resp4[Vínculo],"docente",Resp4[4.11],B8)</f>
        <v>4</v>
      </c>
      <c r="E8" s="4">
        <f>COUNTIF(Resp4[4.11],B8)</f>
        <v>5</v>
      </c>
      <c r="F8" s="4">
        <f t="shared" si="0"/>
        <v>7.35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COUNTIFS(Resp4[Vínculo],"tecnico",Resp4[4.11],B9)</f>
        <v>1</v>
      </c>
      <c r="D9" s="4">
        <f>COUNTIFS(Resp4[Vínculo],"docente",Resp4[4.11],B9)</f>
        <v>2</v>
      </c>
      <c r="E9" s="4">
        <f>COUNTIF(Resp4[4.11],B9)</f>
        <v>3</v>
      </c>
      <c r="F9" s="4">
        <f t="shared" si="0"/>
        <v>4.41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COUNTIFS(Resp4[Vínculo],"tecnico",Resp4[4.11],B10)</f>
        <v>0</v>
      </c>
      <c r="D10" s="4">
        <f>COUNTIFS(Resp4[Vínculo],"docente",Resp4[4.11],B10)</f>
        <v>10</v>
      </c>
      <c r="E10" s="4">
        <f>COUNTIF(Resp4[4.11],B10)</f>
        <v>10</v>
      </c>
      <c r="F10" s="4">
        <f t="shared" si="0"/>
        <v>14.71</v>
      </c>
      <c r="G10" s="3">
        <f t="shared" si="1"/>
        <v>33.332999999999998</v>
      </c>
    </row>
    <row r="11" spans="1:7" x14ac:dyDescent="0.25">
      <c r="B11" s="2" t="s">
        <v>199</v>
      </c>
      <c r="C11" s="4">
        <f>COUNTIFS(Resp4[Vínculo],"tecnico",Resp4[4.11],B11)</f>
        <v>1</v>
      </c>
      <c r="D11" s="4">
        <f>COUNTIFS(Resp4[Vínculo],"docente",Resp4[4.11],B11)</f>
        <v>5</v>
      </c>
      <c r="E11" s="4">
        <f>COUNTIF(Resp4[4.11],B11)</f>
        <v>6</v>
      </c>
      <c r="F11" s="4">
        <f t="shared" si="0"/>
        <v>8.82</v>
      </c>
      <c r="G11" s="3">
        <f t="shared" si="1"/>
        <v>20</v>
      </c>
    </row>
    <row r="12" spans="1:7" x14ac:dyDescent="0.25">
      <c r="B12" s="7" t="s">
        <v>200</v>
      </c>
      <c r="C12" s="4">
        <f>COUNTIFS(Resp4[Vínculo],"tecnico",Resp4[4.11],B12)</f>
        <v>2</v>
      </c>
      <c r="D12" s="4">
        <f>COUNTIFS(Resp4[Vínculo],"docente",Resp4[4.11],B12)</f>
        <v>1</v>
      </c>
      <c r="E12" s="4">
        <f>COUNTIF(Resp4[4.11],B12)</f>
        <v>3</v>
      </c>
      <c r="F12" s="22">
        <f t="shared" si="0"/>
        <v>4.41</v>
      </c>
      <c r="G12" s="3">
        <f t="shared" si="1"/>
        <v>10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40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6</v>
      </c>
      <c r="E25" s="15">
        <f>ROUND(D25/SUM(D$25:D$28)*100,3)</f>
        <v>24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12</v>
      </c>
    </row>
    <row r="27" spans="2:7" x14ac:dyDescent="0.25">
      <c r="B27" s="17" t="s">
        <v>30</v>
      </c>
      <c r="C27" s="17" t="s">
        <v>29</v>
      </c>
      <c r="D27" s="14">
        <f>D10</f>
        <v>10</v>
      </c>
      <c r="E27" s="15">
        <f>ROUND(D27/SUM(D$25:D$28)*100,3)</f>
        <v>40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68</v>
      </c>
    </row>
    <row r="2" spans="1:7" x14ac:dyDescent="0.25">
      <c r="A2" s="2" t="str">
        <f>TEXT(A1,"0.00")</f>
        <v>4.12</v>
      </c>
      <c r="B2" s="2" t="str">
        <f>VLOOKUP(A$2,Eixo4[],3,FALSE)</f>
        <v>Com relação ao ensino da graduação, avalie: [As políticas e ações de acompanhamento de egressos visando à atualização do currículo conforme demanda da sociedade e do mercado de trabalho]</v>
      </c>
    </row>
    <row r="3" spans="1:7" x14ac:dyDescent="0.25">
      <c r="A3" s="2" t="s">
        <v>494</v>
      </c>
      <c r="B3" s="2" t="str">
        <f>VLOOKUP(A$2,Eixo4[],4,FALSE)</f>
        <v>Eixo 4: Questão 12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COUNTIFS(Resp4[Vínculo],"tecnico",Resp4[4.12],B7)</f>
        <v>0</v>
      </c>
      <c r="D7" s="4">
        <f>COUNTIFS(Resp4[Vínculo],"docente",Resp4[4.12],B7)</f>
        <v>4</v>
      </c>
      <c r="E7" s="4">
        <f>COUNTIF(Resp4[4.12],B7)</f>
        <v>4</v>
      </c>
      <c r="F7" s="4">
        <f t="shared" ref="F7:F13" si="0">ROUND($E7/E$13*100,2)</f>
        <v>5.88</v>
      </c>
      <c r="G7" s="3">
        <f t="shared" ref="G7:G12" si="1">ROUND($E7/SUM($E$7:$E$12)*100,3)</f>
        <v>13.333</v>
      </c>
    </row>
    <row r="8" spans="1:7" x14ac:dyDescent="0.25">
      <c r="B8" s="2" t="s">
        <v>206</v>
      </c>
      <c r="C8" s="4">
        <f>COUNTIFS(Resp4[Vínculo],"tecnico",Resp4[4.12],B8)</f>
        <v>1</v>
      </c>
      <c r="D8" s="4">
        <f>COUNTIFS(Resp4[Vínculo],"docente",Resp4[4.12],B8)</f>
        <v>4</v>
      </c>
      <c r="E8" s="4">
        <f>COUNTIF(Resp4[4.12],B8)</f>
        <v>5</v>
      </c>
      <c r="F8" s="4">
        <f t="shared" si="0"/>
        <v>7.35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COUNTIFS(Resp4[Vínculo],"tecnico",Resp4[4.12],B9)</f>
        <v>1</v>
      </c>
      <c r="D9" s="4">
        <f>COUNTIFS(Resp4[Vínculo],"docente",Resp4[4.12],B9)</f>
        <v>4</v>
      </c>
      <c r="E9" s="4">
        <f>COUNTIF(Resp4[4.12],B9)</f>
        <v>5</v>
      </c>
      <c r="F9" s="4">
        <f t="shared" si="0"/>
        <v>7.35</v>
      </c>
      <c r="G9" s="3">
        <f t="shared" si="1"/>
        <v>16.667000000000002</v>
      </c>
    </row>
    <row r="10" spans="1:7" x14ac:dyDescent="0.25">
      <c r="B10" s="2" t="s">
        <v>30</v>
      </c>
      <c r="C10" s="4">
        <f>COUNTIFS(Resp4[Vínculo],"tecnico",Resp4[4.12],B10)</f>
        <v>0</v>
      </c>
      <c r="D10" s="4">
        <f>COUNTIFS(Resp4[Vínculo],"docente",Resp4[4.12],B10)</f>
        <v>7</v>
      </c>
      <c r="E10" s="4">
        <f>COUNTIF(Resp4[4.12],B10)</f>
        <v>7</v>
      </c>
      <c r="F10" s="4">
        <f t="shared" si="0"/>
        <v>10.29</v>
      </c>
      <c r="G10" s="3">
        <f t="shared" si="1"/>
        <v>23.332999999999998</v>
      </c>
    </row>
    <row r="11" spans="1:7" x14ac:dyDescent="0.25">
      <c r="B11" s="2" t="s">
        <v>199</v>
      </c>
      <c r="C11" s="4">
        <f>COUNTIFS(Resp4[Vínculo],"tecnico",Resp4[4.12],B11)</f>
        <v>1</v>
      </c>
      <c r="D11" s="4">
        <f>COUNTIFS(Resp4[Vínculo],"docente",Resp4[4.12],B11)</f>
        <v>6</v>
      </c>
      <c r="E11" s="4">
        <f>COUNTIF(Resp4[4.12],B11)</f>
        <v>7</v>
      </c>
      <c r="F11" s="4">
        <f t="shared" si="0"/>
        <v>10.29</v>
      </c>
      <c r="G11" s="3">
        <f t="shared" si="1"/>
        <v>23.332999999999998</v>
      </c>
    </row>
    <row r="12" spans="1:7" x14ac:dyDescent="0.25">
      <c r="B12" s="7" t="s">
        <v>200</v>
      </c>
      <c r="C12" s="4">
        <f>COUNTIFS(Resp4[Vínculo],"tecnico",Resp4[4.12],B12)</f>
        <v>2</v>
      </c>
      <c r="D12" s="4">
        <f>COUNTIFS(Resp4[Vínculo],"docente",Resp4[4.12],B12)</f>
        <v>0</v>
      </c>
      <c r="E12" s="4">
        <f>COUNTIF(Resp4[4.12],B12)</f>
        <v>2</v>
      </c>
      <c r="F12" s="22">
        <f t="shared" si="0"/>
        <v>2.94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2</v>
      </c>
      <c r="E18" s="15">
        <f>ROUND(D18/SUM(D$18:D$21)*100,3)</f>
        <v>40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32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28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24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71093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69</v>
      </c>
    </row>
    <row r="2" spans="1:7" x14ac:dyDescent="0.25">
      <c r="A2" s="2" t="str">
        <f>TEXT(A1,"0.00")</f>
        <v>4.13</v>
      </c>
      <c r="B2" s="2" t="str">
        <f>VLOOKUP(A$2,Eixo4[],3,FALSE)</f>
        <v>Com relação ao ensino da graduação, avalie: [Os programas de monitoria e tutoria com vistas a diminuir a retenção nos cursos]</v>
      </c>
    </row>
    <row r="3" spans="1:7" x14ac:dyDescent="0.25">
      <c r="A3" s="2" t="s">
        <v>494</v>
      </c>
      <c r="B3" s="2" t="str">
        <f>VLOOKUP(A$2,Eixo4[],4,FALSE)</f>
        <v>Eixo 4: Questão 13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COUNTIFS(Resp4[Vínculo],"tecnico",Resp4[4.13],B7)</f>
        <v>0</v>
      </c>
      <c r="D7" s="4">
        <f>COUNTIFS(Resp4[Vínculo],"docente",Resp4[4.13],B7)</f>
        <v>1</v>
      </c>
      <c r="E7" s="4">
        <f>COUNTIF(Resp4[4.13],B7)</f>
        <v>1</v>
      </c>
      <c r="F7" s="4">
        <f t="shared" ref="F7:F13" si="0">ROUND($E7/E$13*100,2)</f>
        <v>1.47</v>
      </c>
      <c r="G7" s="3">
        <f t="shared" ref="G7:G12" si="1">ROUND($E7/SUM($E$7:$E$12)*100,3)</f>
        <v>3.3330000000000002</v>
      </c>
    </row>
    <row r="8" spans="1:7" x14ac:dyDescent="0.25">
      <c r="B8" s="2" t="s">
        <v>206</v>
      </c>
      <c r="C8" s="4">
        <f>COUNTIFS(Resp4[Vínculo],"tecnico",Resp4[4.13],B8)</f>
        <v>0</v>
      </c>
      <c r="D8" s="4">
        <f>COUNTIFS(Resp4[Vínculo],"docente",Resp4[4.13],B8)</f>
        <v>2</v>
      </c>
      <c r="E8" s="4">
        <f>COUNTIF(Resp4[4.13],B8)</f>
        <v>2</v>
      </c>
      <c r="F8" s="4">
        <f t="shared" si="0"/>
        <v>2.94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COUNTIFS(Resp4[Vínculo],"tecnico",Resp4[4.13],B9)</f>
        <v>0</v>
      </c>
      <c r="D9" s="4">
        <f>COUNTIFS(Resp4[Vínculo],"docente",Resp4[4.13],B9)</f>
        <v>3</v>
      </c>
      <c r="E9" s="4">
        <f>COUNTIF(Resp4[4.13],B9)</f>
        <v>3</v>
      </c>
      <c r="F9" s="4">
        <f t="shared" si="0"/>
        <v>4.41</v>
      </c>
      <c r="G9" s="3">
        <f t="shared" si="1"/>
        <v>10</v>
      </c>
    </row>
    <row r="10" spans="1:7" x14ac:dyDescent="0.25">
      <c r="B10" s="2" t="s">
        <v>30</v>
      </c>
      <c r="C10" s="4">
        <f>COUNTIFS(Resp4[Vínculo],"tecnico",Resp4[4.13],B10)</f>
        <v>2</v>
      </c>
      <c r="D10" s="4">
        <f>COUNTIFS(Resp4[Vínculo],"docente",Resp4[4.13],B10)</f>
        <v>5</v>
      </c>
      <c r="E10" s="4">
        <f>COUNTIF(Resp4[4.13],B10)</f>
        <v>7</v>
      </c>
      <c r="F10" s="4">
        <f t="shared" si="0"/>
        <v>10.29</v>
      </c>
      <c r="G10" s="3">
        <f t="shared" si="1"/>
        <v>23.332999999999998</v>
      </c>
    </row>
    <row r="11" spans="1:7" x14ac:dyDescent="0.25">
      <c r="B11" s="2" t="s">
        <v>199</v>
      </c>
      <c r="C11" s="4">
        <f>COUNTIFS(Resp4[Vínculo],"tecnico",Resp4[4.13],B11)</f>
        <v>1</v>
      </c>
      <c r="D11" s="4">
        <f>COUNTIFS(Resp4[Vínculo],"docente",Resp4[4.13],B11)</f>
        <v>11</v>
      </c>
      <c r="E11" s="4">
        <f>COUNTIF(Resp4[4.13],B11)</f>
        <v>12</v>
      </c>
      <c r="F11" s="4">
        <f t="shared" si="0"/>
        <v>17.649999999999999</v>
      </c>
      <c r="G11" s="3">
        <f t="shared" si="1"/>
        <v>40</v>
      </c>
    </row>
    <row r="12" spans="1:7" x14ac:dyDescent="0.25">
      <c r="B12" s="7" t="s">
        <v>200</v>
      </c>
      <c r="C12" s="4">
        <f>COUNTIFS(Resp4[Vínculo],"tecnico",Resp4[4.13],B12)</f>
        <v>2</v>
      </c>
      <c r="D12" s="4">
        <f>COUNTIFS(Resp4[Vínculo],"docente",Resp4[4.13],B12)</f>
        <v>3</v>
      </c>
      <c r="E12" s="4">
        <f>COUNTIF(Resp4[4.13],B12)</f>
        <v>5</v>
      </c>
      <c r="F12" s="22">
        <f t="shared" si="0"/>
        <v>7.35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40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20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4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56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H1437"/>
  <sheetViews>
    <sheetView zoomScale="80" zoomScaleNormal="80" workbookViewId="0">
      <selection activeCell="A2" sqref="A2:EH36"/>
    </sheetView>
  </sheetViews>
  <sheetFormatPr defaultColWidth="23.42578125" defaultRowHeight="23.25" customHeight="1" x14ac:dyDescent="0.25"/>
  <cols>
    <col min="1" max="1" width="10.140625" bestFit="1" customWidth="1"/>
    <col min="2" max="2" width="9.85546875" bestFit="1" customWidth="1"/>
    <col min="3" max="3" width="7.28515625" bestFit="1" customWidth="1"/>
    <col min="4" max="19" width="17.5703125" bestFit="1" customWidth="1"/>
    <col min="20" max="21" width="7.28515625" bestFit="1" customWidth="1"/>
    <col min="22" max="25" width="17.5703125" bestFit="1" customWidth="1"/>
    <col min="26" max="26" width="8.5703125" bestFit="1" customWidth="1"/>
    <col min="27" max="34" width="17.5703125" bestFit="1" customWidth="1"/>
    <col min="35" max="35" width="7.28515625" bestFit="1" customWidth="1"/>
    <col min="36" max="38" width="17.5703125" bestFit="1" customWidth="1"/>
    <col min="39" max="39" width="10.7109375" bestFit="1" customWidth="1"/>
    <col min="40" max="40" width="7.28515625" bestFit="1" customWidth="1"/>
    <col min="41" max="46" width="17.5703125" bestFit="1" customWidth="1"/>
    <col min="47" max="47" width="9.85546875" bestFit="1" customWidth="1"/>
    <col min="48" max="50" width="17.5703125" bestFit="1" customWidth="1"/>
    <col min="51" max="51" width="10.7109375" bestFit="1" customWidth="1"/>
    <col min="52" max="53" width="7.28515625" bestFit="1" customWidth="1"/>
    <col min="54" max="71" width="17.5703125" bestFit="1" customWidth="1"/>
    <col min="72" max="72" width="10.7109375" bestFit="1" customWidth="1"/>
    <col min="73" max="79" width="12.7109375" bestFit="1" customWidth="1"/>
    <col min="80" max="80" width="7.28515625" bestFit="1" customWidth="1"/>
    <col min="81" max="81" width="36.5703125" bestFit="1" customWidth="1"/>
    <col min="82" max="87" width="7.28515625" bestFit="1" customWidth="1"/>
    <col min="88" max="114" width="17.5703125" bestFit="1" customWidth="1"/>
    <col min="115" max="116" width="8.28515625" bestFit="1" customWidth="1"/>
    <col min="117" max="130" width="17.5703125" bestFit="1" customWidth="1"/>
    <col min="131" max="132" width="8.28515625" bestFit="1" customWidth="1"/>
    <col min="133" max="138" width="17.5703125" bestFit="1" customWidth="1"/>
  </cols>
  <sheetData>
    <row r="1" spans="1:138" ht="23.25" customHeight="1" x14ac:dyDescent="0.25">
      <c r="A1" s="1" t="s">
        <v>55</v>
      </c>
      <c r="B1" t="s">
        <v>56</v>
      </c>
      <c r="C1" t="s">
        <v>57</v>
      </c>
      <c r="D1" t="s">
        <v>58</v>
      </c>
      <c r="E1" t="s">
        <v>59</v>
      </c>
      <c r="F1" t="s">
        <v>60</v>
      </c>
      <c r="G1" t="s">
        <v>61</v>
      </c>
      <c r="H1" t="s">
        <v>62</v>
      </c>
      <c r="I1" t="s">
        <v>63</v>
      </c>
      <c r="J1" t="s">
        <v>64</v>
      </c>
      <c r="K1" t="s">
        <v>65</v>
      </c>
      <c r="L1" t="s">
        <v>66</v>
      </c>
      <c r="M1" t="s">
        <v>67</v>
      </c>
      <c r="N1" t="s">
        <v>68</v>
      </c>
      <c r="O1" t="s">
        <v>69</v>
      </c>
      <c r="P1" t="s">
        <v>70</v>
      </c>
      <c r="Q1" t="s">
        <v>71</v>
      </c>
      <c r="R1" t="s">
        <v>72</v>
      </c>
      <c r="S1" t="s">
        <v>73</v>
      </c>
      <c r="T1" t="s">
        <v>74</v>
      </c>
      <c r="U1" t="s">
        <v>75</v>
      </c>
      <c r="V1" t="s">
        <v>76</v>
      </c>
      <c r="W1" t="s">
        <v>77</v>
      </c>
      <c r="X1" t="s">
        <v>78</v>
      </c>
      <c r="Y1" t="s">
        <v>79</v>
      </c>
      <c r="Z1" t="s">
        <v>80</v>
      </c>
      <c r="AA1" t="s">
        <v>81</v>
      </c>
      <c r="AB1" t="s">
        <v>82</v>
      </c>
      <c r="AC1" t="s">
        <v>83</v>
      </c>
      <c r="AD1" t="s">
        <v>84</v>
      </c>
      <c r="AE1" t="s">
        <v>85</v>
      </c>
      <c r="AF1" t="s">
        <v>86</v>
      </c>
      <c r="AG1" t="s">
        <v>87</v>
      </c>
      <c r="AH1" t="s">
        <v>88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</row>
    <row r="2" spans="1:138" ht="23.25" customHeight="1" x14ac:dyDescent="0.25">
      <c r="A2" s="98" t="s">
        <v>16</v>
      </c>
      <c r="B2" s="99" t="s">
        <v>193</v>
      </c>
      <c r="C2" s="99" t="s">
        <v>194</v>
      </c>
      <c r="D2" s="99" t="s">
        <v>195</v>
      </c>
      <c r="E2" s="99" t="s">
        <v>195</v>
      </c>
      <c r="F2" s="99" t="s">
        <v>195</v>
      </c>
      <c r="G2" s="99" t="s">
        <v>195</v>
      </c>
      <c r="H2" s="99" t="s">
        <v>195</v>
      </c>
      <c r="I2" s="99" t="s">
        <v>195</v>
      </c>
      <c r="J2" s="99" t="s">
        <v>195</v>
      </c>
      <c r="K2" s="99" t="s">
        <v>195</v>
      </c>
      <c r="L2" s="99" t="s">
        <v>195</v>
      </c>
      <c r="M2" s="99" t="s">
        <v>195</v>
      </c>
      <c r="N2" s="99" t="s">
        <v>195</v>
      </c>
      <c r="O2" s="99" t="s">
        <v>195</v>
      </c>
      <c r="P2" s="99" t="s">
        <v>195</v>
      </c>
      <c r="Q2" s="99" t="s">
        <v>195</v>
      </c>
      <c r="R2" s="99" t="s">
        <v>195</v>
      </c>
      <c r="S2" s="99" t="s">
        <v>195</v>
      </c>
      <c r="T2" s="99"/>
      <c r="U2" s="99" t="s">
        <v>194</v>
      </c>
      <c r="V2" s="99" t="s">
        <v>195</v>
      </c>
      <c r="W2" s="99" t="s">
        <v>195</v>
      </c>
      <c r="X2" s="99" t="s">
        <v>195</v>
      </c>
      <c r="Y2" s="99" t="s">
        <v>195</v>
      </c>
      <c r="Z2" s="99" t="s">
        <v>196</v>
      </c>
      <c r="AA2" s="99" t="s">
        <v>195</v>
      </c>
      <c r="AB2" s="99" t="s">
        <v>195</v>
      </c>
      <c r="AC2" s="99" t="s">
        <v>195</v>
      </c>
      <c r="AD2" s="99" t="s">
        <v>195</v>
      </c>
      <c r="AE2" s="99" t="s">
        <v>195</v>
      </c>
      <c r="AF2" s="99" t="s">
        <v>195</v>
      </c>
      <c r="AG2" s="99" t="s">
        <v>195</v>
      </c>
      <c r="AH2" s="99" t="s">
        <v>195</v>
      </c>
      <c r="AI2" s="99" t="s">
        <v>194</v>
      </c>
      <c r="AJ2" s="99" t="s">
        <v>195</v>
      </c>
      <c r="AK2" s="99" t="s">
        <v>195</v>
      </c>
      <c r="AL2" s="99" t="s">
        <v>195</v>
      </c>
      <c r="AM2" s="99"/>
      <c r="AN2" s="99" t="s">
        <v>194</v>
      </c>
      <c r="AO2" s="99" t="s">
        <v>195</v>
      </c>
      <c r="AP2" s="99" t="s">
        <v>195</v>
      </c>
      <c r="AQ2" s="99" t="s">
        <v>195</v>
      </c>
      <c r="AR2" s="99" t="s">
        <v>195</v>
      </c>
      <c r="AS2" s="99" t="s">
        <v>195</v>
      </c>
      <c r="AT2" s="99" t="s">
        <v>195</v>
      </c>
      <c r="AU2" s="99" t="s">
        <v>195</v>
      </c>
      <c r="AV2" s="99" t="s">
        <v>195</v>
      </c>
      <c r="AW2" s="99" t="s">
        <v>195</v>
      </c>
      <c r="AX2" s="99" t="s">
        <v>195</v>
      </c>
      <c r="AY2" s="99"/>
      <c r="AZ2" s="99" t="s">
        <v>194</v>
      </c>
      <c r="BA2" s="99" t="s">
        <v>194</v>
      </c>
      <c r="BB2" s="99" t="s">
        <v>195</v>
      </c>
      <c r="BC2" s="99" t="s">
        <v>195</v>
      </c>
      <c r="BD2" s="99" t="s">
        <v>195</v>
      </c>
      <c r="BE2" s="99" t="s">
        <v>195</v>
      </c>
      <c r="BF2" s="99" t="s">
        <v>195</v>
      </c>
      <c r="BG2" s="99" t="s">
        <v>195</v>
      </c>
      <c r="BH2" s="99" t="s">
        <v>195</v>
      </c>
      <c r="BI2" s="99" t="s">
        <v>195</v>
      </c>
      <c r="BJ2" s="99" t="s">
        <v>195</v>
      </c>
      <c r="BK2" s="99" t="s">
        <v>195</v>
      </c>
      <c r="BL2" s="99" t="s">
        <v>195</v>
      </c>
      <c r="BM2" s="99" t="s">
        <v>195</v>
      </c>
      <c r="BN2" s="99" t="s">
        <v>195</v>
      </c>
      <c r="BO2" s="99" t="s">
        <v>195</v>
      </c>
      <c r="BP2" s="99" t="s">
        <v>195</v>
      </c>
      <c r="BQ2" s="99" t="s">
        <v>195</v>
      </c>
      <c r="BR2" s="99" t="s">
        <v>195</v>
      </c>
      <c r="BS2" s="99" t="s">
        <v>195</v>
      </c>
      <c r="BT2" s="99"/>
      <c r="BU2" s="99" t="s">
        <v>30</v>
      </c>
      <c r="BV2" s="99" t="s">
        <v>30</v>
      </c>
      <c r="BW2" s="99" t="s">
        <v>30</v>
      </c>
      <c r="BX2" s="99" t="s">
        <v>30</v>
      </c>
      <c r="BY2" s="99" t="s">
        <v>30</v>
      </c>
      <c r="BZ2" s="99" t="s">
        <v>30</v>
      </c>
      <c r="CA2" s="99" t="s">
        <v>30</v>
      </c>
      <c r="CB2" s="99"/>
      <c r="CC2" s="99" t="s">
        <v>197</v>
      </c>
      <c r="CD2" s="99"/>
      <c r="CE2" s="99" t="s">
        <v>198</v>
      </c>
      <c r="CF2" s="99" t="s">
        <v>195</v>
      </c>
      <c r="CG2" s="99" t="s">
        <v>195</v>
      </c>
      <c r="CH2" s="99" t="s">
        <v>195</v>
      </c>
      <c r="CI2" s="99" t="s">
        <v>194</v>
      </c>
      <c r="CJ2" s="99" t="s">
        <v>195</v>
      </c>
      <c r="CK2" s="99" t="s">
        <v>195</v>
      </c>
      <c r="CL2" s="99" t="s">
        <v>195</v>
      </c>
      <c r="CM2" s="99" t="s">
        <v>195</v>
      </c>
      <c r="CN2" s="99" t="s">
        <v>195</v>
      </c>
      <c r="CO2" s="99" t="s">
        <v>195</v>
      </c>
      <c r="CP2" s="99" t="s">
        <v>195</v>
      </c>
      <c r="CQ2" s="99" t="s">
        <v>195</v>
      </c>
      <c r="CR2" s="99" t="s">
        <v>195</v>
      </c>
      <c r="CS2" s="99" t="s">
        <v>195</v>
      </c>
      <c r="CT2" s="99" t="s">
        <v>195</v>
      </c>
      <c r="CU2" s="99" t="s">
        <v>195</v>
      </c>
      <c r="CV2" s="99" t="s">
        <v>195</v>
      </c>
      <c r="CW2" s="99" t="s">
        <v>195</v>
      </c>
      <c r="CX2" s="99" t="s">
        <v>195</v>
      </c>
      <c r="CY2" s="99" t="s">
        <v>195</v>
      </c>
      <c r="CZ2" s="99" t="s">
        <v>195</v>
      </c>
      <c r="DA2" s="99" t="s">
        <v>195</v>
      </c>
      <c r="DB2" s="99" t="s">
        <v>195</v>
      </c>
      <c r="DC2" s="99" t="s">
        <v>195</v>
      </c>
      <c r="DD2" s="99" t="s">
        <v>195</v>
      </c>
      <c r="DE2" s="99" t="s">
        <v>195</v>
      </c>
      <c r="DF2" s="99" t="s">
        <v>195</v>
      </c>
      <c r="DG2" s="99" t="s">
        <v>195</v>
      </c>
      <c r="DH2" s="99" t="s">
        <v>195</v>
      </c>
      <c r="DI2" s="99" t="s">
        <v>195</v>
      </c>
      <c r="DJ2" s="99" t="s">
        <v>195</v>
      </c>
      <c r="DK2" s="99"/>
      <c r="DL2" s="99" t="s">
        <v>194</v>
      </c>
      <c r="DM2" s="99" t="s">
        <v>195</v>
      </c>
      <c r="DN2" s="99" t="s">
        <v>195</v>
      </c>
      <c r="DO2" s="99" t="s">
        <v>195</v>
      </c>
      <c r="DP2" s="99" t="s">
        <v>195</v>
      </c>
      <c r="DQ2" s="99" t="s">
        <v>195</v>
      </c>
      <c r="DR2" s="99" t="s">
        <v>195</v>
      </c>
      <c r="DS2" s="99" t="s">
        <v>195</v>
      </c>
      <c r="DT2" s="99" t="s">
        <v>195</v>
      </c>
      <c r="DU2" s="99" t="s">
        <v>195</v>
      </c>
      <c r="DV2" s="99" t="s">
        <v>195</v>
      </c>
      <c r="DW2" s="99" t="s">
        <v>195</v>
      </c>
      <c r="DX2" s="99" t="s">
        <v>195</v>
      </c>
      <c r="DY2" s="99" t="s">
        <v>195</v>
      </c>
      <c r="DZ2" s="99" t="s">
        <v>195</v>
      </c>
      <c r="EA2" s="99"/>
      <c r="EB2" s="99" t="s">
        <v>194</v>
      </c>
      <c r="EC2" s="99" t="s">
        <v>195</v>
      </c>
      <c r="ED2" s="99" t="s">
        <v>195</v>
      </c>
      <c r="EE2" s="99" t="s">
        <v>195</v>
      </c>
      <c r="EF2" s="99" t="s">
        <v>195</v>
      </c>
      <c r="EG2" s="99" t="s">
        <v>195</v>
      </c>
      <c r="EH2" s="100" t="s">
        <v>195</v>
      </c>
    </row>
    <row r="3" spans="1:138" ht="23.25" customHeight="1" x14ac:dyDescent="0.25">
      <c r="A3" s="101" t="s">
        <v>17</v>
      </c>
      <c r="B3" s="90" t="s">
        <v>193</v>
      </c>
      <c r="C3" s="90" t="s">
        <v>198</v>
      </c>
      <c r="D3" s="90" t="s">
        <v>30</v>
      </c>
      <c r="E3" s="90" t="s">
        <v>30</v>
      </c>
      <c r="F3" s="90" t="s">
        <v>199</v>
      </c>
      <c r="G3" s="90" t="s">
        <v>200</v>
      </c>
      <c r="H3" s="90" t="s">
        <v>201</v>
      </c>
      <c r="I3" s="90" t="s">
        <v>30</v>
      </c>
      <c r="J3" s="90" t="s">
        <v>199</v>
      </c>
      <c r="K3" s="90" t="s">
        <v>199</v>
      </c>
      <c r="L3" s="90" t="s">
        <v>30</v>
      </c>
      <c r="M3" s="90" t="s">
        <v>30</v>
      </c>
      <c r="N3" s="90" t="s">
        <v>30</v>
      </c>
      <c r="O3" s="90" t="s">
        <v>30</v>
      </c>
      <c r="P3" s="90" t="s">
        <v>30</v>
      </c>
      <c r="Q3" s="90" t="s">
        <v>199</v>
      </c>
      <c r="R3" s="90" t="s">
        <v>201</v>
      </c>
      <c r="S3" s="90" t="s">
        <v>199</v>
      </c>
      <c r="T3" s="90"/>
      <c r="U3" s="90" t="s">
        <v>194</v>
      </c>
      <c r="V3" s="90" t="s">
        <v>195</v>
      </c>
      <c r="W3" s="90" t="s">
        <v>195</v>
      </c>
      <c r="X3" s="90" t="s">
        <v>195</v>
      </c>
      <c r="Y3" s="90" t="s">
        <v>195</v>
      </c>
      <c r="Z3" s="90" t="s">
        <v>196</v>
      </c>
      <c r="AA3" s="90" t="s">
        <v>195</v>
      </c>
      <c r="AB3" s="90" t="s">
        <v>195</v>
      </c>
      <c r="AC3" s="90" t="s">
        <v>195</v>
      </c>
      <c r="AD3" s="90" t="s">
        <v>195</v>
      </c>
      <c r="AE3" s="90" t="s">
        <v>195</v>
      </c>
      <c r="AF3" s="90" t="s">
        <v>195</v>
      </c>
      <c r="AG3" s="90" t="s">
        <v>195</v>
      </c>
      <c r="AH3" s="90" t="s">
        <v>195</v>
      </c>
      <c r="AI3" s="90" t="s">
        <v>194</v>
      </c>
      <c r="AJ3" s="90" t="s">
        <v>195</v>
      </c>
      <c r="AK3" s="90" t="s">
        <v>195</v>
      </c>
      <c r="AL3" s="90" t="s">
        <v>195</v>
      </c>
      <c r="AM3" s="90"/>
      <c r="AN3" s="90" t="s">
        <v>194</v>
      </c>
      <c r="AO3" s="90" t="s">
        <v>195</v>
      </c>
      <c r="AP3" s="90" t="s">
        <v>195</v>
      </c>
      <c r="AQ3" s="90" t="s">
        <v>195</v>
      </c>
      <c r="AR3" s="90" t="s">
        <v>195</v>
      </c>
      <c r="AS3" s="90" t="s">
        <v>195</v>
      </c>
      <c r="AT3" s="90" t="s">
        <v>195</v>
      </c>
      <c r="AU3" s="90" t="s">
        <v>195</v>
      </c>
      <c r="AV3" s="90" t="s">
        <v>195</v>
      </c>
      <c r="AW3" s="90" t="s">
        <v>195</v>
      </c>
      <c r="AX3" s="90" t="s">
        <v>195</v>
      </c>
      <c r="AY3" s="90"/>
      <c r="AZ3" s="90" t="s">
        <v>198</v>
      </c>
      <c r="BA3" s="90" t="s">
        <v>198</v>
      </c>
      <c r="BB3" s="90" t="s">
        <v>200</v>
      </c>
      <c r="BC3" s="90" t="s">
        <v>202</v>
      </c>
      <c r="BD3" s="90" t="s">
        <v>202</v>
      </c>
      <c r="BE3" s="90" t="s">
        <v>202</v>
      </c>
      <c r="BF3" s="90" t="s">
        <v>202</v>
      </c>
      <c r="BG3" s="90" t="s">
        <v>202</v>
      </c>
      <c r="BH3" s="90" t="s">
        <v>202</v>
      </c>
      <c r="BI3" s="90" t="s">
        <v>202</v>
      </c>
      <c r="BJ3" s="90" t="s">
        <v>202</v>
      </c>
      <c r="BK3" s="90" t="s">
        <v>201</v>
      </c>
      <c r="BL3" s="90" t="s">
        <v>199</v>
      </c>
      <c r="BM3" s="90" t="s">
        <v>200</v>
      </c>
      <c r="BN3" s="90" t="s">
        <v>30</v>
      </c>
      <c r="BO3" s="90" t="s">
        <v>30</v>
      </c>
      <c r="BP3" s="90" t="s">
        <v>199</v>
      </c>
      <c r="BQ3" s="90" t="s">
        <v>199</v>
      </c>
      <c r="BR3" s="90" t="s">
        <v>199</v>
      </c>
      <c r="BS3" s="90" t="s">
        <v>199</v>
      </c>
      <c r="BT3" s="90"/>
      <c r="BU3" s="90" t="s">
        <v>203</v>
      </c>
      <c r="BV3" s="90" t="s">
        <v>195</v>
      </c>
      <c r="BW3" s="90" t="s">
        <v>195</v>
      </c>
      <c r="BX3" s="90" t="s">
        <v>203</v>
      </c>
      <c r="BY3" s="90" t="s">
        <v>203</v>
      </c>
      <c r="BZ3" s="90" t="s">
        <v>195</v>
      </c>
      <c r="CA3" s="90" t="s">
        <v>195</v>
      </c>
      <c r="CB3" s="90"/>
      <c r="CC3" s="90" t="s">
        <v>204</v>
      </c>
      <c r="CD3" s="90"/>
      <c r="CE3" s="90" t="s">
        <v>198</v>
      </c>
      <c r="CF3" s="90"/>
      <c r="CG3" s="90"/>
      <c r="CH3" s="90"/>
      <c r="CI3" s="90" t="s">
        <v>194</v>
      </c>
      <c r="CJ3" s="90" t="s">
        <v>195</v>
      </c>
      <c r="CK3" s="90" t="s">
        <v>195</v>
      </c>
      <c r="CL3" s="90" t="s">
        <v>195</v>
      </c>
      <c r="CM3" s="90" t="s">
        <v>195</v>
      </c>
      <c r="CN3" s="90" t="s">
        <v>195</v>
      </c>
      <c r="CO3" s="90" t="s">
        <v>195</v>
      </c>
      <c r="CP3" s="90" t="s">
        <v>195</v>
      </c>
      <c r="CQ3" s="90" t="s">
        <v>195</v>
      </c>
      <c r="CR3" s="90" t="s">
        <v>195</v>
      </c>
      <c r="CS3" s="90" t="s">
        <v>195</v>
      </c>
      <c r="CT3" s="90" t="s">
        <v>195</v>
      </c>
      <c r="CU3" s="90" t="s">
        <v>195</v>
      </c>
      <c r="CV3" s="90" t="s">
        <v>195</v>
      </c>
      <c r="CW3" s="90" t="s">
        <v>195</v>
      </c>
      <c r="CX3" s="90" t="s">
        <v>195</v>
      </c>
      <c r="CY3" s="90" t="s">
        <v>195</v>
      </c>
      <c r="CZ3" s="90" t="s">
        <v>195</v>
      </c>
      <c r="DA3" s="90" t="s">
        <v>195</v>
      </c>
      <c r="DB3" s="90" t="s">
        <v>195</v>
      </c>
      <c r="DC3" s="90" t="s">
        <v>195</v>
      </c>
      <c r="DD3" s="90" t="s">
        <v>195</v>
      </c>
      <c r="DE3" s="90" t="s">
        <v>195</v>
      </c>
      <c r="DF3" s="90" t="s">
        <v>195</v>
      </c>
      <c r="DG3" s="90" t="s">
        <v>195</v>
      </c>
      <c r="DH3" s="90" t="s">
        <v>195</v>
      </c>
      <c r="DI3" s="90" t="s">
        <v>195</v>
      </c>
      <c r="DJ3" s="90" t="s">
        <v>195</v>
      </c>
      <c r="DK3" s="90"/>
      <c r="DL3" s="90" t="s">
        <v>194</v>
      </c>
      <c r="DM3" s="90" t="s">
        <v>195</v>
      </c>
      <c r="DN3" s="90" t="s">
        <v>195</v>
      </c>
      <c r="DO3" s="90" t="s">
        <v>195</v>
      </c>
      <c r="DP3" s="90" t="s">
        <v>195</v>
      </c>
      <c r="DQ3" s="90" t="s">
        <v>195</v>
      </c>
      <c r="DR3" s="90" t="s">
        <v>195</v>
      </c>
      <c r="DS3" s="90" t="s">
        <v>195</v>
      </c>
      <c r="DT3" s="90" t="s">
        <v>195</v>
      </c>
      <c r="DU3" s="90" t="s">
        <v>195</v>
      </c>
      <c r="DV3" s="90" t="s">
        <v>195</v>
      </c>
      <c r="DW3" s="90" t="s">
        <v>195</v>
      </c>
      <c r="DX3" s="90" t="s">
        <v>195</v>
      </c>
      <c r="DY3" s="90" t="s">
        <v>195</v>
      </c>
      <c r="DZ3" s="90" t="s">
        <v>195</v>
      </c>
      <c r="EA3" s="90"/>
      <c r="EB3" s="90" t="s">
        <v>194</v>
      </c>
      <c r="EC3" s="90" t="s">
        <v>195</v>
      </c>
      <c r="ED3" s="90" t="s">
        <v>195</v>
      </c>
      <c r="EE3" s="90" t="s">
        <v>195</v>
      </c>
      <c r="EF3" s="90" t="s">
        <v>195</v>
      </c>
      <c r="EG3" s="90" t="s">
        <v>195</v>
      </c>
      <c r="EH3" s="102" t="s">
        <v>195</v>
      </c>
    </row>
    <row r="4" spans="1:138" ht="23.25" customHeight="1" x14ac:dyDescent="0.25">
      <c r="A4" s="98" t="s">
        <v>16</v>
      </c>
      <c r="B4" s="99" t="s">
        <v>193</v>
      </c>
      <c r="C4" s="99" t="s">
        <v>194</v>
      </c>
      <c r="D4" s="99" t="s">
        <v>195</v>
      </c>
      <c r="E4" s="99" t="s">
        <v>195</v>
      </c>
      <c r="F4" s="99" t="s">
        <v>195</v>
      </c>
      <c r="G4" s="99" t="s">
        <v>195</v>
      </c>
      <c r="H4" s="99" t="s">
        <v>195</v>
      </c>
      <c r="I4" s="99" t="s">
        <v>195</v>
      </c>
      <c r="J4" s="99" t="s">
        <v>195</v>
      </c>
      <c r="K4" s="99" t="s">
        <v>195</v>
      </c>
      <c r="L4" s="99" t="s">
        <v>195</v>
      </c>
      <c r="M4" s="99" t="s">
        <v>195</v>
      </c>
      <c r="N4" s="99" t="s">
        <v>195</v>
      </c>
      <c r="O4" s="99" t="s">
        <v>195</v>
      </c>
      <c r="P4" s="99" t="s">
        <v>195</v>
      </c>
      <c r="Q4" s="99" t="s">
        <v>195</v>
      </c>
      <c r="R4" s="99" t="s">
        <v>195</v>
      </c>
      <c r="S4" s="99" t="s">
        <v>195</v>
      </c>
      <c r="T4" s="99"/>
      <c r="U4" s="99" t="s">
        <v>194</v>
      </c>
      <c r="V4" s="99" t="s">
        <v>195</v>
      </c>
      <c r="W4" s="99" t="s">
        <v>195</v>
      </c>
      <c r="X4" s="99" t="s">
        <v>195</v>
      </c>
      <c r="Y4" s="99" t="s">
        <v>195</v>
      </c>
      <c r="Z4" s="99" t="s">
        <v>196</v>
      </c>
      <c r="AA4" s="99" t="s">
        <v>195</v>
      </c>
      <c r="AB4" s="99" t="s">
        <v>195</v>
      </c>
      <c r="AC4" s="99" t="s">
        <v>195</v>
      </c>
      <c r="AD4" s="99" t="s">
        <v>195</v>
      </c>
      <c r="AE4" s="99" t="s">
        <v>195</v>
      </c>
      <c r="AF4" s="99" t="s">
        <v>195</v>
      </c>
      <c r="AG4" s="99" t="s">
        <v>195</v>
      </c>
      <c r="AH4" s="99" t="s">
        <v>195</v>
      </c>
      <c r="AI4" s="99" t="s">
        <v>194</v>
      </c>
      <c r="AJ4" s="99" t="s">
        <v>195</v>
      </c>
      <c r="AK4" s="99" t="s">
        <v>195</v>
      </c>
      <c r="AL4" s="99" t="s">
        <v>195</v>
      </c>
      <c r="AM4" s="99"/>
      <c r="AN4" s="99" t="s">
        <v>194</v>
      </c>
      <c r="AO4" s="99" t="s">
        <v>195</v>
      </c>
      <c r="AP4" s="99" t="s">
        <v>195</v>
      </c>
      <c r="AQ4" s="99" t="s">
        <v>195</v>
      </c>
      <c r="AR4" s="99" t="s">
        <v>195</v>
      </c>
      <c r="AS4" s="99" t="s">
        <v>195</v>
      </c>
      <c r="AT4" s="99" t="s">
        <v>195</v>
      </c>
      <c r="AU4" s="99" t="s">
        <v>195</v>
      </c>
      <c r="AV4" s="99" t="s">
        <v>195</v>
      </c>
      <c r="AW4" s="99" t="s">
        <v>195</v>
      </c>
      <c r="AX4" s="99" t="s">
        <v>195</v>
      </c>
      <c r="AY4" s="99"/>
      <c r="AZ4" s="99" t="s">
        <v>194</v>
      </c>
      <c r="BA4" s="99" t="s">
        <v>194</v>
      </c>
      <c r="BB4" s="99" t="s">
        <v>195</v>
      </c>
      <c r="BC4" s="99" t="s">
        <v>195</v>
      </c>
      <c r="BD4" s="99" t="s">
        <v>195</v>
      </c>
      <c r="BE4" s="99" t="s">
        <v>195</v>
      </c>
      <c r="BF4" s="99" t="s">
        <v>195</v>
      </c>
      <c r="BG4" s="99" t="s">
        <v>195</v>
      </c>
      <c r="BH4" s="99" t="s">
        <v>195</v>
      </c>
      <c r="BI4" s="99" t="s">
        <v>195</v>
      </c>
      <c r="BJ4" s="99" t="s">
        <v>195</v>
      </c>
      <c r="BK4" s="99" t="s">
        <v>195</v>
      </c>
      <c r="BL4" s="99" t="s">
        <v>195</v>
      </c>
      <c r="BM4" s="99" t="s">
        <v>195</v>
      </c>
      <c r="BN4" s="99" t="s">
        <v>195</v>
      </c>
      <c r="BO4" s="99" t="s">
        <v>195</v>
      </c>
      <c r="BP4" s="99" t="s">
        <v>195</v>
      </c>
      <c r="BQ4" s="99" t="s">
        <v>195</v>
      </c>
      <c r="BR4" s="99" t="s">
        <v>195</v>
      </c>
      <c r="BS4" s="99" t="s">
        <v>195</v>
      </c>
      <c r="BT4" s="99"/>
      <c r="BU4" s="99" t="s">
        <v>200</v>
      </c>
      <c r="BV4" s="99" t="s">
        <v>200</v>
      </c>
      <c r="BW4" s="99" t="s">
        <v>199</v>
      </c>
      <c r="BX4" s="99" t="s">
        <v>199</v>
      </c>
      <c r="BY4" s="99" t="s">
        <v>199</v>
      </c>
      <c r="BZ4" s="99" t="s">
        <v>199</v>
      </c>
      <c r="CA4" s="99" t="s">
        <v>200</v>
      </c>
      <c r="CB4" s="99"/>
      <c r="CC4" s="99" t="s">
        <v>204</v>
      </c>
      <c r="CD4" s="99"/>
      <c r="CE4" s="99" t="s">
        <v>198</v>
      </c>
      <c r="CF4" s="99"/>
      <c r="CG4" s="99"/>
      <c r="CH4" s="99"/>
      <c r="CI4" s="99" t="s">
        <v>194</v>
      </c>
      <c r="CJ4" s="99" t="s">
        <v>195</v>
      </c>
      <c r="CK4" s="99" t="s">
        <v>195</v>
      </c>
      <c r="CL4" s="99" t="s">
        <v>195</v>
      </c>
      <c r="CM4" s="99" t="s">
        <v>195</v>
      </c>
      <c r="CN4" s="99" t="s">
        <v>195</v>
      </c>
      <c r="CO4" s="99" t="s">
        <v>195</v>
      </c>
      <c r="CP4" s="99" t="s">
        <v>195</v>
      </c>
      <c r="CQ4" s="99" t="s">
        <v>195</v>
      </c>
      <c r="CR4" s="99" t="s">
        <v>195</v>
      </c>
      <c r="CS4" s="99" t="s">
        <v>195</v>
      </c>
      <c r="CT4" s="99" t="s">
        <v>195</v>
      </c>
      <c r="CU4" s="99" t="s">
        <v>195</v>
      </c>
      <c r="CV4" s="99" t="s">
        <v>195</v>
      </c>
      <c r="CW4" s="99" t="s">
        <v>195</v>
      </c>
      <c r="CX4" s="99" t="s">
        <v>195</v>
      </c>
      <c r="CY4" s="99" t="s">
        <v>195</v>
      </c>
      <c r="CZ4" s="99" t="s">
        <v>195</v>
      </c>
      <c r="DA4" s="99" t="s">
        <v>195</v>
      </c>
      <c r="DB4" s="99" t="s">
        <v>195</v>
      </c>
      <c r="DC4" s="99" t="s">
        <v>195</v>
      </c>
      <c r="DD4" s="99" t="s">
        <v>195</v>
      </c>
      <c r="DE4" s="99" t="s">
        <v>195</v>
      </c>
      <c r="DF4" s="99" t="s">
        <v>195</v>
      </c>
      <c r="DG4" s="99" t="s">
        <v>195</v>
      </c>
      <c r="DH4" s="99" t="s">
        <v>195</v>
      </c>
      <c r="DI4" s="99" t="s">
        <v>195</v>
      </c>
      <c r="DJ4" s="99" t="s">
        <v>195</v>
      </c>
      <c r="DK4" s="99"/>
      <c r="DL4" s="99" t="s">
        <v>194</v>
      </c>
      <c r="DM4" s="99" t="s">
        <v>195</v>
      </c>
      <c r="DN4" s="99" t="s">
        <v>195</v>
      </c>
      <c r="DO4" s="99" t="s">
        <v>195</v>
      </c>
      <c r="DP4" s="99" t="s">
        <v>195</v>
      </c>
      <c r="DQ4" s="99" t="s">
        <v>195</v>
      </c>
      <c r="DR4" s="99" t="s">
        <v>195</v>
      </c>
      <c r="DS4" s="99" t="s">
        <v>195</v>
      </c>
      <c r="DT4" s="99" t="s">
        <v>195</v>
      </c>
      <c r="DU4" s="99" t="s">
        <v>195</v>
      </c>
      <c r="DV4" s="99" t="s">
        <v>195</v>
      </c>
      <c r="DW4" s="99" t="s">
        <v>195</v>
      </c>
      <c r="DX4" s="99" t="s">
        <v>195</v>
      </c>
      <c r="DY4" s="99" t="s">
        <v>195</v>
      </c>
      <c r="DZ4" s="99" t="s">
        <v>195</v>
      </c>
      <c r="EA4" s="99"/>
      <c r="EB4" s="99" t="s">
        <v>194</v>
      </c>
      <c r="EC4" s="99" t="s">
        <v>195</v>
      </c>
      <c r="ED4" s="99" t="s">
        <v>195</v>
      </c>
      <c r="EE4" s="99" t="s">
        <v>195</v>
      </c>
      <c r="EF4" s="99" t="s">
        <v>195</v>
      </c>
      <c r="EG4" s="99" t="s">
        <v>195</v>
      </c>
      <c r="EH4" s="100" t="s">
        <v>195</v>
      </c>
    </row>
    <row r="5" spans="1:138" ht="23.25" customHeight="1" x14ac:dyDescent="0.25">
      <c r="A5" s="101" t="s">
        <v>16</v>
      </c>
      <c r="B5" s="90" t="s">
        <v>193</v>
      </c>
      <c r="C5" s="90" t="s">
        <v>198</v>
      </c>
      <c r="D5" s="90" t="s">
        <v>199</v>
      </c>
      <c r="E5" s="90" t="s">
        <v>30</v>
      </c>
      <c r="F5" s="90" t="s">
        <v>199</v>
      </c>
      <c r="G5" s="90" t="s">
        <v>201</v>
      </c>
      <c r="H5" s="90" t="s">
        <v>201</v>
      </c>
      <c r="I5" s="90" t="s">
        <v>202</v>
      </c>
      <c r="J5" s="90" t="s">
        <v>199</v>
      </c>
      <c r="K5" s="90" t="s">
        <v>202</v>
      </c>
      <c r="L5" s="90" t="s">
        <v>199</v>
      </c>
      <c r="M5" s="90" t="s">
        <v>202</v>
      </c>
      <c r="N5" s="90" t="s">
        <v>202</v>
      </c>
      <c r="O5" s="90" t="s">
        <v>30</v>
      </c>
      <c r="P5" s="90" t="s">
        <v>30</v>
      </c>
      <c r="Q5" s="90" t="s">
        <v>199</v>
      </c>
      <c r="R5" s="90" t="s">
        <v>201</v>
      </c>
      <c r="S5" s="90" t="s">
        <v>30</v>
      </c>
      <c r="T5" s="90"/>
      <c r="U5" s="90" t="s">
        <v>194</v>
      </c>
      <c r="V5" s="90" t="s">
        <v>195</v>
      </c>
      <c r="W5" s="90" t="s">
        <v>195</v>
      </c>
      <c r="X5" s="90" t="s">
        <v>195</v>
      </c>
      <c r="Y5" s="90" t="s">
        <v>195</v>
      </c>
      <c r="Z5" s="90" t="s">
        <v>196</v>
      </c>
      <c r="AA5" s="90" t="s">
        <v>195</v>
      </c>
      <c r="AB5" s="90" t="s">
        <v>195</v>
      </c>
      <c r="AC5" s="90" t="s">
        <v>195</v>
      </c>
      <c r="AD5" s="90" t="s">
        <v>195</v>
      </c>
      <c r="AE5" s="90" t="s">
        <v>195</v>
      </c>
      <c r="AF5" s="90" t="s">
        <v>195</v>
      </c>
      <c r="AG5" s="90" t="s">
        <v>195</v>
      </c>
      <c r="AH5" s="90" t="s">
        <v>195</v>
      </c>
      <c r="AI5" s="90" t="s">
        <v>194</v>
      </c>
      <c r="AJ5" s="90" t="s">
        <v>195</v>
      </c>
      <c r="AK5" s="90" t="s">
        <v>195</v>
      </c>
      <c r="AL5" s="90" t="s">
        <v>195</v>
      </c>
      <c r="AM5" s="90"/>
      <c r="AN5" s="90" t="s">
        <v>194</v>
      </c>
      <c r="AO5" s="90" t="s">
        <v>195</v>
      </c>
      <c r="AP5" s="90" t="s">
        <v>195</v>
      </c>
      <c r="AQ5" s="90" t="s">
        <v>195</v>
      </c>
      <c r="AR5" s="90" t="s">
        <v>195</v>
      </c>
      <c r="AS5" s="90" t="s">
        <v>195</v>
      </c>
      <c r="AT5" s="90" t="s">
        <v>195</v>
      </c>
      <c r="AU5" s="90" t="s">
        <v>195</v>
      </c>
      <c r="AV5" s="90" t="s">
        <v>195</v>
      </c>
      <c r="AW5" s="90" t="s">
        <v>195</v>
      </c>
      <c r="AX5" s="90" t="s">
        <v>195</v>
      </c>
      <c r="AY5" s="90"/>
      <c r="AZ5" s="90" t="s">
        <v>194</v>
      </c>
      <c r="BA5" s="90" t="s">
        <v>194</v>
      </c>
      <c r="BB5" s="90" t="s">
        <v>195</v>
      </c>
      <c r="BC5" s="90" t="s">
        <v>195</v>
      </c>
      <c r="BD5" s="90" t="s">
        <v>195</v>
      </c>
      <c r="BE5" s="90" t="s">
        <v>195</v>
      </c>
      <c r="BF5" s="90" t="s">
        <v>195</v>
      </c>
      <c r="BG5" s="90" t="s">
        <v>195</v>
      </c>
      <c r="BH5" s="90" t="s">
        <v>195</v>
      </c>
      <c r="BI5" s="90" t="s">
        <v>195</v>
      </c>
      <c r="BJ5" s="90" t="s">
        <v>195</v>
      </c>
      <c r="BK5" s="90" t="s">
        <v>195</v>
      </c>
      <c r="BL5" s="90" t="s">
        <v>195</v>
      </c>
      <c r="BM5" s="90" t="s">
        <v>195</v>
      </c>
      <c r="BN5" s="90" t="s">
        <v>195</v>
      </c>
      <c r="BO5" s="90" t="s">
        <v>195</v>
      </c>
      <c r="BP5" s="90" t="s">
        <v>195</v>
      </c>
      <c r="BQ5" s="90" t="s">
        <v>195</v>
      </c>
      <c r="BR5" s="90" t="s">
        <v>195</v>
      </c>
      <c r="BS5" s="90" t="s">
        <v>195</v>
      </c>
      <c r="BT5" s="90"/>
      <c r="BU5" s="90" t="s">
        <v>199</v>
      </c>
      <c r="BV5" s="90" t="s">
        <v>30</v>
      </c>
      <c r="BW5" s="90" t="s">
        <v>200</v>
      </c>
      <c r="BX5" s="90" t="s">
        <v>199</v>
      </c>
      <c r="BY5" s="90" t="s">
        <v>195</v>
      </c>
      <c r="BZ5" s="90" t="s">
        <v>195</v>
      </c>
      <c r="CA5" s="90" t="s">
        <v>199</v>
      </c>
      <c r="CB5" s="90"/>
      <c r="CC5" s="90" t="s">
        <v>205</v>
      </c>
      <c r="CD5" s="90"/>
      <c r="CE5" s="90" t="s">
        <v>198</v>
      </c>
      <c r="CF5" s="90"/>
      <c r="CG5" s="90"/>
      <c r="CH5" s="90"/>
      <c r="CI5" s="90" t="s">
        <v>194</v>
      </c>
      <c r="CJ5" s="90" t="s">
        <v>195</v>
      </c>
      <c r="CK5" s="90" t="s">
        <v>195</v>
      </c>
      <c r="CL5" s="90" t="s">
        <v>195</v>
      </c>
      <c r="CM5" s="90" t="s">
        <v>195</v>
      </c>
      <c r="CN5" s="90" t="s">
        <v>195</v>
      </c>
      <c r="CO5" s="90" t="s">
        <v>195</v>
      </c>
      <c r="CP5" s="90" t="s">
        <v>195</v>
      </c>
      <c r="CQ5" s="90" t="s">
        <v>195</v>
      </c>
      <c r="CR5" s="90" t="s">
        <v>195</v>
      </c>
      <c r="CS5" s="90" t="s">
        <v>195</v>
      </c>
      <c r="CT5" s="90" t="s">
        <v>195</v>
      </c>
      <c r="CU5" s="90" t="s">
        <v>195</v>
      </c>
      <c r="CV5" s="90" t="s">
        <v>195</v>
      </c>
      <c r="CW5" s="90" t="s">
        <v>195</v>
      </c>
      <c r="CX5" s="90" t="s">
        <v>195</v>
      </c>
      <c r="CY5" s="90" t="s">
        <v>195</v>
      </c>
      <c r="CZ5" s="90" t="s">
        <v>195</v>
      </c>
      <c r="DA5" s="90" t="s">
        <v>195</v>
      </c>
      <c r="DB5" s="90" t="s">
        <v>195</v>
      </c>
      <c r="DC5" s="90" t="s">
        <v>195</v>
      </c>
      <c r="DD5" s="90" t="s">
        <v>195</v>
      </c>
      <c r="DE5" s="90" t="s">
        <v>195</v>
      </c>
      <c r="DF5" s="90" t="s">
        <v>195</v>
      </c>
      <c r="DG5" s="90" t="s">
        <v>195</v>
      </c>
      <c r="DH5" s="90" t="s">
        <v>195</v>
      </c>
      <c r="DI5" s="90" t="s">
        <v>195</v>
      </c>
      <c r="DJ5" s="90" t="s">
        <v>195</v>
      </c>
      <c r="DK5" s="90"/>
      <c r="DL5" s="90" t="s">
        <v>194</v>
      </c>
      <c r="DM5" s="90" t="s">
        <v>195</v>
      </c>
      <c r="DN5" s="90" t="s">
        <v>195</v>
      </c>
      <c r="DO5" s="90" t="s">
        <v>195</v>
      </c>
      <c r="DP5" s="90" t="s">
        <v>195</v>
      </c>
      <c r="DQ5" s="90" t="s">
        <v>195</v>
      </c>
      <c r="DR5" s="90" t="s">
        <v>195</v>
      </c>
      <c r="DS5" s="90" t="s">
        <v>195</v>
      </c>
      <c r="DT5" s="90" t="s">
        <v>195</v>
      </c>
      <c r="DU5" s="90" t="s">
        <v>195</v>
      </c>
      <c r="DV5" s="90" t="s">
        <v>195</v>
      </c>
      <c r="DW5" s="90" t="s">
        <v>195</v>
      </c>
      <c r="DX5" s="90" t="s">
        <v>195</v>
      </c>
      <c r="DY5" s="90" t="s">
        <v>195</v>
      </c>
      <c r="DZ5" s="90" t="s">
        <v>195</v>
      </c>
      <c r="EA5" s="90"/>
      <c r="EB5" s="90" t="s">
        <v>194</v>
      </c>
      <c r="EC5" s="90" t="s">
        <v>195</v>
      </c>
      <c r="ED5" s="90" t="s">
        <v>195</v>
      </c>
      <c r="EE5" s="90" t="s">
        <v>195</v>
      </c>
      <c r="EF5" s="90" t="s">
        <v>195</v>
      </c>
      <c r="EG5" s="90" t="s">
        <v>195</v>
      </c>
      <c r="EH5" s="102" t="s">
        <v>195</v>
      </c>
    </row>
    <row r="6" spans="1:138" ht="23.25" customHeight="1" x14ac:dyDescent="0.25">
      <c r="A6" s="98" t="s">
        <v>16</v>
      </c>
      <c r="B6" s="99" t="s">
        <v>193</v>
      </c>
      <c r="C6" s="99" t="s">
        <v>194</v>
      </c>
      <c r="D6" s="99" t="s">
        <v>195</v>
      </c>
      <c r="E6" s="99" t="s">
        <v>195</v>
      </c>
      <c r="F6" s="99" t="s">
        <v>195</v>
      </c>
      <c r="G6" s="99" t="s">
        <v>195</v>
      </c>
      <c r="H6" s="99" t="s">
        <v>195</v>
      </c>
      <c r="I6" s="99" t="s">
        <v>195</v>
      </c>
      <c r="J6" s="99" t="s">
        <v>195</v>
      </c>
      <c r="K6" s="99" t="s">
        <v>195</v>
      </c>
      <c r="L6" s="99" t="s">
        <v>195</v>
      </c>
      <c r="M6" s="99" t="s">
        <v>195</v>
      </c>
      <c r="N6" s="99" t="s">
        <v>195</v>
      </c>
      <c r="O6" s="99" t="s">
        <v>195</v>
      </c>
      <c r="P6" s="99" t="s">
        <v>195</v>
      </c>
      <c r="Q6" s="99" t="s">
        <v>195</v>
      </c>
      <c r="R6" s="99" t="s">
        <v>195</v>
      </c>
      <c r="S6" s="99" t="s">
        <v>195</v>
      </c>
      <c r="T6" s="99"/>
      <c r="U6" s="99" t="s">
        <v>194</v>
      </c>
      <c r="V6" s="99" t="s">
        <v>195</v>
      </c>
      <c r="W6" s="99" t="s">
        <v>195</v>
      </c>
      <c r="X6" s="99" t="s">
        <v>195</v>
      </c>
      <c r="Y6" s="99" t="s">
        <v>195</v>
      </c>
      <c r="Z6" s="99" t="s">
        <v>196</v>
      </c>
      <c r="AA6" s="99" t="s">
        <v>195</v>
      </c>
      <c r="AB6" s="99" t="s">
        <v>195</v>
      </c>
      <c r="AC6" s="99" t="s">
        <v>195</v>
      </c>
      <c r="AD6" s="99" t="s">
        <v>195</v>
      </c>
      <c r="AE6" s="99" t="s">
        <v>195</v>
      </c>
      <c r="AF6" s="99" t="s">
        <v>195</v>
      </c>
      <c r="AG6" s="99" t="s">
        <v>195</v>
      </c>
      <c r="AH6" s="99" t="s">
        <v>195</v>
      </c>
      <c r="AI6" s="99" t="s">
        <v>194</v>
      </c>
      <c r="AJ6" s="99" t="s">
        <v>195</v>
      </c>
      <c r="AK6" s="99" t="s">
        <v>195</v>
      </c>
      <c r="AL6" s="99" t="s">
        <v>195</v>
      </c>
      <c r="AM6" s="99"/>
      <c r="AN6" s="99" t="s">
        <v>194</v>
      </c>
      <c r="AO6" s="99" t="s">
        <v>195</v>
      </c>
      <c r="AP6" s="99" t="s">
        <v>195</v>
      </c>
      <c r="AQ6" s="99" t="s">
        <v>195</v>
      </c>
      <c r="AR6" s="99" t="s">
        <v>195</v>
      </c>
      <c r="AS6" s="99" t="s">
        <v>195</v>
      </c>
      <c r="AT6" s="99" t="s">
        <v>195</v>
      </c>
      <c r="AU6" s="99" t="s">
        <v>195</v>
      </c>
      <c r="AV6" s="99" t="s">
        <v>195</v>
      </c>
      <c r="AW6" s="99" t="s">
        <v>195</v>
      </c>
      <c r="AX6" s="99" t="s">
        <v>195</v>
      </c>
      <c r="AY6" s="99"/>
      <c r="AZ6" s="99" t="s">
        <v>194</v>
      </c>
      <c r="BA6" s="99" t="s">
        <v>194</v>
      </c>
      <c r="BB6" s="99" t="s">
        <v>195</v>
      </c>
      <c r="BC6" s="99" t="s">
        <v>195</v>
      </c>
      <c r="BD6" s="99" t="s">
        <v>195</v>
      </c>
      <c r="BE6" s="99" t="s">
        <v>195</v>
      </c>
      <c r="BF6" s="99" t="s">
        <v>195</v>
      </c>
      <c r="BG6" s="99" t="s">
        <v>195</v>
      </c>
      <c r="BH6" s="99" t="s">
        <v>195</v>
      </c>
      <c r="BI6" s="99" t="s">
        <v>195</v>
      </c>
      <c r="BJ6" s="99" t="s">
        <v>195</v>
      </c>
      <c r="BK6" s="99" t="s">
        <v>195</v>
      </c>
      <c r="BL6" s="99" t="s">
        <v>195</v>
      </c>
      <c r="BM6" s="99" t="s">
        <v>195</v>
      </c>
      <c r="BN6" s="99" t="s">
        <v>195</v>
      </c>
      <c r="BO6" s="99" t="s">
        <v>195</v>
      </c>
      <c r="BP6" s="99" t="s">
        <v>195</v>
      </c>
      <c r="BQ6" s="99" t="s">
        <v>195</v>
      </c>
      <c r="BR6" s="99" t="s">
        <v>195</v>
      </c>
      <c r="BS6" s="99" t="s">
        <v>195</v>
      </c>
      <c r="BT6" s="99"/>
      <c r="BU6" s="99" t="s">
        <v>195</v>
      </c>
      <c r="BV6" s="99" t="s">
        <v>195</v>
      </c>
      <c r="BW6" s="99" t="s">
        <v>195</v>
      </c>
      <c r="BX6" s="99" t="s">
        <v>195</v>
      </c>
      <c r="BY6" s="99" t="s">
        <v>195</v>
      </c>
      <c r="BZ6" s="99" t="s">
        <v>195</v>
      </c>
      <c r="CA6" s="99" t="s">
        <v>199</v>
      </c>
      <c r="CB6" s="99"/>
      <c r="CC6" s="99" t="s">
        <v>204</v>
      </c>
      <c r="CD6" s="99"/>
      <c r="CE6" s="99" t="s">
        <v>198</v>
      </c>
      <c r="CF6" s="99"/>
      <c r="CG6" s="99"/>
      <c r="CH6" s="99"/>
      <c r="CI6" s="99" t="s">
        <v>194</v>
      </c>
      <c r="CJ6" s="99" t="s">
        <v>195</v>
      </c>
      <c r="CK6" s="99" t="s">
        <v>195</v>
      </c>
      <c r="CL6" s="99" t="s">
        <v>195</v>
      </c>
      <c r="CM6" s="99" t="s">
        <v>195</v>
      </c>
      <c r="CN6" s="99" t="s">
        <v>195</v>
      </c>
      <c r="CO6" s="99" t="s">
        <v>195</v>
      </c>
      <c r="CP6" s="99" t="s">
        <v>195</v>
      </c>
      <c r="CQ6" s="99" t="s">
        <v>195</v>
      </c>
      <c r="CR6" s="99" t="s">
        <v>195</v>
      </c>
      <c r="CS6" s="99" t="s">
        <v>195</v>
      </c>
      <c r="CT6" s="99" t="s">
        <v>195</v>
      </c>
      <c r="CU6" s="99" t="s">
        <v>195</v>
      </c>
      <c r="CV6" s="99" t="s">
        <v>195</v>
      </c>
      <c r="CW6" s="99" t="s">
        <v>195</v>
      </c>
      <c r="CX6" s="99" t="s">
        <v>195</v>
      </c>
      <c r="CY6" s="99" t="s">
        <v>195</v>
      </c>
      <c r="CZ6" s="99" t="s">
        <v>195</v>
      </c>
      <c r="DA6" s="99" t="s">
        <v>195</v>
      </c>
      <c r="DB6" s="99" t="s">
        <v>195</v>
      </c>
      <c r="DC6" s="99" t="s">
        <v>195</v>
      </c>
      <c r="DD6" s="99" t="s">
        <v>195</v>
      </c>
      <c r="DE6" s="99" t="s">
        <v>195</v>
      </c>
      <c r="DF6" s="99" t="s">
        <v>195</v>
      </c>
      <c r="DG6" s="99" t="s">
        <v>195</v>
      </c>
      <c r="DH6" s="99" t="s">
        <v>195</v>
      </c>
      <c r="DI6" s="99" t="s">
        <v>195</v>
      </c>
      <c r="DJ6" s="99" t="s">
        <v>195</v>
      </c>
      <c r="DK6" s="99"/>
      <c r="DL6" s="99" t="s">
        <v>194</v>
      </c>
      <c r="DM6" s="99" t="s">
        <v>195</v>
      </c>
      <c r="DN6" s="99" t="s">
        <v>195</v>
      </c>
      <c r="DO6" s="99" t="s">
        <v>195</v>
      </c>
      <c r="DP6" s="99" t="s">
        <v>195</v>
      </c>
      <c r="DQ6" s="99" t="s">
        <v>195</v>
      </c>
      <c r="DR6" s="99" t="s">
        <v>195</v>
      </c>
      <c r="DS6" s="99" t="s">
        <v>195</v>
      </c>
      <c r="DT6" s="99" t="s">
        <v>195</v>
      </c>
      <c r="DU6" s="99" t="s">
        <v>195</v>
      </c>
      <c r="DV6" s="99" t="s">
        <v>195</v>
      </c>
      <c r="DW6" s="99" t="s">
        <v>195</v>
      </c>
      <c r="DX6" s="99" t="s">
        <v>195</v>
      </c>
      <c r="DY6" s="99" t="s">
        <v>195</v>
      </c>
      <c r="DZ6" s="99" t="s">
        <v>195</v>
      </c>
      <c r="EA6" s="99"/>
      <c r="EB6" s="99" t="s">
        <v>194</v>
      </c>
      <c r="EC6" s="99" t="s">
        <v>195</v>
      </c>
      <c r="ED6" s="99" t="s">
        <v>195</v>
      </c>
      <c r="EE6" s="99" t="s">
        <v>195</v>
      </c>
      <c r="EF6" s="99" t="s">
        <v>195</v>
      </c>
      <c r="EG6" s="99" t="s">
        <v>195</v>
      </c>
      <c r="EH6" s="100" t="s">
        <v>195</v>
      </c>
    </row>
    <row r="7" spans="1:138" ht="23.25" customHeight="1" x14ac:dyDescent="0.25">
      <c r="A7" s="101" t="s">
        <v>16</v>
      </c>
      <c r="B7" s="90" t="s">
        <v>193</v>
      </c>
      <c r="C7" s="90" t="s">
        <v>194</v>
      </c>
      <c r="D7" s="90" t="s">
        <v>195</v>
      </c>
      <c r="E7" s="90" t="s">
        <v>195</v>
      </c>
      <c r="F7" s="90" t="s">
        <v>195</v>
      </c>
      <c r="G7" s="90" t="s">
        <v>195</v>
      </c>
      <c r="H7" s="90" t="s">
        <v>195</v>
      </c>
      <c r="I7" s="90" t="s">
        <v>195</v>
      </c>
      <c r="J7" s="90" t="s">
        <v>195</v>
      </c>
      <c r="K7" s="90" t="s">
        <v>195</v>
      </c>
      <c r="L7" s="90" t="s">
        <v>195</v>
      </c>
      <c r="M7" s="90" t="s">
        <v>195</v>
      </c>
      <c r="N7" s="90" t="s">
        <v>195</v>
      </c>
      <c r="O7" s="90" t="s">
        <v>195</v>
      </c>
      <c r="P7" s="90" t="s">
        <v>195</v>
      </c>
      <c r="Q7" s="90" t="s">
        <v>195</v>
      </c>
      <c r="R7" s="90" t="s">
        <v>195</v>
      </c>
      <c r="S7" s="90" t="s">
        <v>195</v>
      </c>
      <c r="T7" s="90"/>
      <c r="U7" s="90" t="s">
        <v>194</v>
      </c>
      <c r="V7" s="90" t="s">
        <v>195</v>
      </c>
      <c r="W7" s="90" t="s">
        <v>195</v>
      </c>
      <c r="X7" s="90" t="s">
        <v>195</v>
      </c>
      <c r="Y7" s="90" t="s">
        <v>195</v>
      </c>
      <c r="Z7" s="90" t="s">
        <v>196</v>
      </c>
      <c r="AA7" s="90" t="s">
        <v>195</v>
      </c>
      <c r="AB7" s="90" t="s">
        <v>195</v>
      </c>
      <c r="AC7" s="90" t="s">
        <v>195</v>
      </c>
      <c r="AD7" s="90" t="s">
        <v>195</v>
      </c>
      <c r="AE7" s="90" t="s">
        <v>195</v>
      </c>
      <c r="AF7" s="90" t="s">
        <v>195</v>
      </c>
      <c r="AG7" s="90" t="s">
        <v>195</v>
      </c>
      <c r="AH7" s="90" t="s">
        <v>195</v>
      </c>
      <c r="AI7" s="90" t="s">
        <v>194</v>
      </c>
      <c r="AJ7" s="90" t="s">
        <v>195</v>
      </c>
      <c r="AK7" s="90" t="s">
        <v>195</v>
      </c>
      <c r="AL7" s="90" t="s">
        <v>195</v>
      </c>
      <c r="AM7" s="90"/>
      <c r="AN7" s="90" t="s">
        <v>194</v>
      </c>
      <c r="AO7" s="90" t="s">
        <v>195</v>
      </c>
      <c r="AP7" s="90" t="s">
        <v>195</v>
      </c>
      <c r="AQ7" s="90" t="s">
        <v>195</v>
      </c>
      <c r="AR7" s="90" t="s">
        <v>195</v>
      </c>
      <c r="AS7" s="90" t="s">
        <v>195</v>
      </c>
      <c r="AT7" s="90" t="s">
        <v>195</v>
      </c>
      <c r="AU7" s="90" t="s">
        <v>195</v>
      </c>
      <c r="AV7" s="90" t="s">
        <v>195</v>
      </c>
      <c r="AW7" s="90" t="s">
        <v>195</v>
      </c>
      <c r="AX7" s="90" t="s">
        <v>195</v>
      </c>
      <c r="AY7" s="90"/>
      <c r="AZ7" s="90" t="s">
        <v>194</v>
      </c>
      <c r="BA7" s="90" t="s">
        <v>194</v>
      </c>
      <c r="BB7" s="90" t="s">
        <v>195</v>
      </c>
      <c r="BC7" s="90" t="s">
        <v>195</v>
      </c>
      <c r="BD7" s="90" t="s">
        <v>195</v>
      </c>
      <c r="BE7" s="90" t="s">
        <v>195</v>
      </c>
      <c r="BF7" s="90" t="s">
        <v>195</v>
      </c>
      <c r="BG7" s="90" t="s">
        <v>195</v>
      </c>
      <c r="BH7" s="90" t="s">
        <v>195</v>
      </c>
      <c r="BI7" s="90" t="s">
        <v>195</v>
      </c>
      <c r="BJ7" s="90" t="s">
        <v>195</v>
      </c>
      <c r="BK7" s="90" t="s">
        <v>195</v>
      </c>
      <c r="BL7" s="90" t="s">
        <v>195</v>
      </c>
      <c r="BM7" s="90" t="s">
        <v>195</v>
      </c>
      <c r="BN7" s="90" t="s">
        <v>195</v>
      </c>
      <c r="BO7" s="90" t="s">
        <v>195</v>
      </c>
      <c r="BP7" s="90" t="s">
        <v>195</v>
      </c>
      <c r="BQ7" s="90" t="s">
        <v>195</v>
      </c>
      <c r="BR7" s="90" t="s">
        <v>195</v>
      </c>
      <c r="BS7" s="90" t="s">
        <v>195</v>
      </c>
      <c r="BT7" s="90"/>
      <c r="BU7" s="90" t="s">
        <v>199</v>
      </c>
      <c r="BV7" s="90" t="s">
        <v>199</v>
      </c>
      <c r="BW7" s="90" t="s">
        <v>199</v>
      </c>
      <c r="BX7" s="90" t="s">
        <v>195</v>
      </c>
      <c r="BY7" s="90" t="s">
        <v>195</v>
      </c>
      <c r="BZ7" s="90" t="s">
        <v>195</v>
      </c>
      <c r="CA7" s="90" t="s">
        <v>199</v>
      </c>
      <c r="CB7" s="90"/>
      <c r="CC7" s="90" t="s">
        <v>205</v>
      </c>
      <c r="CD7" s="90"/>
      <c r="CE7" s="90" t="s">
        <v>198</v>
      </c>
      <c r="CF7" s="90"/>
      <c r="CG7" s="90"/>
      <c r="CH7" s="90"/>
      <c r="CI7" s="90" t="s">
        <v>198</v>
      </c>
      <c r="CJ7" s="90" t="s">
        <v>199</v>
      </c>
      <c r="CK7" s="90" t="s">
        <v>30</v>
      </c>
      <c r="CL7" s="90" t="s">
        <v>30</v>
      </c>
      <c r="CM7" s="90" t="s">
        <v>30</v>
      </c>
      <c r="CN7" s="90" t="s">
        <v>202</v>
      </c>
      <c r="CO7" s="90" t="s">
        <v>202</v>
      </c>
      <c r="CP7" s="90" t="s">
        <v>199</v>
      </c>
      <c r="CQ7" s="90" t="s">
        <v>199</v>
      </c>
      <c r="CR7" s="90" t="s">
        <v>30</v>
      </c>
      <c r="CS7" s="90" t="s">
        <v>199</v>
      </c>
      <c r="CT7" s="90" t="s">
        <v>200</v>
      </c>
      <c r="CU7" s="90" t="s">
        <v>200</v>
      </c>
      <c r="CV7" s="90" t="s">
        <v>199</v>
      </c>
      <c r="CW7" s="90" t="s">
        <v>200</v>
      </c>
      <c r="CX7" s="90" t="s">
        <v>30</v>
      </c>
      <c r="CY7" s="90" t="s">
        <v>200</v>
      </c>
      <c r="CZ7" s="90" t="s">
        <v>200</v>
      </c>
      <c r="DA7" s="90" t="s">
        <v>199</v>
      </c>
      <c r="DB7" s="90" t="s">
        <v>199</v>
      </c>
      <c r="DC7" s="90" t="s">
        <v>199</v>
      </c>
      <c r="DD7" s="90" t="s">
        <v>199</v>
      </c>
      <c r="DE7" s="90" t="s">
        <v>199</v>
      </c>
      <c r="DF7" s="90" t="s">
        <v>199</v>
      </c>
      <c r="DG7" s="90" t="s">
        <v>201</v>
      </c>
      <c r="DH7" s="90" t="s">
        <v>201</v>
      </c>
      <c r="DI7" s="90" t="s">
        <v>201</v>
      </c>
      <c r="DJ7" s="90" t="s">
        <v>201</v>
      </c>
      <c r="DK7" s="90"/>
      <c r="DL7" s="90" t="s">
        <v>198</v>
      </c>
      <c r="DM7" s="90" t="s">
        <v>30</v>
      </c>
      <c r="DN7" s="90" t="s">
        <v>30</v>
      </c>
      <c r="DO7" s="90" t="s">
        <v>202</v>
      </c>
      <c r="DP7" s="90" t="s">
        <v>202</v>
      </c>
      <c r="DQ7" s="90" t="s">
        <v>199</v>
      </c>
      <c r="DR7" s="90" t="s">
        <v>199</v>
      </c>
      <c r="DS7" s="90" t="s">
        <v>202</v>
      </c>
      <c r="DT7" s="90" t="s">
        <v>199</v>
      </c>
      <c r="DU7" s="90" t="s">
        <v>201</v>
      </c>
      <c r="DV7" s="90" t="s">
        <v>199</v>
      </c>
      <c r="DW7" s="90" t="s">
        <v>200</v>
      </c>
      <c r="DX7" s="90" t="s">
        <v>200</v>
      </c>
      <c r="DY7" s="90" t="s">
        <v>199</v>
      </c>
      <c r="DZ7" s="90" t="s">
        <v>199</v>
      </c>
      <c r="EA7" s="90"/>
      <c r="EB7" s="90" t="s">
        <v>194</v>
      </c>
      <c r="EC7" s="90" t="s">
        <v>195</v>
      </c>
      <c r="ED7" s="90" t="s">
        <v>195</v>
      </c>
      <c r="EE7" s="90" t="s">
        <v>195</v>
      </c>
      <c r="EF7" s="90" t="s">
        <v>195</v>
      </c>
      <c r="EG7" s="90" t="s">
        <v>195</v>
      </c>
      <c r="EH7" s="102" t="s">
        <v>195</v>
      </c>
    </row>
    <row r="8" spans="1:138" ht="23.25" customHeight="1" x14ac:dyDescent="0.25">
      <c r="A8" s="98" t="s">
        <v>17</v>
      </c>
      <c r="B8" s="99" t="s">
        <v>193</v>
      </c>
      <c r="C8" s="99" t="s">
        <v>194</v>
      </c>
      <c r="D8" s="99" t="s">
        <v>195</v>
      </c>
      <c r="E8" s="99" t="s">
        <v>195</v>
      </c>
      <c r="F8" s="99" t="s">
        <v>195</v>
      </c>
      <c r="G8" s="99" t="s">
        <v>195</v>
      </c>
      <c r="H8" s="99" t="s">
        <v>195</v>
      </c>
      <c r="I8" s="99" t="s">
        <v>195</v>
      </c>
      <c r="J8" s="99" t="s">
        <v>195</v>
      </c>
      <c r="K8" s="99" t="s">
        <v>195</v>
      </c>
      <c r="L8" s="99" t="s">
        <v>195</v>
      </c>
      <c r="M8" s="99" t="s">
        <v>195</v>
      </c>
      <c r="N8" s="99" t="s">
        <v>195</v>
      </c>
      <c r="O8" s="99" t="s">
        <v>195</v>
      </c>
      <c r="P8" s="99" t="s">
        <v>195</v>
      </c>
      <c r="Q8" s="99" t="s">
        <v>195</v>
      </c>
      <c r="R8" s="99" t="s">
        <v>195</v>
      </c>
      <c r="S8" s="99" t="s">
        <v>195</v>
      </c>
      <c r="T8" s="99"/>
      <c r="U8" s="99" t="s">
        <v>198</v>
      </c>
      <c r="V8" s="99" t="s">
        <v>30</v>
      </c>
      <c r="W8" s="99" t="s">
        <v>201</v>
      </c>
      <c r="X8" s="99" t="s">
        <v>206</v>
      </c>
      <c r="Y8" s="99" t="s">
        <v>206</v>
      </c>
      <c r="Z8" s="99" t="s">
        <v>196</v>
      </c>
      <c r="AA8" s="99" t="s">
        <v>30</v>
      </c>
      <c r="AB8" s="99" t="s">
        <v>199</v>
      </c>
      <c r="AC8" s="99" t="s">
        <v>201</v>
      </c>
      <c r="AD8" s="99" t="s">
        <v>201</v>
      </c>
      <c r="AE8" s="99" t="s">
        <v>195</v>
      </c>
      <c r="AF8" s="99" t="s">
        <v>195</v>
      </c>
      <c r="AG8" s="99" t="s">
        <v>195</v>
      </c>
      <c r="AH8" s="99" t="s">
        <v>195</v>
      </c>
      <c r="AI8" s="99" t="s">
        <v>198</v>
      </c>
      <c r="AJ8" s="99" t="s">
        <v>200</v>
      </c>
      <c r="AK8" s="99" t="s">
        <v>199</v>
      </c>
      <c r="AL8" s="99" t="s">
        <v>200</v>
      </c>
      <c r="AM8" s="99"/>
      <c r="AN8" s="99" t="s">
        <v>194</v>
      </c>
      <c r="AO8" s="99" t="s">
        <v>195</v>
      </c>
      <c r="AP8" s="99" t="s">
        <v>195</v>
      </c>
      <c r="AQ8" s="99" t="s">
        <v>195</v>
      </c>
      <c r="AR8" s="99" t="s">
        <v>195</v>
      </c>
      <c r="AS8" s="99" t="s">
        <v>195</v>
      </c>
      <c r="AT8" s="99" t="s">
        <v>195</v>
      </c>
      <c r="AU8" s="99" t="s">
        <v>195</v>
      </c>
      <c r="AV8" s="99" t="s">
        <v>195</v>
      </c>
      <c r="AW8" s="99" t="s">
        <v>195</v>
      </c>
      <c r="AX8" s="99" t="s">
        <v>195</v>
      </c>
      <c r="AY8" s="99"/>
      <c r="AZ8" s="99" t="s">
        <v>194</v>
      </c>
      <c r="BA8" s="99" t="s">
        <v>194</v>
      </c>
      <c r="BB8" s="99" t="s">
        <v>195</v>
      </c>
      <c r="BC8" s="99" t="s">
        <v>195</v>
      </c>
      <c r="BD8" s="99" t="s">
        <v>195</v>
      </c>
      <c r="BE8" s="99" t="s">
        <v>195</v>
      </c>
      <c r="BF8" s="99" t="s">
        <v>195</v>
      </c>
      <c r="BG8" s="99" t="s">
        <v>195</v>
      </c>
      <c r="BH8" s="99" t="s">
        <v>195</v>
      </c>
      <c r="BI8" s="99" t="s">
        <v>195</v>
      </c>
      <c r="BJ8" s="99" t="s">
        <v>195</v>
      </c>
      <c r="BK8" s="99" t="s">
        <v>195</v>
      </c>
      <c r="BL8" s="99" t="s">
        <v>195</v>
      </c>
      <c r="BM8" s="99" t="s">
        <v>195</v>
      </c>
      <c r="BN8" s="99" t="s">
        <v>195</v>
      </c>
      <c r="BO8" s="99" t="s">
        <v>195</v>
      </c>
      <c r="BP8" s="99" t="s">
        <v>195</v>
      </c>
      <c r="BQ8" s="99" t="s">
        <v>195</v>
      </c>
      <c r="BR8" s="99" t="s">
        <v>195</v>
      </c>
      <c r="BS8" s="99" t="s">
        <v>195</v>
      </c>
      <c r="BT8" s="99"/>
      <c r="BU8" s="99" t="s">
        <v>203</v>
      </c>
      <c r="BV8" s="99" t="s">
        <v>203</v>
      </c>
      <c r="BW8" s="99" t="s">
        <v>203</v>
      </c>
      <c r="BX8" s="99" t="s">
        <v>203</v>
      </c>
      <c r="BY8" s="99" t="s">
        <v>203</v>
      </c>
      <c r="BZ8" s="99" t="s">
        <v>203</v>
      </c>
      <c r="CA8" s="99" t="s">
        <v>203</v>
      </c>
      <c r="CB8" s="99"/>
      <c r="CC8" s="99" t="s">
        <v>207</v>
      </c>
      <c r="CD8" s="99"/>
      <c r="CE8" s="99" t="s">
        <v>198</v>
      </c>
      <c r="CF8" s="99"/>
      <c r="CG8" s="99"/>
      <c r="CH8" s="99"/>
      <c r="CI8" s="99" t="s">
        <v>198</v>
      </c>
      <c r="CJ8" s="99" t="s">
        <v>200</v>
      </c>
      <c r="CK8" s="99" t="s">
        <v>199</v>
      </c>
      <c r="CL8" s="99" t="s">
        <v>200</v>
      </c>
      <c r="CM8" s="99" t="s">
        <v>200</v>
      </c>
      <c r="CN8" s="99" t="s">
        <v>30</v>
      </c>
      <c r="CO8" s="99" t="s">
        <v>202</v>
      </c>
      <c r="CP8" s="99" t="s">
        <v>30</v>
      </c>
      <c r="CQ8" s="99" t="s">
        <v>199</v>
      </c>
      <c r="CR8" s="99" t="s">
        <v>202</v>
      </c>
      <c r="CS8" s="99" t="s">
        <v>200</v>
      </c>
      <c r="CT8" s="99" t="s">
        <v>200</v>
      </c>
      <c r="CU8" s="99" t="s">
        <v>200</v>
      </c>
      <c r="CV8" s="99" t="s">
        <v>199</v>
      </c>
      <c r="CW8" s="99" t="s">
        <v>199</v>
      </c>
      <c r="CX8" s="99" t="s">
        <v>199</v>
      </c>
      <c r="CY8" s="99" t="s">
        <v>200</v>
      </c>
      <c r="CZ8" s="99" t="s">
        <v>200</v>
      </c>
      <c r="DA8" s="99" t="s">
        <v>200</v>
      </c>
      <c r="DB8" s="99" t="s">
        <v>199</v>
      </c>
      <c r="DC8" s="99" t="s">
        <v>199</v>
      </c>
      <c r="DD8" s="99" t="s">
        <v>202</v>
      </c>
      <c r="DE8" s="99" t="s">
        <v>30</v>
      </c>
      <c r="DF8" s="99" t="s">
        <v>30</v>
      </c>
      <c r="DG8" s="99" t="s">
        <v>201</v>
      </c>
      <c r="DH8" s="99" t="s">
        <v>201</v>
      </c>
      <c r="DI8" s="99" t="s">
        <v>201</v>
      </c>
      <c r="DJ8" s="99" t="s">
        <v>201</v>
      </c>
      <c r="DK8" s="99"/>
      <c r="DL8" s="99" t="s">
        <v>194</v>
      </c>
      <c r="DM8" s="99" t="s">
        <v>195</v>
      </c>
      <c r="DN8" s="99" t="s">
        <v>195</v>
      </c>
      <c r="DO8" s="99" t="s">
        <v>195</v>
      </c>
      <c r="DP8" s="99" t="s">
        <v>195</v>
      </c>
      <c r="DQ8" s="99" t="s">
        <v>195</v>
      </c>
      <c r="DR8" s="99" t="s">
        <v>195</v>
      </c>
      <c r="DS8" s="99" t="s">
        <v>195</v>
      </c>
      <c r="DT8" s="99" t="s">
        <v>195</v>
      </c>
      <c r="DU8" s="99" t="s">
        <v>195</v>
      </c>
      <c r="DV8" s="99" t="s">
        <v>195</v>
      </c>
      <c r="DW8" s="99" t="s">
        <v>195</v>
      </c>
      <c r="DX8" s="99" t="s">
        <v>195</v>
      </c>
      <c r="DY8" s="99" t="s">
        <v>195</v>
      </c>
      <c r="DZ8" s="99" t="s">
        <v>195</v>
      </c>
      <c r="EA8" s="99"/>
      <c r="EB8" s="99" t="s">
        <v>194</v>
      </c>
      <c r="EC8" s="99" t="s">
        <v>195</v>
      </c>
      <c r="ED8" s="99" t="s">
        <v>195</v>
      </c>
      <c r="EE8" s="99" t="s">
        <v>195</v>
      </c>
      <c r="EF8" s="99" t="s">
        <v>195</v>
      </c>
      <c r="EG8" s="99" t="s">
        <v>195</v>
      </c>
      <c r="EH8" s="100" t="s">
        <v>195</v>
      </c>
    </row>
    <row r="9" spans="1:138" ht="23.25" customHeight="1" x14ac:dyDescent="0.25">
      <c r="A9" s="101" t="s">
        <v>17</v>
      </c>
      <c r="B9" s="90" t="s">
        <v>193</v>
      </c>
      <c r="C9" s="90" t="s">
        <v>198</v>
      </c>
      <c r="D9" s="90" t="s">
        <v>199</v>
      </c>
      <c r="E9" s="90" t="s">
        <v>199</v>
      </c>
      <c r="F9" s="90" t="s">
        <v>30</v>
      </c>
      <c r="G9" s="90" t="s">
        <v>199</v>
      </c>
      <c r="H9" s="90" t="s">
        <v>199</v>
      </c>
      <c r="I9" s="90" t="s">
        <v>199</v>
      </c>
      <c r="J9" s="90" t="s">
        <v>199</v>
      </c>
      <c r="K9" s="90" t="s">
        <v>199</v>
      </c>
      <c r="L9" s="90" t="s">
        <v>199</v>
      </c>
      <c r="M9" s="90" t="s">
        <v>199</v>
      </c>
      <c r="N9" s="90" t="s">
        <v>30</v>
      </c>
      <c r="O9" s="90" t="s">
        <v>199</v>
      </c>
      <c r="P9" s="90" t="s">
        <v>30</v>
      </c>
      <c r="Q9" s="90" t="s">
        <v>30</v>
      </c>
      <c r="R9" s="90" t="s">
        <v>201</v>
      </c>
      <c r="S9" s="90" t="s">
        <v>30</v>
      </c>
      <c r="T9" s="90"/>
      <c r="U9" s="90" t="s">
        <v>194</v>
      </c>
      <c r="V9" s="90" t="s">
        <v>195</v>
      </c>
      <c r="W9" s="90" t="s">
        <v>195</v>
      </c>
      <c r="X9" s="90" t="s">
        <v>195</v>
      </c>
      <c r="Y9" s="90" t="s">
        <v>195</v>
      </c>
      <c r="Z9" s="90" t="s">
        <v>196</v>
      </c>
      <c r="AA9" s="90" t="s">
        <v>195</v>
      </c>
      <c r="AB9" s="90" t="s">
        <v>195</v>
      </c>
      <c r="AC9" s="90" t="s">
        <v>195</v>
      </c>
      <c r="AD9" s="90" t="s">
        <v>195</v>
      </c>
      <c r="AE9" s="90" t="s">
        <v>195</v>
      </c>
      <c r="AF9" s="90" t="s">
        <v>195</v>
      </c>
      <c r="AG9" s="90" t="s">
        <v>195</v>
      </c>
      <c r="AH9" s="90" t="s">
        <v>195</v>
      </c>
      <c r="AI9" s="90" t="s">
        <v>194</v>
      </c>
      <c r="AJ9" s="90" t="s">
        <v>195</v>
      </c>
      <c r="AK9" s="90" t="s">
        <v>195</v>
      </c>
      <c r="AL9" s="90" t="s">
        <v>195</v>
      </c>
      <c r="AM9" s="90"/>
      <c r="AN9" s="90" t="s">
        <v>194</v>
      </c>
      <c r="AO9" s="90" t="s">
        <v>195</v>
      </c>
      <c r="AP9" s="90" t="s">
        <v>195</v>
      </c>
      <c r="AQ9" s="90" t="s">
        <v>195</v>
      </c>
      <c r="AR9" s="90" t="s">
        <v>195</v>
      </c>
      <c r="AS9" s="90" t="s">
        <v>195</v>
      </c>
      <c r="AT9" s="90" t="s">
        <v>195</v>
      </c>
      <c r="AU9" s="90" t="s">
        <v>195</v>
      </c>
      <c r="AV9" s="90" t="s">
        <v>195</v>
      </c>
      <c r="AW9" s="90" t="s">
        <v>195</v>
      </c>
      <c r="AX9" s="90" t="s">
        <v>195</v>
      </c>
      <c r="AY9" s="90"/>
      <c r="AZ9" s="90" t="s">
        <v>198</v>
      </c>
      <c r="BA9" s="90" t="s">
        <v>198</v>
      </c>
      <c r="BB9" s="90" t="s">
        <v>206</v>
      </c>
      <c r="BC9" s="90" t="s">
        <v>199</v>
      </c>
      <c r="BD9" s="90" t="s">
        <v>199</v>
      </c>
      <c r="BE9" s="90" t="s">
        <v>199</v>
      </c>
      <c r="BF9" s="90" t="s">
        <v>199</v>
      </c>
      <c r="BG9" s="90" t="s">
        <v>199</v>
      </c>
      <c r="BH9" s="90" t="s">
        <v>199</v>
      </c>
      <c r="BI9" s="90" t="s">
        <v>199</v>
      </c>
      <c r="BJ9" s="90" t="s">
        <v>199</v>
      </c>
      <c r="BK9" s="90" t="s">
        <v>199</v>
      </c>
      <c r="BL9" s="90" t="s">
        <v>199</v>
      </c>
      <c r="BM9" s="90" t="s">
        <v>199</v>
      </c>
      <c r="BN9" s="90" t="s">
        <v>30</v>
      </c>
      <c r="BO9" s="90" t="s">
        <v>30</v>
      </c>
      <c r="BP9" s="90" t="s">
        <v>199</v>
      </c>
      <c r="BQ9" s="90" t="s">
        <v>30</v>
      </c>
      <c r="BR9" s="90" t="s">
        <v>30</v>
      </c>
      <c r="BS9" s="90" t="s">
        <v>30</v>
      </c>
      <c r="BT9" s="90"/>
      <c r="BU9" s="90" t="s">
        <v>203</v>
      </c>
      <c r="BV9" s="90" t="s">
        <v>203</v>
      </c>
      <c r="BW9" s="90" t="s">
        <v>203</v>
      </c>
      <c r="BX9" s="90" t="s">
        <v>203</v>
      </c>
      <c r="BY9" s="90" t="s">
        <v>203</v>
      </c>
      <c r="BZ9" s="90" t="s">
        <v>203</v>
      </c>
      <c r="CA9" s="90" t="s">
        <v>203</v>
      </c>
      <c r="CB9" s="90"/>
      <c r="CC9" s="90" t="s">
        <v>207</v>
      </c>
      <c r="CD9" s="90"/>
      <c r="CE9" s="90" t="s">
        <v>198</v>
      </c>
      <c r="CF9" s="90"/>
      <c r="CG9" s="90"/>
      <c r="CH9" s="90"/>
      <c r="CI9" s="90" t="s">
        <v>194</v>
      </c>
      <c r="CJ9" s="90" t="s">
        <v>195</v>
      </c>
      <c r="CK9" s="90" t="s">
        <v>195</v>
      </c>
      <c r="CL9" s="90" t="s">
        <v>195</v>
      </c>
      <c r="CM9" s="90" t="s">
        <v>195</v>
      </c>
      <c r="CN9" s="90" t="s">
        <v>195</v>
      </c>
      <c r="CO9" s="90" t="s">
        <v>195</v>
      </c>
      <c r="CP9" s="90" t="s">
        <v>195</v>
      </c>
      <c r="CQ9" s="90" t="s">
        <v>195</v>
      </c>
      <c r="CR9" s="90" t="s">
        <v>195</v>
      </c>
      <c r="CS9" s="90" t="s">
        <v>195</v>
      </c>
      <c r="CT9" s="90" t="s">
        <v>195</v>
      </c>
      <c r="CU9" s="90" t="s">
        <v>195</v>
      </c>
      <c r="CV9" s="90" t="s">
        <v>195</v>
      </c>
      <c r="CW9" s="90" t="s">
        <v>195</v>
      </c>
      <c r="CX9" s="90" t="s">
        <v>195</v>
      </c>
      <c r="CY9" s="90" t="s">
        <v>195</v>
      </c>
      <c r="CZ9" s="90" t="s">
        <v>195</v>
      </c>
      <c r="DA9" s="90" t="s">
        <v>195</v>
      </c>
      <c r="DB9" s="90" t="s">
        <v>195</v>
      </c>
      <c r="DC9" s="90" t="s">
        <v>195</v>
      </c>
      <c r="DD9" s="90" t="s">
        <v>195</v>
      </c>
      <c r="DE9" s="90" t="s">
        <v>195</v>
      </c>
      <c r="DF9" s="90" t="s">
        <v>195</v>
      </c>
      <c r="DG9" s="90" t="s">
        <v>195</v>
      </c>
      <c r="DH9" s="90" t="s">
        <v>195</v>
      </c>
      <c r="DI9" s="90" t="s">
        <v>195</v>
      </c>
      <c r="DJ9" s="90" t="s">
        <v>195</v>
      </c>
      <c r="DK9" s="90"/>
      <c r="DL9" s="90" t="s">
        <v>194</v>
      </c>
      <c r="DM9" s="90" t="s">
        <v>195</v>
      </c>
      <c r="DN9" s="90" t="s">
        <v>195</v>
      </c>
      <c r="DO9" s="90" t="s">
        <v>195</v>
      </c>
      <c r="DP9" s="90" t="s">
        <v>195</v>
      </c>
      <c r="DQ9" s="90" t="s">
        <v>195</v>
      </c>
      <c r="DR9" s="90" t="s">
        <v>195</v>
      </c>
      <c r="DS9" s="90" t="s">
        <v>195</v>
      </c>
      <c r="DT9" s="90" t="s">
        <v>195</v>
      </c>
      <c r="DU9" s="90" t="s">
        <v>195</v>
      </c>
      <c r="DV9" s="90" t="s">
        <v>195</v>
      </c>
      <c r="DW9" s="90" t="s">
        <v>195</v>
      </c>
      <c r="DX9" s="90" t="s">
        <v>195</v>
      </c>
      <c r="DY9" s="90" t="s">
        <v>195</v>
      </c>
      <c r="DZ9" s="90" t="s">
        <v>195</v>
      </c>
      <c r="EA9" s="90"/>
      <c r="EB9" s="90" t="s">
        <v>194</v>
      </c>
      <c r="EC9" s="90" t="s">
        <v>195</v>
      </c>
      <c r="ED9" s="90" t="s">
        <v>195</v>
      </c>
      <c r="EE9" s="90" t="s">
        <v>195</v>
      </c>
      <c r="EF9" s="90" t="s">
        <v>195</v>
      </c>
      <c r="EG9" s="90" t="s">
        <v>195</v>
      </c>
      <c r="EH9" s="102" t="s">
        <v>195</v>
      </c>
    </row>
    <row r="10" spans="1:138" ht="23.25" customHeight="1" x14ac:dyDescent="0.25">
      <c r="A10" s="98" t="s">
        <v>16</v>
      </c>
      <c r="B10" s="99" t="s">
        <v>193</v>
      </c>
      <c r="C10" s="99" t="s">
        <v>194</v>
      </c>
      <c r="D10" s="99" t="s">
        <v>195</v>
      </c>
      <c r="E10" s="99" t="s">
        <v>195</v>
      </c>
      <c r="F10" s="99" t="s">
        <v>195</v>
      </c>
      <c r="G10" s="99" t="s">
        <v>195</v>
      </c>
      <c r="H10" s="99" t="s">
        <v>195</v>
      </c>
      <c r="I10" s="99" t="s">
        <v>195</v>
      </c>
      <c r="J10" s="99" t="s">
        <v>195</v>
      </c>
      <c r="K10" s="99" t="s">
        <v>195</v>
      </c>
      <c r="L10" s="99" t="s">
        <v>195</v>
      </c>
      <c r="M10" s="99" t="s">
        <v>195</v>
      </c>
      <c r="N10" s="99" t="s">
        <v>195</v>
      </c>
      <c r="O10" s="99" t="s">
        <v>195</v>
      </c>
      <c r="P10" s="99" t="s">
        <v>195</v>
      </c>
      <c r="Q10" s="99" t="s">
        <v>195</v>
      </c>
      <c r="R10" s="99" t="s">
        <v>195</v>
      </c>
      <c r="S10" s="99" t="s">
        <v>195</v>
      </c>
      <c r="T10" s="99"/>
      <c r="U10" s="99" t="s">
        <v>194</v>
      </c>
      <c r="V10" s="99" t="s">
        <v>195</v>
      </c>
      <c r="W10" s="99" t="s">
        <v>195</v>
      </c>
      <c r="X10" s="99" t="s">
        <v>195</v>
      </c>
      <c r="Y10" s="99" t="s">
        <v>195</v>
      </c>
      <c r="Z10" s="99" t="s">
        <v>196</v>
      </c>
      <c r="AA10" s="99" t="s">
        <v>195</v>
      </c>
      <c r="AB10" s="99" t="s">
        <v>195</v>
      </c>
      <c r="AC10" s="99" t="s">
        <v>195</v>
      </c>
      <c r="AD10" s="99" t="s">
        <v>195</v>
      </c>
      <c r="AE10" s="99" t="s">
        <v>195</v>
      </c>
      <c r="AF10" s="99" t="s">
        <v>195</v>
      </c>
      <c r="AG10" s="99" t="s">
        <v>195</v>
      </c>
      <c r="AH10" s="99" t="s">
        <v>195</v>
      </c>
      <c r="AI10" s="99" t="s">
        <v>194</v>
      </c>
      <c r="AJ10" s="99" t="s">
        <v>195</v>
      </c>
      <c r="AK10" s="99" t="s">
        <v>195</v>
      </c>
      <c r="AL10" s="99" t="s">
        <v>195</v>
      </c>
      <c r="AM10" s="99"/>
      <c r="AN10" s="99" t="s">
        <v>194</v>
      </c>
      <c r="AO10" s="99" t="s">
        <v>195</v>
      </c>
      <c r="AP10" s="99" t="s">
        <v>195</v>
      </c>
      <c r="AQ10" s="99" t="s">
        <v>195</v>
      </c>
      <c r="AR10" s="99" t="s">
        <v>195</v>
      </c>
      <c r="AS10" s="99" t="s">
        <v>195</v>
      </c>
      <c r="AT10" s="99" t="s">
        <v>195</v>
      </c>
      <c r="AU10" s="99" t="s">
        <v>195</v>
      </c>
      <c r="AV10" s="99" t="s">
        <v>195</v>
      </c>
      <c r="AW10" s="99" t="s">
        <v>195</v>
      </c>
      <c r="AX10" s="99" t="s">
        <v>195</v>
      </c>
      <c r="AY10" s="99"/>
      <c r="AZ10" s="99" t="s">
        <v>194</v>
      </c>
      <c r="BA10" s="99" t="s">
        <v>194</v>
      </c>
      <c r="BB10" s="99" t="s">
        <v>195</v>
      </c>
      <c r="BC10" s="99" t="s">
        <v>195</v>
      </c>
      <c r="BD10" s="99" t="s">
        <v>195</v>
      </c>
      <c r="BE10" s="99" t="s">
        <v>195</v>
      </c>
      <c r="BF10" s="99" t="s">
        <v>195</v>
      </c>
      <c r="BG10" s="99" t="s">
        <v>195</v>
      </c>
      <c r="BH10" s="99" t="s">
        <v>195</v>
      </c>
      <c r="BI10" s="99" t="s">
        <v>195</v>
      </c>
      <c r="BJ10" s="99" t="s">
        <v>195</v>
      </c>
      <c r="BK10" s="99" t="s">
        <v>195</v>
      </c>
      <c r="BL10" s="99" t="s">
        <v>195</v>
      </c>
      <c r="BM10" s="99" t="s">
        <v>195</v>
      </c>
      <c r="BN10" s="99" t="s">
        <v>195</v>
      </c>
      <c r="BO10" s="99" t="s">
        <v>195</v>
      </c>
      <c r="BP10" s="99" t="s">
        <v>195</v>
      </c>
      <c r="BQ10" s="99" t="s">
        <v>195</v>
      </c>
      <c r="BR10" s="99" t="s">
        <v>195</v>
      </c>
      <c r="BS10" s="99" t="s">
        <v>195</v>
      </c>
      <c r="BT10" s="99"/>
      <c r="BU10" s="99" t="s">
        <v>199</v>
      </c>
      <c r="BV10" s="99" t="s">
        <v>199</v>
      </c>
      <c r="BW10" s="99" t="s">
        <v>195</v>
      </c>
      <c r="BX10" s="99" t="s">
        <v>195</v>
      </c>
      <c r="BY10" s="99" t="s">
        <v>195</v>
      </c>
      <c r="BZ10" s="99" t="s">
        <v>195</v>
      </c>
      <c r="CA10" s="99" t="s">
        <v>199</v>
      </c>
      <c r="CB10" s="99"/>
      <c r="CC10" s="99" t="s">
        <v>207</v>
      </c>
      <c r="CD10" s="99"/>
      <c r="CE10" s="99" t="s">
        <v>198</v>
      </c>
      <c r="CF10" s="99"/>
      <c r="CG10" s="99"/>
      <c r="CH10" s="99"/>
      <c r="CI10" s="99" t="s">
        <v>198</v>
      </c>
      <c r="CJ10" s="99" t="s">
        <v>30</v>
      </c>
      <c r="CK10" s="99" t="s">
        <v>200</v>
      </c>
      <c r="CL10" s="99" t="s">
        <v>199</v>
      </c>
      <c r="CM10" s="99" t="s">
        <v>201</v>
      </c>
      <c r="CN10" s="99" t="s">
        <v>199</v>
      </c>
      <c r="CO10" s="99" t="s">
        <v>199</v>
      </c>
      <c r="CP10" s="99" t="s">
        <v>199</v>
      </c>
      <c r="CQ10" s="99" t="s">
        <v>199</v>
      </c>
      <c r="CR10" s="99" t="s">
        <v>199</v>
      </c>
      <c r="CS10" s="99" t="s">
        <v>199</v>
      </c>
      <c r="CT10" s="99" t="s">
        <v>199</v>
      </c>
      <c r="CU10" s="99" t="s">
        <v>199</v>
      </c>
      <c r="CV10" s="99" t="s">
        <v>199</v>
      </c>
      <c r="CW10" s="99" t="s">
        <v>199</v>
      </c>
      <c r="CX10" s="99" t="s">
        <v>199</v>
      </c>
      <c r="CY10" s="99" t="s">
        <v>199</v>
      </c>
      <c r="CZ10" s="99" t="s">
        <v>199</v>
      </c>
      <c r="DA10" s="99" t="s">
        <v>199</v>
      </c>
      <c r="DB10" s="99" t="s">
        <v>199</v>
      </c>
      <c r="DC10" s="99" t="s">
        <v>199</v>
      </c>
      <c r="DD10" s="99" t="s">
        <v>30</v>
      </c>
      <c r="DE10" s="99" t="s">
        <v>199</v>
      </c>
      <c r="DF10" s="99" t="s">
        <v>199</v>
      </c>
      <c r="DG10" s="99" t="s">
        <v>199</v>
      </c>
      <c r="DH10" s="99" t="s">
        <v>199</v>
      </c>
      <c r="DI10" s="99" t="s">
        <v>199</v>
      </c>
      <c r="DJ10" s="99" t="s">
        <v>199</v>
      </c>
      <c r="DK10" s="99"/>
      <c r="DL10" s="99" t="s">
        <v>194</v>
      </c>
      <c r="DM10" s="99" t="s">
        <v>195</v>
      </c>
      <c r="DN10" s="99" t="s">
        <v>195</v>
      </c>
      <c r="DO10" s="99" t="s">
        <v>195</v>
      </c>
      <c r="DP10" s="99" t="s">
        <v>195</v>
      </c>
      <c r="DQ10" s="99" t="s">
        <v>195</v>
      </c>
      <c r="DR10" s="99" t="s">
        <v>195</v>
      </c>
      <c r="DS10" s="99" t="s">
        <v>195</v>
      </c>
      <c r="DT10" s="99" t="s">
        <v>195</v>
      </c>
      <c r="DU10" s="99" t="s">
        <v>195</v>
      </c>
      <c r="DV10" s="99" t="s">
        <v>195</v>
      </c>
      <c r="DW10" s="99" t="s">
        <v>195</v>
      </c>
      <c r="DX10" s="99" t="s">
        <v>195</v>
      </c>
      <c r="DY10" s="99" t="s">
        <v>195</v>
      </c>
      <c r="DZ10" s="99" t="s">
        <v>195</v>
      </c>
      <c r="EA10" s="99"/>
      <c r="EB10" s="99" t="s">
        <v>198</v>
      </c>
      <c r="EC10" s="99" t="s">
        <v>202</v>
      </c>
      <c r="ED10" s="99" t="s">
        <v>202</v>
      </c>
      <c r="EE10" s="99" t="s">
        <v>201</v>
      </c>
      <c r="EF10" s="99" t="s">
        <v>199</v>
      </c>
      <c r="EG10" s="99" t="s">
        <v>201</v>
      </c>
      <c r="EH10" s="100" t="s">
        <v>30</v>
      </c>
    </row>
    <row r="11" spans="1:138" ht="23.25" customHeight="1" x14ac:dyDescent="0.25">
      <c r="A11" s="101" t="s">
        <v>17</v>
      </c>
      <c r="B11" s="90" t="s">
        <v>193</v>
      </c>
      <c r="C11" s="90" t="s">
        <v>198</v>
      </c>
      <c r="D11" s="90" t="s">
        <v>199</v>
      </c>
      <c r="E11" s="90" t="s">
        <v>199</v>
      </c>
      <c r="F11" s="90" t="s">
        <v>199</v>
      </c>
      <c r="G11" s="90" t="s">
        <v>30</v>
      </c>
      <c r="H11" s="90" t="s">
        <v>199</v>
      </c>
      <c r="I11" s="90" t="s">
        <v>199</v>
      </c>
      <c r="J11" s="90" t="s">
        <v>199</v>
      </c>
      <c r="K11" s="90" t="s">
        <v>199</v>
      </c>
      <c r="L11" s="90" t="s">
        <v>30</v>
      </c>
      <c r="M11" s="90" t="s">
        <v>30</v>
      </c>
      <c r="N11" s="90" t="s">
        <v>202</v>
      </c>
      <c r="O11" s="90" t="s">
        <v>202</v>
      </c>
      <c r="P11" s="90" t="s">
        <v>200</v>
      </c>
      <c r="Q11" s="90" t="s">
        <v>200</v>
      </c>
      <c r="R11" s="90" t="s">
        <v>199</v>
      </c>
      <c r="S11" s="90" t="s">
        <v>30</v>
      </c>
      <c r="T11" s="90"/>
      <c r="U11" s="90" t="s">
        <v>198</v>
      </c>
      <c r="V11" s="90" t="s">
        <v>199</v>
      </c>
      <c r="W11" s="90" t="s">
        <v>199</v>
      </c>
      <c r="X11" s="90" t="s">
        <v>30</v>
      </c>
      <c r="Y11" s="90" t="s">
        <v>200</v>
      </c>
      <c r="Z11" s="90" t="s">
        <v>196</v>
      </c>
      <c r="AA11" s="90" t="s">
        <v>30</v>
      </c>
      <c r="AB11" s="90" t="s">
        <v>30</v>
      </c>
      <c r="AC11" s="90" t="s">
        <v>199</v>
      </c>
      <c r="AD11" s="90" t="s">
        <v>199</v>
      </c>
      <c r="AE11" s="90" t="s">
        <v>195</v>
      </c>
      <c r="AF11" s="90" t="s">
        <v>195</v>
      </c>
      <c r="AG11" s="90" t="s">
        <v>195</v>
      </c>
      <c r="AH11" s="90" t="s">
        <v>195</v>
      </c>
      <c r="AI11" s="90" t="s">
        <v>198</v>
      </c>
      <c r="AJ11" s="90" t="s">
        <v>200</v>
      </c>
      <c r="AK11" s="90" t="s">
        <v>201</v>
      </c>
      <c r="AL11" s="90" t="s">
        <v>199</v>
      </c>
      <c r="AM11" s="90"/>
      <c r="AN11" s="90" t="s">
        <v>198</v>
      </c>
      <c r="AO11" s="90" t="s">
        <v>199</v>
      </c>
      <c r="AP11" s="90" t="s">
        <v>199</v>
      </c>
      <c r="AQ11" s="90" t="s">
        <v>30</v>
      </c>
      <c r="AR11" s="90" t="s">
        <v>199</v>
      </c>
      <c r="AS11" s="90" t="s">
        <v>30</v>
      </c>
      <c r="AT11" s="90" t="s">
        <v>199</v>
      </c>
      <c r="AU11" s="90" t="s">
        <v>199</v>
      </c>
      <c r="AV11" s="90" t="s">
        <v>199</v>
      </c>
      <c r="AW11" s="90" t="s">
        <v>199</v>
      </c>
      <c r="AX11" s="90" t="s">
        <v>199</v>
      </c>
      <c r="AY11" s="90"/>
      <c r="AZ11" s="90" t="s">
        <v>194</v>
      </c>
      <c r="BA11" s="90" t="s">
        <v>194</v>
      </c>
      <c r="BB11" s="90" t="s">
        <v>195</v>
      </c>
      <c r="BC11" s="90" t="s">
        <v>195</v>
      </c>
      <c r="BD11" s="90" t="s">
        <v>195</v>
      </c>
      <c r="BE11" s="90" t="s">
        <v>195</v>
      </c>
      <c r="BF11" s="90" t="s">
        <v>195</v>
      </c>
      <c r="BG11" s="90" t="s">
        <v>195</v>
      </c>
      <c r="BH11" s="90" t="s">
        <v>195</v>
      </c>
      <c r="BI11" s="90" t="s">
        <v>195</v>
      </c>
      <c r="BJ11" s="90" t="s">
        <v>195</v>
      </c>
      <c r="BK11" s="90" t="s">
        <v>195</v>
      </c>
      <c r="BL11" s="90" t="s">
        <v>195</v>
      </c>
      <c r="BM11" s="90" t="s">
        <v>195</v>
      </c>
      <c r="BN11" s="90" t="s">
        <v>195</v>
      </c>
      <c r="BO11" s="90" t="s">
        <v>195</v>
      </c>
      <c r="BP11" s="90" t="s">
        <v>195</v>
      </c>
      <c r="BQ11" s="90" t="s">
        <v>195</v>
      </c>
      <c r="BR11" s="90" t="s">
        <v>195</v>
      </c>
      <c r="BS11" s="90" t="s">
        <v>195</v>
      </c>
      <c r="BT11" s="90"/>
      <c r="BU11" s="90" t="s">
        <v>195</v>
      </c>
      <c r="BV11" s="90" t="s">
        <v>195</v>
      </c>
      <c r="BW11" s="90" t="s">
        <v>195</v>
      </c>
      <c r="BX11" s="90" t="s">
        <v>195</v>
      </c>
      <c r="BY11" s="90" t="s">
        <v>195</v>
      </c>
      <c r="BZ11" s="90" t="s">
        <v>195</v>
      </c>
      <c r="CA11" s="90" t="s">
        <v>199</v>
      </c>
      <c r="CB11" s="90"/>
      <c r="CC11" s="90" t="s">
        <v>207</v>
      </c>
      <c r="CD11" s="90"/>
      <c r="CE11" s="90" t="s">
        <v>198</v>
      </c>
      <c r="CF11" s="90"/>
      <c r="CG11" s="90"/>
      <c r="CH11" s="90"/>
      <c r="CI11" s="90" t="s">
        <v>198</v>
      </c>
      <c r="CJ11" s="90" t="s">
        <v>199</v>
      </c>
      <c r="CK11" s="90" t="s">
        <v>201</v>
      </c>
      <c r="CL11" s="90" t="s">
        <v>201</v>
      </c>
      <c r="CM11" s="90" t="s">
        <v>199</v>
      </c>
      <c r="CN11" s="90" t="s">
        <v>199</v>
      </c>
      <c r="CO11" s="90" t="s">
        <v>199</v>
      </c>
      <c r="CP11" s="90" t="s">
        <v>30</v>
      </c>
      <c r="CQ11" s="90" t="s">
        <v>199</v>
      </c>
      <c r="CR11" s="90" t="s">
        <v>206</v>
      </c>
      <c r="CS11" s="90" t="s">
        <v>199</v>
      </c>
      <c r="CT11" s="90" t="s">
        <v>199</v>
      </c>
      <c r="CU11" s="90" t="s">
        <v>199</v>
      </c>
      <c r="CV11" s="90" t="s">
        <v>30</v>
      </c>
      <c r="CW11" s="90" t="s">
        <v>199</v>
      </c>
      <c r="CX11" s="90" t="s">
        <v>199</v>
      </c>
      <c r="CY11" s="90" t="s">
        <v>30</v>
      </c>
      <c r="CZ11" s="90" t="s">
        <v>199</v>
      </c>
      <c r="DA11" s="90" t="s">
        <v>199</v>
      </c>
      <c r="DB11" s="90" t="s">
        <v>201</v>
      </c>
      <c r="DC11" s="90" t="s">
        <v>201</v>
      </c>
      <c r="DD11" s="90" t="s">
        <v>201</v>
      </c>
      <c r="DE11" s="90" t="s">
        <v>201</v>
      </c>
      <c r="DF11" s="90" t="s">
        <v>201</v>
      </c>
      <c r="DG11" s="90" t="s">
        <v>201</v>
      </c>
      <c r="DH11" s="90" t="s">
        <v>201</v>
      </c>
      <c r="DI11" s="90" t="s">
        <v>201</v>
      </c>
      <c r="DJ11" s="90" t="s">
        <v>201</v>
      </c>
      <c r="DK11" s="90"/>
      <c r="DL11" s="90" t="s">
        <v>194</v>
      </c>
      <c r="DM11" s="90" t="s">
        <v>195</v>
      </c>
      <c r="DN11" s="90" t="s">
        <v>195</v>
      </c>
      <c r="DO11" s="90" t="s">
        <v>195</v>
      </c>
      <c r="DP11" s="90" t="s">
        <v>195</v>
      </c>
      <c r="DQ11" s="90" t="s">
        <v>195</v>
      </c>
      <c r="DR11" s="90" t="s">
        <v>195</v>
      </c>
      <c r="DS11" s="90" t="s">
        <v>195</v>
      </c>
      <c r="DT11" s="90" t="s">
        <v>195</v>
      </c>
      <c r="DU11" s="90" t="s">
        <v>195</v>
      </c>
      <c r="DV11" s="90" t="s">
        <v>195</v>
      </c>
      <c r="DW11" s="90" t="s">
        <v>195</v>
      </c>
      <c r="DX11" s="90" t="s">
        <v>195</v>
      </c>
      <c r="DY11" s="90" t="s">
        <v>195</v>
      </c>
      <c r="DZ11" s="90" t="s">
        <v>195</v>
      </c>
      <c r="EA11" s="90"/>
      <c r="EB11" s="90" t="s">
        <v>198</v>
      </c>
      <c r="EC11" s="90" t="s">
        <v>199</v>
      </c>
      <c r="ED11" s="90" t="s">
        <v>30</v>
      </c>
      <c r="EE11" s="90" t="s">
        <v>201</v>
      </c>
      <c r="EF11" s="90" t="s">
        <v>199</v>
      </c>
      <c r="EG11" s="90" t="s">
        <v>199</v>
      </c>
      <c r="EH11" s="102" t="s">
        <v>30</v>
      </c>
    </row>
    <row r="12" spans="1:138" ht="23.25" customHeight="1" x14ac:dyDescent="0.25">
      <c r="A12" s="98" t="s">
        <v>16</v>
      </c>
      <c r="B12" s="99" t="s">
        <v>193</v>
      </c>
      <c r="C12" s="99" t="s">
        <v>198</v>
      </c>
      <c r="D12" s="99" t="s">
        <v>200</v>
      </c>
      <c r="E12" s="99" t="s">
        <v>200</v>
      </c>
      <c r="F12" s="99" t="s">
        <v>200</v>
      </c>
      <c r="G12" s="99" t="s">
        <v>200</v>
      </c>
      <c r="H12" s="99" t="s">
        <v>200</v>
      </c>
      <c r="I12" s="99" t="s">
        <v>200</v>
      </c>
      <c r="J12" s="99" t="s">
        <v>200</v>
      </c>
      <c r="K12" s="99" t="s">
        <v>200</v>
      </c>
      <c r="L12" s="99" t="s">
        <v>200</v>
      </c>
      <c r="M12" s="99" t="s">
        <v>200</v>
      </c>
      <c r="N12" s="99" t="s">
        <v>200</v>
      </c>
      <c r="O12" s="99" t="s">
        <v>200</v>
      </c>
      <c r="P12" s="99" t="s">
        <v>200</v>
      </c>
      <c r="Q12" s="99" t="s">
        <v>200</v>
      </c>
      <c r="R12" s="99" t="s">
        <v>200</v>
      </c>
      <c r="S12" s="99" t="s">
        <v>200</v>
      </c>
      <c r="T12" s="99"/>
      <c r="U12" s="99" t="s">
        <v>198</v>
      </c>
      <c r="V12" s="99" t="s">
        <v>200</v>
      </c>
      <c r="W12" s="99" t="s">
        <v>200</v>
      </c>
      <c r="X12" s="99" t="s">
        <v>200</v>
      </c>
      <c r="Y12" s="99" t="s">
        <v>200</v>
      </c>
      <c r="Z12" s="99" t="s">
        <v>196</v>
      </c>
      <c r="AA12" s="99" t="s">
        <v>195</v>
      </c>
      <c r="AB12" s="99" t="s">
        <v>195</v>
      </c>
      <c r="AC12" s="99" t="s">
        <v>195</v>
      </c>
      <c r="AD12" s="99" t="s">
        <v>195</v>
      </c>
      <c r="AE12" s="99" t="s">
        <v>200</v>
      </c>
      <c r="AF12" s="99" t="s">
        <v>200</v>
      </c>
      <c r="AG12" s="99" t="s">
        <v>200</v>
      </c>
      <c r="AH12" s="99" t="s">
        <v>200</v>
      </c>
      <c r="AI12" s="99" t="s">
        <v>194</v>
      </c>
      <c r="AJ12" s="99" t="s">
        <v>195</v>
      </c>
      <c r="AK12" s="99" t="s">
        <v>195</v>
      </c>
      <c r="AL12" s="99" t="s">
        <v>195</v>
      </c>
      <c r="AM12" s="99"/>
      <c r="AN12" s="99" t="s">
        <v>194</v>
      </c>
      <c r="AO12" s="99" t="s">
        <v>195</v>
      </c>
      <c r="AP12" s="99" t="s">
        <v>195</v>
      </c>
      <c r="AQ12" s="99" t="s">
        <v>195</v>
      </c>
      <c r="AR12" s="99" t="s">
        <v>195</v>
      </c>
      <c r="AS12" s="99" t="s">
        <v>195</v>
      </c>
      <c r="AT12" s="99" t="s">
        <v>195</v>
      </c>
      <c r="AU12" s="99" t="s">
        <v>195</v>
      </c>
      <c r="AV12" s="99" t="s">
        <v>195</v>
      </c>
      <c r="AW12" s="99" t="s">
        <v>195</v>
      </c>
      <c r="AX12" s="99" t="s">
        <v>195</v>
      </c>
      <c r="AY12" s="99"/>
      <c r="AZ12" s="99" t="s">
        <v>194</v>
      </c>
      <c r="BA12" s="99" t="s">
        <v>194</v>
      </c>
      <c r="BB12" s="99" t="s">
        <v>195</v>
      </c>
      <c r="BC12" s="99" t="s">
        <v>195</v>
      </c>
      <c r="BD12" s="99" t="s">
        <v>195</v>
      </c>
      <c r="BE12" s="99" t="s">
        <v>195</v>
      </c>
      <c r="BF12" s="99" t="s">
        <v>195</v>
      </c>
      <c r="BG12" s="99" t="s">
        <v>195</v>
      </c>
      <c r="BH12" s="99" t="s">
        <v>195</v>
      </c>
      <c r="BI12" s="99" t="s">
        <v>195</v>
      </c>
      <c r="BJ12" s="99" t="s">
        <v>195</v>
      </c>
      <c r="BK12" s="99" t="s">
        <v>195</v>
      </c>
      <c r="BL12" s="99" t="s">
        <v>195</v>
      </c>
      <c r="BM12" s="99" t="s">
        <v>195</v>
      </c>
      <c r="BN12" s="99" t="s">
        <v>195</v>
      </c>
      <c r="BO12" s="99" t="s">
        <v>195</v>
      </c>
      <c r="BP12" s="99" t="s">
        <v>195</v>
      </c>
      <c r="BQ12" s="99" t="s">
        <v>195</v>
      </c>
      <c r="BR12" s="99" t="s">
        <v>195</v>
      </c>
      <c r="BS12" s="99" t="s">
        <v>195</v>
      </c>
      <c r="BT12" s="99"/>
      <c r="BU12" s="99" t="s">
        <v>200</v>
      </c>
      <c r="BV12" s="99" t="s">
        <v>200</v>
      </c>
      <c r="BW12" s="99" t="s">
        <v>200</v>
      </c>
      <c r="BX12" s="99" t="s">
        <v>200</v>
      </c>
      <c r="BY12" s="99" t="s">
        <v>200</v>
      </c>
      <c r="BZ12" s="99" t="s">
        <v>200</v>
      </c>
      <c r="CA12" s="99" t="s">
        <v>200</v>
      </c>
      <c r="CB12" s="99"/>
      <c r="CC12" s="99" t="s">
        <v>204</v>
      </c>
      <c r="CD12" s="99"/>
      <c r="CE12" s="99" t="s">
        <v>198</v>
      </c>
      <c r="CF12" s="99"/>
      <c r="CG12" s="99"/>
      <c r="CH12" s="99"/>
      <c r="CI12" s="99" t="s">
        <v>198</v>
      </c>
      <c r="CJ12" s="99" t="s">
        <v>200</v>
      </c>
      <c r="CK12" s="99" t="s">
        <v>200</v>
      </c>
      <c r="CL12" s="99" t="s">
        <v>200</v>
      </c>
      <c r="CM12" s="99" t="s">
        <v>200</v>
      </c>
      <c r="CN12" s="99" t="s">
        <v>200</v>
      </c>
      <c r="CO12" s="99" t="s">
        <v>200</v>
      </c>
      <c r="CP12" s="99" t="s">
        <v>200</v>
      </c>
      <c r="CQ12" s="99" t="s">
        <v>200</v>
      </c>
      <c r="CR12" s="99" t="s">
        <v>200</v>
      </c>
      <c r="CS12" s="99" t="s">
        <v>200</v>
      </c>
      <c r="CT12" s="99" t="s">
        <v>200</v>
      </c>
      <c r="CU12" s="99" t="s">
        <v>200</v>
      </c>
      <c r="CV12" s="99" t="s">
        <v>200</v>
      </c>
      <c r="CW12" s="99" t="s">
        <v>200</v>
      </c>
      <c r="CX12" s="99" t="s">
        <v>200</v>
      </c>
      <c r="CY12" s="99" t="s">
        <v>200</v>
      </c>
      <c r="CZ12" s="99" t="s">
        <v>200</v>
      </c>
      <c r="DA12" s="99" t="s">
        <v>200</v>
      </c>
      <c r="DB12" s="99" t="s">
        <v>200</v>
      </c>
      <c r="DC12" s="99" t="s">
        <v>200</v>
      </c>
      <c r="DD12" s="99" t="s">
        <v>200</v>
      </c>
      <c r="DE12" s="99" t="s">
        <v>200</v>
      </c>
      <c r="DF12" s="99" t="s">
        <v>200</v>
      </c>
      <c r="DG12" s="99" t="s">
        <v>200</v>
      </c>
      <c r="DH12" s="99" t="s">
        <v>200</v>
      </c>
      <c r="DI12" s="99" t="s">
        <v>200</v>
      </c>
      <c r="DJ12" s="99" t="s">
        <v>200</v>
      </c>
      <c r="DK12" s="99"/>
      <c r="DL12" s="99" t="s">
        <v>198</v>
      </c>
      <c r="DM12" s="99" t="s">
        <v>200</v>
      </c>
      <c r="DN12" s="99" t="s">
        <v>200</v>
      </c>
      <c r="DO12" s="99" t="s">
        <v>200</v>
      </c>
      <c r="DP12" s="99" t="s">
        <v>200</v>
      </c>
      <c r="DQ12" s="99" t="s">
        <v>200</v>
      </c>
      <c r="DR12" s="99" t="s">
        <v>200</v>
      </c>
      <c r="DS12" s="99" t="s">
        <v>200</v>
      </c>
      <c r="DT12" s="99" t="s">
        <v>200</v>
      </c>
      <c r="DU12" s="99" t="s">
        <v>200</v>
      </c>
      <c r="DV12" s="99" t="s">
        <v>200</v>
      </c>
      <c r="DW12" s="99" t="s">
        <v>200</v>
      </c>
      <c r="DX12" s="99" t="s">
        <v>200</v>
      </c>
      <c r="DY12" s="99" t="s">
        <v>200</v>
      </c>
      <c r="DZ12" s="99" t="s">
        <v>200</v>
      </c>
      <c r="EA12" s="99"/>
      <c r="EB12" s="99" t="s">
        <v>198</v>
      </c>
      <c r="EC12" s="99" t="s">
        <v>200</v>
      </c>
      <c r="ED12" s="99" t="s">
        <v>200</v>
      </c>
      <c r="EE12" s="99" t="s">
        <v>200</v>
      </c>
      <c r="EF12" s="99" t="s">
        <v>200</v>
      </c>
      <c r="EG12" s="99" t="s">
        <v>200</v>
      </c>
      <c r="EH12" s="100" t="s">
        <v>200</v>
      </c>
    </row>
    <row r="13" spans="1:138" ht="23.25" customHeight="1" x14ac:dyDescent="0.25">
      <c r="A13" s="101" t="s">
        <v>16</v>
      </c>
      <c r="B13" s="90" t="s">
        <v>193</v>
      </c>
      <c r="C13" s="90" t="s">
        <v>194</v>
      </c>
      <c r="D13" s="90" t="s">
        <v>195</v>
      </c>
      <c r="E13" s="90" t="s">
        <v>195</v>
      </c>
      <c r="F13" s="90" t="s">
        <v>195</v>
      </c>
      <c r="G13" s="90" t="s">
        <v>195</v>
      </c>
      <c r="H13" s="90" t="s">
        <v>195</v>
      </c>
      <c r="I13" s="90" t="s">
        <v>195</v>
      </c>
      <c r="J13" s="90" t="s">
        <v>195</v>
      </c>
      <c r="K13" s="90" t="s">
        <v>195</v>
      </c>
      <c r="L13" s="90" t="s">
        <v>195</v>
      </c>
      <c r="M13" s="90" t="s">
        <v>195</v>
      </c>
      <c r="N13" s="90" t="s">
        <v>195</v>
      </c>
      <c r="O13" s="90" t="s">
        <v>195</v>
      </c>
      <c r="P13" s="90" t="s">
        <v>195</v>
      </c>
      <c r="Q13" s="90" t="s">
        <v>195</v>
      </c>
      <c r="R13" s="90" t="s">
        <v>195</v>
      </c>
      <c r="S13" s="90" t="s">
        <v>195</v>
      </c>
      <c r="T13" s="90"/>
      <c r="U13" s="90" t="s">
        <v>194</v>
      </c>
      <c r="V13" s="90" t="s">
        <v>195</v>
      </c>
      <c r="W13" s="90" t="s">
        <v>195</v>
      </c>
      <c r="X13" s="90" t="s">
        <v>195</v>
      </c>
      <c r="Y13" s="90" t="s">
        <v>195</v>
      </c>
      <c r="Z13" s="90" t="s">
        <v>196</v>
      </c>
      <c r="AA13" s="90" t="s">
        <v>195</v>
      </c>
      <c r="AB13" s="90" t="s">
        <v>195</v>
      </c>
      <c r="AC13" s="90" t="s">
        <v>195</v>
      </c>
      <c r="AD13" s="90" t="s">
        <v>195</v>
      </c>
      <c r="AE13" s="90" t="s">
        <v>195</v>
      </c>
      <c r="AF13" s="90" t="s">
        <v>195</v>
      </c>
      <c r="AG13" s="90" t="s">
        <v>195</v>
      </c>
      <c r="AH13" s="90" t="s">
        <v>195</v>
      </c>
      <c r="AI13" s="90" t="s">
        <v>194</v>
      </c>
      <c r="AJ13" s="90" t="s">
        <v>195</v>
      </c>
      <c r="AK13" s="90" t="s">
        <v>195</v>
      </c>
      <c r="AL13" s="90" t="s">
        <v>195</v>
      </c>
      <c r="AM13" s="90"/>
      <c r="AN13" s="90" t="s">
        <v>194</v>
      </c>
      <c r="AO13" s="90" t="s">
        <v>195</v>
      </c>
      <c r="AP13" s="90" t="s">
        <v>195</v>
      </c>
      <c r="AQ13" s="90" t="s">
        <v>195</v>
      </c>
      <c r="AR13" s="90" t="s">
        <v>195</v>
      </c>
      <c r="AS13" s="90" t="s">
        <v>195</v>
      </c>
      <c r="AT13" s="90" t="s">
        <v>195</v>
      </c>
      <c r="AU13" s="90" t="s">
        <v>195</v>
      </c>
      <c r="AV13" s="90" t="s">
        <v>195</v>
      </c>
      <c r="AW13" s="90" t="s">
        <v>195</v>
      </c>
      <c r="AX13" s="90" t="s">
        <v>195</v>
      </c>
      <c r="AY13" s="90"/>
      <c r="AZ13" s="90" t="s">
        <v>194</v>
      </c>
      <c r="BA13" s="90" t="s">
        <v>194</v>
      </c>
      <c r="BB13" s="90" t="s">
        <v>195</v>
      </c>
      <c r="BC13" s="90" t="s">
        <v>195</v>
      </c>
      <c r="BD13" s="90" t="s">
        <v>195</v>
      </c>
      <c r="BE13" s="90" t="s">
        <v>195</v>
      </c>
      <c r="BF13" s="90" t="s">
        <v>195</v>
      </c>
      <c r="BG13" s="90" t="s">
        <v>195</v>
      </c>
      <c r="BH13" s="90" t="s">
        <v>195</v>
      </c>
      <c r="BI13" s="90" t="s">
        <v>195</v>
      </c>
      <c r="BJ13" s="90" t="s">
        <v>195</v>
      </c>
      <c r="BK13" s="90" t="s">
        <v>195</v>
      </c>
      <c r="BL13" s="90" t="s">
        <v>195</v>
      </c>
      <c r="BM13" s="90" t="s">
        <v>195</v>
      </c>
      <c r="BN13" s="90" t="s">
        <v>195</v>
      </c>
      <c r="BO13" s="90" t="s">
        <v>195</v>
      </c>
      <c r="BP13" s="90" t="s">
        <v>195</v>
      </c>
      <c r="BQ13" s="90" t="s">
        <v>195</v>
      </c>
      <c r="BR13" s="90" t="s">
        <v>195</v>
      </c>
      <c r="BS13" s="90" t="s">
        <v>195</v>
      </c>
      <c r="BT13" s="90"/>
      <c r="BU13" s="90" t="s">
        <v>203</v>
      </c>
      <c r="BV13" s="90" t="s">
        <v>203</v>
      </c>
      <c r="BW13" s="90" t="s">
        <v>203</v>
      </c>
      <c r="BX13" s="90" t="s">
        <v>203</v>
      </c>
      <c r="BY13" s="90" t="s">
        <v>203</v>
      </c>
      <c r="BZ13" s="90" t="s">
        <v>203</v>
      </c>
      <c r="CA13" s="90" t="s">
        <v>203</v>
      </c>
      <c r="CB13" s="90"/>
      <c r="CC13" s="90" t="s">
        <v>207</v>
      </c>
      <c r="CD13" s="90"/>
      <c r="CE13" s="90" t="s">
        <v>198</v>
      </c>
      <c r="CF13" s="90"/>
      <c r="CG13" s="90"/>
      <c r="CH13" s="90"/>
      <c r="CI13" s="90" t="s">
        <v>194</v>
      </c>
      <c r="CJ13" s="90" t="s">
        <v>195</v>
      </c>
      <c r="CK13" s="90" t="s">
        <v>195</v>
      </c>
      <c r="CL13" s="90" t="s">
        <v>195</v>
      </c>
      <c r="CM13" s="90" t="s">
        <v>195</v>
      </c>
      <c r="CN13" s="90" t="s">
        <v>195</v>
      </c>
      <c r="CO13" s="90" t="s">
        <v>195</v>
      </c>
      <c r="CP13" s="90" t="s">
        <v>195</v>
      </c>
      <c r="CQ13" s="90" t="s">
        <v>195</v>
      </c>
      <c r="CR13" s="90" t="s">
        <v>195</v>
      </c>
      <c r="CS13" s="90" t="s">
        <v>195</v>
      </c>
      <c r="CT13" s="90" t="s">
        <v>195</v>
      </c>
      <c r="CU13" s="90" t="s">
        <v>195</v>
      </c>
      <c r="CV13" s="90" t="s">
        <v>195</v>
      </c>
      <c r="CW13" s="90" t="s">
        <v>195</v>
      </c>
      <c r="CX13" s="90" t="s">
        <v>195</v>
      </c>
      <c r="CY13" s="90" t="s">
        <v>195</v>
      </c>
      <c r="CZ13" s="90" t="s">
        <v>195</v>
      </c>
      <c r="DA13" s="90" t="s">
        <v>195</v>
      </c>
      <c r="DB13" s="90" t="s">
        <v>195</v>
      </c>
      <c r="DC13" s="90" t="s">
        <v>195</v>
      </c>
      <c r="DD13" s="90" t="s">
        <v>195</v>
      </c>
      <c r="DE13" s="90" t="s">
        <v>195</v>
      </c>
      <c r="DF13" s="90" t="s">
        <v>195</v>
      </c>
      <c r="DG13" s="90" t="s">
        <v>195</v>
      </c>
      <c r="DH13" s="90" t="s">
        <v>195</v>
      </c>
      <c r="DI13" s="90" t="s">
        <v>195</v>
      </c>
      <c r="DJ13" s="90" t="s">
        <v>195</v>
      </c>
      <c r="DK13" s="90"/>
      <c r="DL13" s="90" t="s">
        <v>194</v>
      </c>
      <c r="DM13" s="90" t="s">
        <v>195</v>
      </c>
      <c r="DN13" s="90" t="s">
        <v>195</v>
      </c>
      <c r="DO13" s="90" t="s">
        <v>195</v>
      </c>
      <c r="DP13" s="90" t="s">
        <v>195</v>
      </c>
      <c r="DQ13" s="90" t="s">
        <v>195</v>
      </c>
      <c r="DR13" s="90" t="s">
        <v>195</v>
      </c>
      <c r="DS13" s="90" t="s">
        <v>195</v>
      </c>
      <c r="DT13" s="90" t="s">
        <v>195</v>
      </c>
      <c r="DU13" s="90" t="s">
        <v>195</v>
      </c>
      <c r="DV13" s="90" t="s">
        <v>195</v>
      </c>
      <c r="DW13" s="90" t="s">
        <v>195</v>
      </c>
      <c r="DX13" s="90" t="s">
        <v>195</v>
      </c>
      <c r="DY13" s="90" t="s">
        <v>195</v>
      </c>
      <c r="DZ13" s="90" t="s">
        <v>195</v>
      </c>
      <c r="EA13" s="90"/>
      <c r="EB13" s="90" t="s">
        <v>194</v>
      </c>
      <c r="EC13" s="90" t="s">
        <v>195</v>
      </c>
      <c r="ED13" s="90" t="s">
        <v>195</v>
      </c>
      <c r="EE13" s="90" t="s">
        <v>195</v>
      </c>
      <c r="EF13" s="90" t="s">
        <v>195</v>
      </c>
      <c r="EG13" s="90" t="s">
        <v>195</v>
      </c>
      <c r="EH13" s="102" t="s">
        <v>195</v>
      </c>
    </row>
    <row r="14" spans="1:138" ht="23.25" customHeight="1" x14ac:dyDescent="0.25">
      <c r="A14" s="98" t="s">
        <v>16</v>
      </c>
      <c r="B14" s="99" t="s">
        <v>193</v>
      </c>
      <c r="C14" s="99" t="s">
        <v>194</v>
      </c>
      <c r="D14" s="99" t="s">
        <v>195</v>
      </c>
      <c r="E14" s="99" t="s">
        <v>195</v>
      </c>
      <c r="F14" s="99" t="s">
        <v>195</v>
      </c>
      <c r="G14" s="99" t="s">
        <v>195</v>
      </c>
      <c r="H14" s="99" t="s">
        <v>195</v>
      </c>
      <c r="I14" s="99" t="s">
        <v>195</v>
      </c>
      <c r="J14" s="99" t="s">
        <v>195</v>
      </c>
      <c r="K14" s="99" t="s">
        <v>195</v>
      </c>
      <c r="L14" s="99" t="s">
        <v>195</v>
      </c>
      <c r="M14" s="99" t="s">
        <v>195</v>
      </c>
      <c r="N14" s="99" t="s">
        <v>195</v>
      </c>
      <c r="O14" s="99" t="s">
        <v>195</v>
      </c>
      <c r="P14" s="99" t="s">
        <v>195</v>
      </c>
      <c r="Q14" s="99" t="s">
        <v>195</v>
      </c>
      <c r="R14" s="99" t="s">
        <v>195</v>
      </c>
      <c r="S14" s="99" t="s">
        <v>195</v>
      </c>
      <c r="T14" s="99"/>
      <c r="U14" s="99" t="s">
        <v>194</v>
      </c>
      <c r="V14" s="99" t="s">
        <v>195</v>
      </c>
      <c r="W14" s="99" t="s">
        <v>195</v>
      </c>
      <c r="X14" s="99" t="s">
        <v>195</v>
      </c>
      <c r="Y14" s="99" t="s">
        <v>195</v>
      </c>
      <c r="Z14" s="99" t="s">
        <v>196</v>
      </c>
      <c r="AA14" s="99" t="s">
        <v>195</v>
      </c>
      <c r="AB14" s="99" t="s">
        <v>195</v>
      </c>
      <c r="AC14" s="99" t="s">
        <v>195</v>
      </c>
      <c r="AD14" s="99" t="s">
        <v>195</v>
      </c>
      <c r="AE14" s="99" t="s">
        <v>195</v>
      </c>
      <c r="AF14" s="99" t="s">
        <v>195</v>
      </c>
      <c r="AG14" s="99" t="s">
        <v>195</v>
      </c>
      <c r="AH14" s="99" t="s">
        <v>195</v>
      </c>
      <c r="AI14" s="99" t="s">
        <v>194</v>
      </c>
      <c r="AJ14" s="99" t="s">
        <v>195</v>
      </c>
      <c r="AK14" s="99" t="s">
        <v>195</v>
      </c>
      <c r="AL14" s="99" t="s">
        <v>195</v>
      </c>
      <c r="AM14" s="99"/>
      <c r="AN14" s="99" t="s">
        <v>194</v>
      </c>
      <c r="AO14" s="99" t="s">
        <v>195</v>
      </c>
      <c r="AP14" s="99" t="s">
        <v>195</v>
      </c>
      <c r="AQ14" s="99" t="s">
        <v>195</v>
      </c>
      <c r="AR14" s="99" t="s">
        <v>195</v>
      </c>
      <c r="AS14" s="99" t="s">
        <v>195</v>
      </c>
      <c r="AT14" s="99" t="s">
        <v>195</v>
      </c>
      <c r="AU14" s="99" t="s">
        <v>195</v>
      </c>
      <c r="AV14" s="99" t="s">
        <v>195</v>
      </c>
      <c r="AW14" s="99" t="s">
        <v>195</v>
      </c>
      <c r="AX14" s="99" t="s">
        <v>195</v>
      </c>
      <c r="AY14" s="99"/>
      <c r="AZ14" s="99" t="s">
        <v>194</v>
      </c>
      <c r="BA14" s="99" t="s">
        <v>194</v>
      </c>
      <c r="BB14" s="99" t="s">
        <v>195</v>
      </c>
      <c r="BC14" s="99" t="s">
        <v>195</v>
      </c>
      <c r="BD14" s="99" t="s">
        <v>195</v>
      </c>
      <c r="BE14" s="99" t="s">
        <v>195</v>
      </c>
      <c r="BF14" s="99" t="s">
        <v>195</v>
      </c>
      <c r="BG14" s="99" t="s">
        <v>195</v>
      </c>
      <c r="BH14" s="99" t="s">
        <v>195</v>
      </c>
      <c r="BI14" s="99" t="s">
        <v>195</v>
      </c>
      <c r="BJ14" s="99" t="s">
        <v>195</v>
      </c>
      <c r="BK14" s="99" t="s">
        <v>195</v>
      </c>
      <c r="BL14" s="99" t="s">
        <v>195</v>
      </c>
      <c r="BM14" s="99" t="s">
        <v>195</v>
      </c>
      <c r="BN14" s="99" t="s">
        <v>195</v>
      </c>
      <c r="BO14" s="99" t="s">
        <v>195</v>
      </c>
      <c r="BP14" s="99" t="s">
        <v>195</v>
      </c>
      <c r="BQ14" s="99" t="s">
        <v>195</v>
      </c>
      <c r="BR14" s="99" t="s">
        <v>195</v>
      </c>
      <c r="BS14" s="99" t="s">
        <v>195</v>
      </c>
      <c r="BT14" s="99"/>
      <c r="BU14" s="99" t="s">
        <v>200</v>
      </c>
      <c r="BV14" s="99" t="s">
        <v>200</v>
      </c>
      <c r="BW14" s="99" t="s">
        <v>200</v>
      </c>
      <c r="BX14" s="99" t="s">
        <v>200</v>
      </c>
      <c r="BY14" s="99" t="s">
        <v>200</v>
      </c>
      <c r="BZ14" s="99" t="s">
        <v>200</v>
      </c>
      <c r="CA14" s="99" t="s">
        <v>200</v>
      </c>
      <c r="CB14" s="99"/>
      <c r="CC14" s="99" t="s">
        <v>204</v>
      </c>
      <c r="CD14" s="99"/>
      <c r="CE14" s="99" t="s">
        <v>198</v>
      </c>
      <c r="CF14" s="99"/>
      <c r="CG14" s="99"/>
      <c r="CH14" s="99"/>
      <c r="CI14" s="99" t="s">
        <v>194</v>
      </c>
      <c r="CJ14" s="99" t="s">
        <v>195</v>
      </c>
      <c r="CK14" s="99" t="s">
        <v>195</v>
      </c>
      <c r="CL14" s="99" t="s">
        <v>195</v>
      </c>
      <c r="CM14" s="99" t="s">
        <v>195</v>
      </c>
      <c r="CN14" s="99" t="s">
        <v>195</v>
      </c>
      <c r="CO14" s="99" t="s">
        <v>195</v>
      </c>
      <c r="CP14" s="99" t="s">
        <v>195</v>
      </c>
      <c r="CQ14" s="99" t="s">
        <v>195</v>
      </c>
      <c r="CR14" s="99" t="s">
        <v>195</v>
      </c>
      <c r="CS14" s="99" t="s">
        <v>195</v>
      </c>
      <c r="CT14" s="99" t="s">
        <v>195</v>
      </c>
      <c r="CU14" s="99" t="s">
        <v>195</v>
      </c>
      <c r="CV14" s="99" t="s">
        <v>195</v>
      </c>
      <c r="CW14" s="99" t="s">
        <v>195</v>
      </c>
      <c r="CX14" s="99" t="s">
        <v>195</v>
      </c>
      <c r="CY14" s="99" t="s">
        <v>195</v>
      </c>
      <c r="CZ14" s="99" t="s">
        <v>195</v>
      </c>
      <c r="DA14" s="99" t="s">
        <v>195</v>
      </c>
      <c r="DB14" s="99" t="s">
        <v>195</v>
      </c>
      <c r="DC14" s="99" t="s">
        <v>195</v>
      </c>
      <c r="DD14" s="99" t="s">
        <v>195</v>
      </c>
      <c r="DE14" s="99" t="s">
        <v>195</v>
      </c>
      <c r="DF14" s="99" t="s">
        <v>195</v>
      </c>
      <c r="DG14" s="99" t="s">
        <v>195</v>
      </c>
      <c r="DH14" s="99" t="s">
        <v>195</v>
      </c>
      <c r="DI14" s="99" t="s">
        <v>195</v>
      </c>
      <c r="DJ14" s="99" t="s">
        <v>195</v>
      </c>
      <c r="DK14" s="99"/>
      <c r="DL14" s="99" t="s">
        <v>194</v>
      </c>
      <c r="DM14" s="99" t="s">
        <v>195</v>
      </c>
      <c r="DN14" s="99" t="s">
        <v>195</v>
      </c>
      <c r="DO14" s="99" t="s">
        <v>195</v>
      </c>
      <c r="DP14" s="99" t="s">
        <v>195</v>
      </c>
      <c r="DQ14" s="99" t="s">
        <v>195</v>
      </c>
      <c r="DR14" s="99" t="s">
        <v>195</v>
      </c>
      <c r="DS14" s="99" t="s">
        <v>195</v>
      </c>
      <c r="DT14" s="99" t="s">
        <v>195</v>
      </c>
      <c r="DU14" s="99" t="s">
        <v>195</v>
      </c>
      <c r="DV14" s="99" t="s">
        <v>195</v>
      </c>
      <c r="DW14" s="99" t="s">
        <v>195</v>
      </c>
      <c r="DX14" s="99" t="s">
        <v>195</v>
      </c>
      <c r="DY14" s="99" t="s">
        <v>195</v>
      </c>
      <c r="DZ14" s="99" t="s">
        <v>195</v>
      </c>
      <c r="EA14" s="99"/>
      <c r="EB14" s="99" t="s">
        <v>194</v>
      </c>
      <c r="EC14" s="99" t="s">
        <v>195</v>
      </c>
      <c r="ED14" s="99" t="s">
        <v>195</v>
      </c>
      <c r="EE14" s="99" t="s">
        <v>195</v>
      </c>
      <c r="EF14" s="99" t="s">
        <v>195</v>
      </c>
      <c r="EG14" s="99" t="s">
        <v>195</v>
      </c>
      <c r="EH14" s="100" t="s">
        <v>195</v>
      </c>
    </row>
    <row r="15" spans="1:138" ht="23.25" customHeight="1" x14ac:dyDescent="0.25">
      <c r="A15" s="101" t="s">
        <v>16</v>
      </c>
      <c r="B15" s="90" t="s">
        <v>193</v>
      </c>
      <c r="C15" s="90" t="s">
        <v>194</v>
      </c>
      <c r="D15" s="90" t="s">
        <v>195</v>
      </c>
      <c r="E15" s="90" t="s">
        <v>195</v>
      </c>
      <c r="F15" s="90" t="s">
        <v>195</v>
      </c>
      <c r="G15" s="90" t="s">
        <v>195</v>
      </c>
      <c r="H15" s="90" t="s">
        <v>195</v>
      </c>
      <c r="I15" s="90" t="s">
        <v>195</v>
      </c>
      <c r="J15" s="90" t="s">
        <v>195</v>
      </c>
      <c r="K15" s="90" t="s">
        <v>195</v>
      </c>
      <c r="L15" s="90" t="s">
        <v>195</v>
      </c>
      <c r="M15" s="90" t="s">
        <v>195</v>
      </c>
      <c r="N15" s="90" t="s">
        <v>195</v>
      </c>
      <c r="O15" s="90" t="s">
        <v>195</v>
      </c>
      <c r="P15" s="90" t="s">
        <v>195</v>
      </c>
      <c r="Q15" s="90" t="s">
        <v>195</v>
      </c>
      <c r="R15" s="90" t="s">
        <v>195</v>
      </c>
      <c r="S15" s="90" t="s">
        <v>195</v>
      </c>
      <c r="T15" s="90"/>
      <c r="U15" s="90" t="s">
        <v>194</v>
      </c>
      <c r="V15" s="90" t="s">
        <v>195</v>
      </c>
      <c r="W15" s="90" t="s">
        <v>195</v>
      </c>
      <c r="X15" s="90" t="s">
        <v>195</v>
      </c>
      <c r="Y15" s="90" t="s">
        <v>195</v>
      </c>
      <c r="Z15" s="90" t="s">
        <v>196</v>
      </c>
      <c r="AA15" s="90" t="s">
        <v>195</v>
      </c>
      <c r="AB15" s="90" t="s">
        <v>195</v>
      </c>
      <c r="AC15" s="90" t="s">
        <v>195</v>
      </c>
      <c r="AD15" s="90" t="s">
        <v>195</v>
      </c>
      <c r="AE15" s="90" t="s">
        <v>195</v>
      </c>
      <c r="AF15" s="90" t="s">
        <v>195</v>
      </c>
      <c r="AG15" s="90" t="s">
        <v>195</v>
      </c>
      <c r="AH15" s="90" t="s">
        <v>195</v>
      </c>
      <c r="AI15" s="90" t="s">
        <v>194</v>
      </c>
      <c r="AJ15" s="90" t="s">
        <v>195</v>
      </c>
      <c r="AK15" s="90" t="s">
        <v>195</v>
      </c>
      <c r="AL15" s="90" t="s">
        <v>195</v>
      </c>
      <c r="AM15" s="90"/>
      <c r="AN15" s="90" t="s">
        <v>194</v>
      </c>
      <c r="AO15" s="90" t="s">
        <v>195</v>
      </c>
      <c r="AP15" s="90" t="s">
        <v>195</v>
      </c>
      <c r="AQ15" s="90" t="s">
        <v>195</v>
      </c>
      <c r="AR15" s="90" t="s">
        <v>195</v>
      </c>
      <c r="AS15" s="90" t="s">
        <v>195</v>
      </c>
      <c r="AT15" s="90" t="s">
        <v>195</v>
      </c>
      <c r="AU15" s="90" t="s">
        <v>195</v>
      </c>
      <c r="AV15" s="90" t="s">
        <v>195</v>
      </c>
      <c r="AW15" s="90" t="s">
        <v>195</v>
      </c>
      <c r="AX15" s="90" t="s">
        <v>195</v>
      </c>
      <c r="AY15" s="90"/>
      <c r="AZ15" s="90" t="s">
        <v>194</v>
      </c>
      <c r="BA15" s="90" t="s">
        <v>194</v>
      </c>
      <c r="BB15" s="90" t="s">
        <v>195</v>
      </c>
      <c r="BC15" s="90" t="s">
        <v>195</v>
      </c>
      <c r="BD15" s="90" t="s">
        <v>195</v>
      </c>
      <c r="BE15" s="90" t="s">
        <v>195</v>
      </c>
      <c r="BF15" s="90" t="s">
        <v>195</v>
      </c>
      <c r="BG15" s="90" t="s">
        <v>195</v>
      </c>
      <c r="BH15" s="90" t="s">
        <v>195</v>
      </c>
      <c r="BI15" s="90" t="s">
        <v>195</v>
      </c>
      <c r="BJ15" s="90" t="s">
        <v>195</v>
      </c>
      <c r="BK15" s="90" t="s">
        <v>195</v>
      </c>
      <c r="BL15" s="90" t="s">
        <v>195</v>
      </c>
      <c r="BM15" s="90" t="s">
        <v>195</v>
      </c>
      <c r="BN15" s="90" t="s">
        <v>195</v>
      </c>
      <c r="BO15" s="90" t="s">
        <v>195</v>
      </c>
      <c r="BP15" s="90" t="s">
        <v>195</v>
      </c>
      <c r="BQ15" s="90" t="s">
        <v>195</v>
      </c>
      <c r="BR15" s="90" t="s">
        <v>195</v>
      </c>
      <c r="BS15" s="90" t="s">
        <v>195</v>
      </c>
      <c r="BT15" s="90"/>
      <c r="BU15" s="90" t="s">
        <v>203</v>
      </c>
      <c r="BV15" s="90" t="s">
        <v>203</v>
      </c>
      <c r="BW15" s="90" t="s">
        <v>203</v>
      </c>
      <c r="BX15" s="90" t="s">
        <v>203</v>
      </c>
      <c r="BY15" s="90" t="s">
        <v>203</v>
      </c>
      <c r="BZ15" s="90" t="s">
        <v>203</v>
      </c>
      <c r="CA15" s="90" t="s">
        <v>203</v>
      </c>
      <c r="CB15" s="90"/>
      <c r="CC15" s="90" t="s">
        <v>205</v>
      </c>
      <c r="CD15" s="90"/>
      <c r="CE15" s="90" t="s">
        <v>198</v>
      </c>
      <c r="CF15" s="90"/>
      <c r="CG15" s="90"/>
      <c r="CH15" s="90"/>
      <c r="CI15" s="90" t="s">
        <v>194</v>
      </c>
      <c r="CJ15" s="90" t="s">
        <v>195</v>
      </c>
      <c r="CK15" s="90" t="s">
        <v>195</v>
      </c>
      <c r="CL15" s="90" t="s">
        <v>195</v>
      </c>
      <c r="CM15" s="90" t="s">
        <v>195</v>
      </c>
      <c r="CN15" s="90" t="s">
        <v>195</v>
      </c>
      <c r="CO15" s="90" t="s">
        <v>195</v>
      </c>
      <c r="CP15" s="90" t="s">
        <v>195</v>
      </c>
      <c r="CQ15" s="90" t="s">
        <v>195</v>
      </c>
      <c r="CR15" s="90" t="s">
        <v>195</v>
      </c>
      <c r="CS15" s="90" t="s">
        <v>195</v>
      </c>
      <c r="CT15" s="90" t="s">
        <v>195</v>
      </c>
      <c r="CU15" s="90" t="s">
        <v>195</v>
      </c>
      <c r="CV15" s="90" t="s">
        <v>195</v>
      </c>
      <c r="CW15" s="90" t="s">
        <v>195</v>
      </c>
      <c r="CX15" s="90" t="s">
        <v>195</v>
      </c>
      <c r="CY15" s="90" t="s">
        <v>195</v>
      </c>
      <c r="CZ15" s="90" t="s">
        <v>195</v>
      </c>
      <c r="DA15" s="90" t="s">
        <v>195</v>
      </c>
      <c r="DB15" s="90" t="s">
        <v>195</v>
      </c>
      <c r="DC15" s="90" t="s">
        <v>195</v>
      </c>
      <c r="DD15" s="90" t="s">
        <v>195</v>
      </c>
      <c r="DE15" s="90" t="s">
        <v>195</v>
      </c>
      <c r="DF15" s="90" t="s">
        <v>195</v>
      </c>
      <c r="DG15" s="90" t="s">
        <v>195</v>
      </c>
      <c r="DH15" s="90" t="s">
        <v>195</v>
      </c>
      <c r="DI15" s="90" t="s">
        <v>195</v>
      </c>
      <c r="DJ15" s="90" t="s">
        <v>195</v>
      </c>
      <c r="DK15" s="90"/>
      <c r="DL15" s="90" t="s">
        <v>194</v>
      </c>
      <c r="DM15" s="90" t="s">
        <v>195</v>
      </c>
      <c r="DN15" s="90" t="s">
        <v>195</v>
      </c>
      <c r="DO15" s="90" t="s">
        <v>195</v>
      </c>
      <c r="DP15" s="90" t="s">
        <v>195</v>
      </c>
      <c r="DQ15" s="90" t="s">
        <v>195</v>
      </c>
      <c r="DR15" s="90" t="s">
        <v>195</v>
      </c>
      <c r="DS15" s="90" t="s">
        <v>195</v>
      </c>
      <c r="DT15" s="90" t="s">
        <v>195</v>
      </c>
      <c r="DU15" s="90" t="s">
        <v>195</v>
      </c>
      <c r="DV15" s="90" t="s">
        <v>195</v>
      </c>
      <c r="DW15" s="90" t="s">
        <v>195</v>
      </c>
      <c r="DX15" s="90" t="s">
        <v>195</v>
      </c>
      <c r="DY15" s="90" t="s">
        <v>195</v>
      </c>
      <c r="DZ15" s="90" t="s">
        <v>195</v>
      </c>
      <c r="EA15" s="90"/>
      <c r="EB15" s="90" t="s">
        <v>194</v>
      </c>
      <c r="EC15" s="90" t="s">
        <v>195</v>
      </c>
      <c r="ED15" s="90" t="s">
        <v>195</v>
      </c>
      <c r="EE15" s="90" t="s">
        <v>195</v>
      </c>
      <c r="EF15" s="90" t="s">
        <v>195</v>
      </c>
      <c r="EG15" s="90" t="s">
        <v>195</v>
      </c>
      <c r="EH15" s="102" t="s">
        <v>195</v>
      </c>
    </row>
    <row r="16" spans="1:138" ht="23.25" customHeight="1" x14ac:dyDescent="0.25">
      <c r="A16" s="98" t="s">
        <v>17</v>
      </c>
      <c r="B16" s="99" t="s">
        <v>193</v>
      </c>
      <c r="C16" s="99" t="s">
        <v>198</v>
      </c>
      <c r="D16" s="99" t="s">
        <v>199</v>
      </c>
      <c r="E16" s="99" t="s">
        <v>199</v>
      </c>
      <c r="F16" s="99" t="s">
        <v>200</v>
      </c>
      <c r="G16" s="99" t="s">
        <v>199</v>
      </c>
      <c r="H16" s="99" t="s">
        <v>199</v>
      </c>
      <c r="I16" s="99" t="s">
        <v>200</v>
      </c>
      <c r="J16" s="99" t="s">
        <v>200</v>
      </c>
      <c r="K16" s="99" t="s">
        <v>199</v>
      </c>
      <c r="L16" s="99" t="s">
        <v>200</v>
      </c>
      <c r="M16" s="99" t="s">
        <v>199</v>
      </c>
      <c r="N16" s="99" t="s">
        <v>199</v>
      </c>
      <c r="O16" s="99" t="s">
        <v>199</v>
      </c>
      <c r="P16" s="99" t="s">
        <v>200</v>
      </c>
      <c r="Q16" s="99" t="s">
        <v>200</v>
      </c>
      <c r="R16" s="99" t="s">
        <v>199</v>
      </c>
      <c r="S16" s="99" t="s">
        <v>199</v>
      </c>
      <c r="T16" s="99"/>
      <c r="U16" s="99" t="s">
        <v>198</v>
      </c>
      <c r="V16" s="99" t="s">
        <v>199</v>
      </c>
      <c r="W16" s="99" t="s">
        <v>200</v>
      </c>
      <c r="X16" s="99" t="s">
        <v>199</v>
      </c>
      <c r="Y16" s="99" t="s">
        <v>199</v>
      </c>
      <c r="Z16" s="99" t="s">
        <v>196</v>
      </c>
      <c r="AA16" s="99" t="s">
        <v>199</v>
      </c>
      <c r="AB16" s="99" t="s">
        <v>199</v>
      </c>
      <c r="AC16" s="99" t="s">
        <v>201</v>
      </c>
      <c r="AD16" s="99" t="s">
        <v>201</v>
      </c>
      <c r="AE16" s="99" t="s">
        <v>195</v>
      </c>
      <c r="AF16" s="99" t="s">
        <v>195</v>
      </c>
      <c r="AG16" s="99" t="s">
        <v>195</v>
      </c>
      <c r="AH16" s="99" t="s">
        <v>195</v>
      </c>
      <c r="AI16" s="99" t="s">
        <v>198</v>
      </c>
      <c r="AJ16" s="99" t="s">
        <v>199</v>
      </c>
      <c r="AK16" s="99" t="s">
        <v>199</v>
      </c>
      <c r="AL16" s="99" t="s">
        <v>199</v>
      </c>
      <c r="AM16" s="99"/>
      <c r="AN16" s="99" t="s">
        <v>198</v>
      </c>
      <c r="AO16" s="99" t="s">
        <v>199</v>
      </c>
      <c r="AP16" s="99" t="s">
        <v>199</v>
      </c>
      <c r="AQ16" s="99" t="s">
        <v>199</v>
      </c>
      <c r="AR16" s="99" t="s">
        <v>199</v>
      </c>
      <c r="AS16" s="99" t="s">
        <v>30</v>
      </c>
      <c r="AT16" s="99" t="s">
        <v>199</v>
      </c>
      <c r="AU16" s="99" t="s">
        <v>200</v>
      </c>
      <c r="AV16" s="99" t="s">
        <v>199</v>
      </c>
      <c r="AW16" s="99" t="s">
        <v>200</v>
      </c>
      <c r="AX16" s="99" t="s">
        <v>199</v>
      </c>
      <c r="AY16" s="99"/>
      <c r="AZ16" s="99" t="s">
        <v>198</v>
      </c>
      <c r="BA16" s="99" t="s">
        <v>194</v>
      </c>
      <c r="BB16" s="99" t="s">
        <v>195</v>
      </c>
      <c r="BC16" s="99" t="s">
        <v>199</v>
      </c>
      <c r="BD16" s="99" t="s">
        <v>199</v>
      </c>
      <c r="BE16" s="99" t="s">
        <v>201</v>
      </c>
      <c r="BF16" s="99" t="s">
        <v>201</v>
      </c>
      <c r="BG16" s="99" t="s">
        <v>201</v>
      </c>
      <c r="BH16" s="99" t="s">
        <v>201</v>
      </c>
      <c r="BI16" s="99" t="s">
        <v>201</v>
      </c>
      <c r="BJ16" s="99" t="s">
        <v>201</v>
      </c>
      <c r="BK16" s="99" t="s">
        <v>199</v>
      </c>
      <c r="BL16" s="99" t="s">
        <v>200</v>
      </c>
      <c r="BM16" s="99" t="s">
        <v>199</v>
      </c>
      <c r="BN16" s="99" t="s">
        <v>30</v>
      </c>
      <c r="BO16" s="99" t="s">
        <v>199</v>
      </c>
      <c r="BP16" s="99" t="s">
        <v>199</v>
      </c>
      <c r="BQ16" s="99" t="s">
        <v>199</v>
      </c>
      <c r="BR16" s="99" t="s">
        <v>199</v>
      </c>
      <c r="BS16" s="99" t="s">
        <v>199</v>
      </c>
      <c r="BT16" s="99"/>
      <c r="BU16" s="99" t="s">
        <v>195</v>
      </c>
      <c r="BV16" s="99" t="s">
        <v>195</v>
      </c>
      <c r="BW16" s="99" t="s">
        <v>195</v>
      </c>
      <c r="BX16" s="99" t="s">
        <v>195</v>
      </c>
      <c r="BY16" s="99" t="s">
        <v>195</v>
      </c>
      <c r="BZ16" s="99" t="s">
        <v>195</v>
      </c>
      <c r="CA16" s="99" t="s">
        <v>200</v>
      </c>
      <c r="CB16" s="99"/>
      <c r="CC16" s="99" t="s">
        <v>197</v>
      </c>
      <c r="CD16" s="99"/>
      <c r="CE16" s="99" t="s">
        <v>198</v>
      </c>
      <c r="CF16" s="99"/>
      <c r="CG16" s="99"/>
      <c r="CH16" s="99"/>
      <c r="CI16" s="99" t="s">
        <v>198</v>
      </c>
      <c r="CJ16" s="99" t="s">
        <v>200</v>
      </c>
      <c r="CK16" s="99" t="s">
        <v>199</v>
      </c>
      <c r="CL16" s="99" t="s">
        <v>199</v>
      </c>
      <c r="CM16" s="99" t="s">
        <v>201</v>
      </c>
      <c r="CN16" s="99" t="s">
        <v>199</v>
      </c>
      <c r="CO16" s="99" t="s">
        <v>199</v>
      </c>
      <c r="CP16" s="99" t="s">
        <v>200</v>
      </c>
      <c r="CQ16" s="99" t="s">
        <v>200</v>
      </c>
      <c r="CR16" s="99" t="s">
        <v>199</v>
      </c>
      <c r="CS16" s="99" t="s">
        <v>199</v>
      </c>
      <c r="CT16" s="99" t="s">
        <v>199</v>
      </c>
      <c r="CU16" s="99" t="s">
        <v>199</v>
      </c>
      <c r="CV16" s="99" t="s">
        <v>199</v>
      </c>
      <c r="CW16" s="99" t="s">
        <v>199</v>
      </c>
      <c r="CX16" s="99" t="s">
        <v>199</v>
      </c>
      <c r="CY16" s="99" t="s">
        <v>200</v>
      </c>
      <c r="CZ16" s="99" t="s">
        <v>200</v>
      </c>
      <c r="DA16" s="99" t="s">
        <v>200</v>
      </c>
      <c r="DB16" s="99" t="s">
        <v>199</v>
      </c>
      <c r="DC16" s="99" t="s">
        <v>199</v>
      </c>
      <c r="DD16" s="99" t="s">
        <v>201</v>
      </c>
      <c r="DE16" s="99" t="s">
        <v>199</v>
      </c>
      <c r="DF16" s="99" t="s">
        <v>201</v>
      </c>
      <c r="DG16" s="99" t="s">
        <v>199</v>
      </c>
      <c r="DH16" s="99" t="s">
        <v>199</v>
      </c>
      <c r="DI16" s="99" t="s">
        <v>199</v>
      </c>
      <c r="DJ16" s="99" t="s">
        <v>199</v>
      </c>
      <c r="DK16" s="99"/>
      <c r="DL16" s="99" t="s">
        <v>194</v>
      </c>
      <c r="DM16" s="99" t="s">
        <v>195</v>
      </c>
      <c r="DN16" s="99" t="s">
        <v>195</v>
      </c>
      <c r="DO16" s="99" t="s">
        <v>195</v>
      </c>
      <c r="DP16" s="99" t="s">
        <v>195</v>
      </c>
      <c r="DQ16" s="99" t="s">
        <v>195</v>
      </c>
      <c r="DR16" s="99" t="s">
        <v>195</v>
      </c>
      <c r="DS16" s="99" t="s">
        <v>195</v>
      </c>
      <c r="DT16" s="99" t="s">
        <v>195</v>
      </c>
      <c r="DU16" s="99" t="s">
        <v>195</v>
      </c>
      <c r="DV16" s="99" t="s">
        <v>195</v>
      </c>
      <c r="DW16" s="99" t="s">
        <v>195</v>
      </c>
      <c r="DX16" s="99" t="s">
        <v>195</v>
      </c>
      <c r="DY16" s="99" t="s">
        <v>195</v>
      </c>
      <c r="DZ16" s="99" t="s">
        <v>195</v>
      </c>
      <c r="EA16" s="99"/>
      <c r="EB16" s="99" t="s">
        <v>194</v>
      </c>
      <c r="EC16" s="99" t="s">
        <v>195</v>
      </c>
      <c r="ED16" s="99" t="s">
        <v>195</v>
      </c>
      <c r="EE16" s="99" t="s">
        <v>195</v>
      </c>
      <c r="EF16" s="99" t="s">
        <v>195</v>
      </c>
      <c r="EG16" s="99" t="s">
        <v>195</v>
      </c>
      <c r="EH16" s="100" t="s">
        <v>195</v>
      </c>
    </row>
    <row r="17" spans="1:138" ht="23.25" customHeight="1" x14ac:dyDescent="0.25">
      <c r="A17" s="101" t="s">
        <v>16</v>
      </c>
      <c r="B17" s="90" t="s">
        <v>193</v>
      </c>
      <c r="C17" s="90" t="s">
        <v>194</v>
      </c>
      <c r="D17" s="90" t="s">
        <v>195</v>
      </c>
      <c r="E17" s="90" t="s">
        <v>195</v>
      </c>
      <c r="F17" s="90" t="s">
        <v>195</v>
      </c>
      <c r="G17" s="90" t="s">
        <v>195</v>
      </c>
      <c r="H17" s="90" t="s">
        <v>195</v>
      </c>
      <c r="I17" s="90" t="s">
        <v>195</v>
      </c>
      <c r="J17" s="90" t="s">
        <v>195</v>
      </c>
      <c r="K17" s="90" t="s">
        <v>195</v>
      </c>
      <c r="L17" s="90" t="s">
        <v>195</v>
      </c>
      <c r="M17" s="90" t="s">
        <v>195</v>
      </c>
      <c r="N17" s="90" t="s">
        <v>195</v>
      </c>
      <c r="O17" s="90" t="s">
        <v>195</v>
      </c>
      <c r="P17" s="90" t="s">
        <v>195</v>
      </c>
      <c r="Q17" s="90" t="s">
        <v>195</v>
      </c>
      <c r="R17" s="90" t="s">
        <v>195</v>
      </c>
      <c r="S17" s="90" t="s">
        <v>195</v>
      </c>
      <c r="T17" s="90"/>
      <c r="U17" s="90" t="s">
        <v>194</v>
      </c>
      <c r="V17" s="90" t="s">
        <v>195</v>
      </c>
      <c r="W17" s="90" t="s">
        <v>195</v>
      </c>
      <c r="X17" s="90" t="s">
        <v>195</v>
      </c>
      <c r="Y17" s="90" t="s">
        <v>195</v>
      </c>
      <c r="Z17" s="90" t="s">
        <v>196</v>
      </c>
      <c r="AA17" s="90" t="s">
        <v>195</v>
      </c>
      <c r="AB17" s="90" t="s">
        <v>195</v>
      </c>
      <c r="AC17" s="90" t="s">
        <v>195</v>
      </c>
      <c r="AD17" s="90" t="s">
        <v>195</v>
      </c>
      <c r="AE17" s="90" t="s">
        <v>195</v>
      </c>
      <c r="AF17" s="90" t="s">
        <v>195</v>
      </c>
      <c r="AG17" s="90" t="s">
        <v>195</v>
      </c>
      <c r="AH17" s="90" t="s">
        <v>195</v>
      </c>
      <c r="AI17" s="90" t="s">
        <v>194</v>
      </c>
      <c r="AJ17" s="90" t="s">
        <v>195</v>
      </c>
      <c r="AK17" s="90" t="s">
        <v>195</v>
      </c>
      <c r="AL17" s="90" t="s">
        <v>195</v>
      </c>
      <c r="AM17" s="90"/>
      <c r="AN17" s="90" t="s">
        <v>194</v>
      </c>
      <c r="AO17" s="90" t="s">
        <v>195</v>
      </c>
      <c r="AP17" s="90" t="s">
        <v>195</v>
      </c>
      <c r="AQ17" s="90" t="s">
        <v>195</v>
      </c>
      <c r="AR17" s="90" t="s">
        <v>195</v>
      </c>
      <c r="AS17" s="90" t="s">
        <v>195</v>
      </c>
      <c r="AT17" s="90" t="s">
        <v>195</v>
      </c>
      <c r="AU17" s="90" t="s">
        <v>195</v>
      </c>
      <c r="AV17" s="90" t="s">
        <v>195</v>
      </c>
      <c r="AW17" s="90" t="s">
        <v>195</v>
      </c>
      <c r="AX17" s="90" t="s">
        <v>195</v>
      </c>
      <c r="AY17" s="90"/>
      <c r="AZ17" s="90" t="s">
        <v>198</v>
      </c>
      <c r="BA17" s="90" t="s">
        <v>194</v>
      </c>
      <c r="BB17" s="90" t="s">
        <v>195</v>
      </c>
      <c r="BC17" s="90" t="s">
        <v>30</v>
      </c>
      <c r="BD17" s="90" t="s">
        <v>206</v>
      </c>
      <c r="BE17" s="90" t="s">
        <v>202</v>
      </c>
      <c r="BF17" s="90" t="s">
        <v>206</v>
      </c>
      <c r="BG17" s="90" t="s">
        <v>30</v>
      </c>
      <c r="BH17" s="90" t="s">
        <v>206</v>
      </c>
      <c r="BI17" s="90" t="s">
        <v>206</v>
      </c>
      <c r="BJ17" s="90" t="s">
        <v>206</v>
      </c>
      <c r="BK17" s="90" t="s">
        <v>30</v>
      </c>
      <c r="BL17" s="90" t="s">
        <v>199</v>
      </c>
      <c r="BM17" s="90" t="s">
        <v>199</v>
      </c>
      <c r="BN17" s="90" t="s">
        <v>206</v>
      </c>
      <c r="BO17" s="90" t="s">
        <v>206</v>
      </c>
      <c r="BP17" s="90" t="s">
        <v>30</v>
      </c>
      <c r="BQ17" s="90" t="s">
        <v>30</v>
      </c>
      <c r="BR17" s="90" t="s">
        <v>30</v>
      </c>
      <c r="BS17" s="90" t="s">
        <v>202</v>
      </c>
      <c r="BT17" s="90"/>
      <c r="BU17" s="90" t="s">
        <v>203</v>
      </c>
      <c r="BV17" s="90" t="s">
        <v>203</v>
      </c>
      <c r="BW17" s="90" t="s">
        <v>203</v>
      </c>
      <c r="BX17" s="90" t="s">
        <v>203</v>
      </c>
      <c r="BY17" s="90" t="s">
        <v>203</v>
      </c>
      <c r="BZ17" s="90" t="s">
        <v>203</v>
      </c>
      <c r="CA17" s="90" t="s">
        <v>203</v>
      </c>
      <c r="CB17" s="90"/>
      <c r="CC17" s="90" t="s">
        <v>197</v>
      </c>
      <c r="CD17" s="90"/>
      <c r="CE17" s="90" t="s">
        <v>198</v>
      </c>
      <c r="CF17" s="90"/>
      <c r="CG17" s="90"/>
      <c r="CH17" s="90"/>
      <c r="CI17" s="90" t="s">
        <v>194</v>
      </c>
      <c r="CJ17" s="90" t="s">
        <v>195</v>
      </c>
      <c r="CK17" s="90" t="s">
        <v>195</v>
      </c>
      <c r="CL17" s="90" t="s">
        <v>195</v>
      </c>
      <c r="CM17" s="90" t="s">
        <v>195</v>
      </c>
      <c r="CN17" s="90" t="s">
        <v>195</v>
      </c>
      <c r="CO17" s="90" t="s">
        <v>195</v>
      </c>
      <c r="CP17" s="90" t="s">
        <v>195</v>
      </c>
      <c r="CQ17" s="90" t="s">
        <v>195</v>
      </c>
      <c r="CR17" s="90" t="s">
        <v>195</v>
      </c>
      <c r="CS17" s="90" t="s">
        <v>195</v>
      </c>
      <c r="CT17" s="90" t="s">
        <v>195</v>
      </c>
      <c r="CU17" s="90" t="s">
        <v>195</v>
      </c>
      <c r="CV17" s="90" t="s">
        <v>195</v>
      </c>
      <c r="CW17" s="90" t="s">
        <v>195</v>
      </c>
      <c r="CX17" s="90" t="s">
        <v>195</v>
      </c>
      <c r="CY17" s="90" t="s">
        <v>195</v>
      </c>
      <c r="CZ17" s="90" t="s">
        <v>195</v>
      </c>
      <c r="DA17" s="90" t="s">
        <v>195</v>
      </c>
      <c r="DB17" s="90" t="s">
        <v>195</v>
      </c>
      <c r="DC17" s="90" t="s">
        <v>195</v>
      </c>
      <c r="DD17" s="90" t="s">
        <v>195</v>
      </c>
      <c r="DE17" s="90" t="s">
        <v>195</v>
      </c>
      <c r="DF17" s="90" t="s">
        <v>195</v>
      </c>
      <c r="DG17" s="90" t="s">
        <v>195</v>
      </c>
      <c r="DH17" s="90" t="s">
        <v>195</v>
      </c>
      <c r="DI17" s="90" t="s">
        <v>195</v>
      </c>
      <c r="DJ17" s="90" t="s">
        <v>195</v>
      </c>
      <c r="DK17" s="90"/>
      <c r="DL17" s="90" t="s">
        <v>194</v>
      </c>
      <c r="DM17" s="90" t="s">
        <v>195</v>
      </c>
      <c r="DN17" s="90" t="s">
        <v>195</v>
      </c>
      <c r="DO17" s="90" t="s">
        <v>195</v>
      </c>
      <c r="DP17" s="90" t="s">
        <v>195</v>
      </c>
      <c r="DQ17" s="90" t="s">
        <v>195</v>
      </c>
      <c r="DR17" s="90" t="s">
        <v>195</v>
      </c>
      <c r="DS17" s="90" t="s">
        <v>195</v>
      </c>
      <c r="DT17" s="90" t="s">
        <v>195</v>
      </c>
      <c r="DU17" s="90" t="s">
        <v>195</v>
      </c>
      <c r="DV17" s="90" t="s">
        <v>195</v>
      </c>
      <c r="DW17" s="90" t="s">
        <v>195</v>
      </c>
      <c r="DX17" s="90" t="s">
        <v>195</v>
      </c>
      <c r="DY17" s="90" t="s">
        <v>195</v>
      </c>
      <c r="DZ17" s="90" t="s">
        <v>195</v>
      </c>
      <c r="EA17" s="90"/>
      <c r="EB17" s="90" t="s">
        <v>194</v>
      </c>
      <c r="EC17" s="90" t="s">
        <v>195</v>
      </c>
      <c r="ED17" s="90" t="s">
        <v>195</v>
      </c>
      <c r="EE17" s="90" t="s">
        <v>195</v>
      </c>
      <c r="EF17" s="90" t="s">
        <v>195</v>
      </c>
      <c r="EG17" s="90" t="s">
        <v>195</v>
      </c>
      <c r="EH17" s="102" t="s">
        <v>195</v>
      </c>
    </row>
    <row r="18" spans="1:138" ht="23.25" customHeight="1" x14ac:dyDescent="0.25">
      <c r="A18" s="98" t="s">
        <v>16</v>
      </c>
      <c r="B18" s="99" t="s">
        <v>193</v>
      </c>
      <c r="C18" s="99" t="s">
        <v>194</v>
      </c>
      <c r="D18" s="99" t="s">
        <v>195</v>
      </c>
      <c r="E18" s="99" t="s">
        <v>195</v>
      </c>
      <c r="F18" s="99" t="s">
        <v>195</v>
      </c>
      <c r="G18" s="99" t="s">
        <v>195</v>
      </c>
      <c r="H18" s="99" t="s">
        <v>195</v>
      </c>
      <c r="I18" s="99" t="s">
        <v>195</v>
      </c>
      <c r="J18" s="99" t="s">
        <v>195</v>
      </c>
      <c r="K18" s="99" t="s">
        <v>195</v>
      </c>
      <c r="L18" s="99" t="s">
        <v>195</v>
      </c>
      <c r="M18" s="99" t="s">
        <v>195</v>
      </c>
      <c r="N18" s="99" t="s">
        <v>195</v>
      </c>
      <c r="O18" s="99" t="s">
        <v>195</v>
      </c>
      <c r="P18" s="99" t="s">
        <v>195</v>
      </c>
      <c r="Q18" s="99" t="s">
        <v>195</v>
      </c>
      <c r="R18" s="99" t="s">
        <v>195</v>
      </c>
      <c r="S18" s="99" t="s">
        <v>195</v>
      </c>
      <c r="T18" s="99"/>
      <c r="U18" s="99" t="s">
        <v>194</v>
      </c>
      <c r="V18" s="99" t="s">
        <v>195</v>
      </c>
      <c r="W18" s="99" t="s">
        <v>195</v>
      </c>
      <c r="X18" s="99" t="s">
        <v>195</v>
      </c>
      <c r="Y18" s="99" t="s">
        <v>195</v>
      </c>
      <c r="Z18" s="99" t="s">
        <v>196</v>
      </c>
      <c r="AA18" s="99" t="s">
        <v>195</v>
      </c>
      <c r="AB18" s="99" t="s">
        <v>195</v>
      </c>
      <c r="AC18" s="99" t="s">
        <v>195</v>
      </c>
      <c r="AD18" s="99" t="s">
        <v>195</v>
      </c>
      <c r="AE18" s="99" t="s">
        <v>195</v>
      </c>
      <c r="AF18" s="99" t="s">
        <v>195</v>
      </c>
      <c r="AG18" s="99" t="s">
        <v>195</v>
      </c>
      <c r="AH18" s="99" t="s">
        <v>195</v>
      </c>
      <c r="AI18" s="99" t="s">
        <v>194</v>
      </c>
      <c r="AJ18" s="99" t="s">
        <v>195</v>
      </c>
      <c r="AK18" s="99" t="s">
        <v>195</v>
      </c>
      <c r="AL18" s="99" t="s">
        <v>195</v>
      </c>
      <c r="AM18" s="99"/>
      <c r="AN18" s="99" t="s">
        <v>194</v>
      </c>
      <c r="AO18" s="99" t="s">
        <v>195</v>
      </c>
      <c r="AP18" s="99" t="s">
        <v>195</v>
      </c>
      <c r="AQ18" s="99" t="s">
        <v>195</v>
      </c>
      <c r="AR18" s="99" t="s">
        <v>195</v>
      </c>
      <c r="AS18" s="99" t="s">
        <v>195</v>
      </c>
      <c r="AT18" s="99" t="s">
        <v>195</v>
      </c>
      <c r="AU18" s="99" t="s">
        <v>195</v>
      </c>
      <c r="AV18" s="99" t="s">
        <v>195</v>
      </c>
      <c r="AW18" s="99" t="s">
        <v>195</v>
      </c>
      <c r="AX18" s="99" t="s">
        <v>195</v>
      </c>
      <c r="AY18" s="99"/>
      <c r="AZ18" s="99" t="s">
        <v>194</v>
      </c>
      <c r="BA18" s="99" t="s">
        <v>194</v>
      </c>
      <c r="BB18" s="99" t="s">
        <v>195</v>
      </c>
      <c r="BC18" s="99" t="s">
        <v>195</v>
      </c>
      <c r="BD18" s="99" t="s">
        <v>195</v>
      </c>
      <c r="BE18" s="99" t="s">
        <v>195</v>
      </c>
      <c r="BF18" s="99" t="s">
        <v>195</v>
      </c>
      <c r="BG18" s="99" t="s">
        <v>195</v>
      </c>
      <c r="BH18" s="99" t="s">
        <v>195</v>
      </c>
      <c r="BI18" s="99" t="s">
        <v>195</v>
      </c>
      <c r="BJ18" s="99" t="s">
        <v>195</v>
      </c>
      <c r="BK18" s="99" t="s">
        <v>195</v>
      </c>
      <c r="BL18" s="99" t="s">
        <v>195</v>
      </c>
      <c r="BM18" s="99" t="s">
        <v>195</v>
      </c>
      <c r="BN18" s="99" t="s">
        <v>195</v>
      </c>
      <c r="BO18" s="99" t="s">
        <v>195</v>
      </c>
      <c r="BP18" s="99" t="s">
        <v>195</v>
      </c>
      <c r="BQ18" s="99" t="s">
        <v>195</v>
      </c>
      <c r="BR18" s="99" t="s">
        <v>195</v>
      </c>
      <c r="BS18" s="99" t="s">
        <v>195</v>
      </c>
      <c r="BT18" s="99"/>
      <c r="BU18" s="99" t="s">
        <v>195</v>
      </c>
      <c r="BV18" s="99" t="s">
        <v>199</v>
      </c>
      <c r="BW18" s="99" t="s">
        <v>30</v>
      </c>
      <c r="BX18" s="99" t="s">
        <v>30</v>
      </c>
      <c r="BY18" s="99" t="s">
        <v>30</v>
      </c>
      <c r="BZ18" s="99" t="s">
        <v>30</v>
      </c>
      <c r="CA18" s="99" t="s">
        <v>199</v>
      </c>
      <c r="CB18" s="99"/>
      <c r="CC18" s="99" t="s">
        <v>197</v>
      </c>
      <c r="CD18" s="99"/>
      <c r="CE18" s="99" t="s">
        <v>198</v>
      </c>
      <c r="CF18" s="99"/>
      <c r="CG18" s="99"/>
      <c r="CH18" s="99"/>
      <c r="CI18" s="99" t="s">
        <v>194</v>
      </c>
      <c r="CJ18" s="99" t="s">
        <v>195</v>
      </c>
      <c r="CK18" s="99" t="s">
        <v>195</v>
      </c>
      <c r="CL18" s="99" t="s">
        <v>195</v>
      </c>
      <c r="CM18" s="99" t="s">
        <v>195</v>
      </c>
      <c r="CN18" s="99" t="s">
        <v>195</v>
      </c>
      <c r="CO18" s="99" t="s">
        <v>195</v>
      </c>
      <c r="CP18" s="99" t="s">
        <v>195</v>
      </c>
      <c r="CQ18" s="99" t="s">
        <v>195</v>
      </c>
      <c r="CR18" s="99" t="s">
        <v>195</v>
      </c>
      <c r="CS18" s="99" t="s">
        <v>195</v>
      </c>
      <c r="CT18" s="99" t="s">
        <v>195</v>
      </c>
      <c r="CU18" s="99" t="s">
        <v>195</v>
      </c>
      <c r="CV18" s="99" t="s">
        <v>195</v>
      </c>
      <c r="CW18" s="99" t="s">
        <v>195</v>
      </c>
      <c r="CX18" s="99" t="s">
        <v>195</v>
      </c>
      <c r="CY18" s="99" t="s">
        <v>195</v>
      </c>
      <c r="CZ18" s="99" t="s">
        <v>195</v>
      </c>
      <c r="DA18" s="99" t="s">
        <v>195</v>
      </c>
      <c r="DB18" s="99" t="s">
        <v>195</v>
      </c>
      <c r="DC18" s="99" t="s">
        <v>195</v>
      </c>
      <c r="DD18" s="99" t="s">
        <v>195</v>
      </c>
      <c r="DE18" s="99" t="s">
        <v>195</v>
      </c>
      <c r="DF18" s="99" t="s">
        <v>195</v>
      </c>
      <c r="DG18" s="99" t="s">
        <v>195</v>
      </c>
      <c r="DH18" s="99" t="s">
        <v>195</v>
      </c>
      <c r="DI18" s="99" t="s">
        <v>195</v>
      </c>
      <c r="DJ18" s="99" t="s">
        <v>195</v>
      </c>
      <c r="DK18" s="99"/>
      <c r="DL18" s="99" t="s">
        <v>194</v>
      </c>
      <c r="DM18" s="99" t="s">
        <v>195</v>
      </c>
      <c r="DN18" s="99" t="s">
        <v>195</v>
      </c>
      <c r="DO18" s="99" t="s">
        <v>195</v>
      </c>
      <c r="DP18" s="99" t="s">
        <v>195</v>
      </c>
      <c r="DQ18" s="99" t="s">
        <v>195</v>
      </c>
      <c r="DR18" s="99" t="s">
        <v>195</v>
      </c>
      <c r="DS18" s="99" t="s">
        <v>195</v>
      </c>
      <c r="DT18" s="99" t="s">
        <v>195</v>
      </c>
      <c r="DU18" s="99" t="s">
        <v>195</v>
      </c>
      <c r="DV18" s="99" t="s">
        <v>195</v>
      </c>
      <c r="DW18" s="99" t="s">
        <v>195</v>
      </c>
      <c r="DX18" s="99" t="s">
        <v>195</v>
      </c>
      <c r="DY18" s="99" t="s">
        <v>195</v>
      </c>
      <c r="DZ18" s="99" t="s">
        <v>195</v>
      </c>
      <c r="EA18" s="99"/>
      <c r="EB18" s="99" t="s">
        <v>194</v>
      </c>
      <c r="EC18" s="99" t="s">
        <v>195</v>
      </c>
      <c r="ED18" s="99" t="s">
        <v>195</v>
      </c>
      <c r="EE18" s="99" t="s">
        <v>195</v>
      </c>
      <c r="EF18" s="99" t="s">
        <v>195</v>
      </c>
      <c r="EG18" s="99" t="s">
        <v>195</v>
      </c>
      <c r="EH18" s="100" t="s">
        <v>195</v>
      </c>
    </row>
    <row r="19" spans="1:138" ht="23.25" customHeight="1" x14ac:dyDescent="0.25">
      <c r="A19" s="101" t="s">
        <v>17</v>
      </c>
      <c r="B19" s="90" t="s">
        <v>193</v>
      </c>
      <c r="C19" s="90" t="s">
        <v>194</v>
      </c>
      <c r="D19" s="90" t="s">
        <v>195</v>
      </c>
      <c r="E19" s="90" t="s">
        <v>195</v>
      </c>
      <c r="F19" s="90" t="s">
        <v>195</v>
      </c>
      <c r="G19" s="90" t="s">
        <v>195</v>
      </c>
      <c r="H19" s="90" t="s">
        <v>195</v>
      </c>
      <c r="I19" s="90" t="s">
        <v>195</v>
      </c>
      <c r="J19" s="90" t="s">
        <v>195</v>
      </c>
      <c r="K19" s="90" t="s">
        <v>195</v>
      </c>
      <c r="L19" s="90" t="s">
        <v>195</v>
      </c>
      <c r="M19" s="90" t="s">
        <v>195</v>
      </c>
      <c r="N19" s="90" t="s">
        <v>195</v>
      </c>
      <c r="O19" s="90" t="s">
        <v>195</v>
      </c>
      <c r="P19" s="90" t="s">
        <v>195</v>
      </c>
      <c r="Q19" s="90" t="s">
        <v>195</v>
      </c>
      <c r="R19" s="90" t="s">
        <v>195</v>
      </c>
      <c r="S19" s="90" t="s">
        <v>195</v>
      </c>
      <c r="T19" s="90"/>
      <c r="U19" s="90" t="s">
        <v>194</v>
      </c>
      <c r="V19" s="90" t="s">
        <v>195</v>
      </c>
      <c r="W19" s="90" t="s">
        <v>195</v>
      </c>
      <c r="X19" s="90" t="s">
        <v>195</v>
      </c>
      <c r="Y19" s="90" t="s">
        <v>195</v>
      </c>
      <c r="Z19" s="90" t="s">
        <v>196</v>
      </c>
      <c r="AA19" s="90" t="s">
        <v>195</v>
      </c>
      <c r="AB19" s="90" t="s">
        <v>195</v>
      </c>
      <c r="AC19" s="90" t="s">
        <v>195</v>
      </c>
      <c r="AD19" s="90" t="s">
        <v>195</v>
      </c>
      <c r="AE19" s="90" t="s">
        <v>195</v>
      </c>
      <c r="AF19" s="90" t="s">
        <v>195</v>
      </c>
      <c r="AG19" s="90" t="s">
        <v>195</v>
      </c>
      <c r="AH19" s="90" t="s">
        <v>195</v>
      </c>
      <c r="AI19" s="90" t="s">
        <v>194</v>
      </c>
      <c r="AJ19" s="90" t="s">
        <v>195</v>
      </c>
      <c r="AK19" s="90" t="s">
        <v>195</v>
      </c>
      <c r="AL19" s="90" t="s">
        <v>195</v>
      </c>
      <c r="AM19" s="90"/>
      <c r="AN19" s="90" t="s">
        <v>198</v>
      </c>
      <c r="AO19" s="90" t="s">
        <v>200</v>
      </c>
      <c r="AP19" s="90" t="s">
        <v>200</v>
      </c>
      <c r="AQ19" s="90" t="s">
        <v>200</v>
      </c>
      <c r="AR19" s="90" t="s">
        <v>200</v>
      </c>
      <c r="AS19" s="90" t="s">
        <v>199</v>
      </c>
      <c r="AT19" s="90" t="s">
        <v>200</v>
      </c>
      <c r="AU19" s="90" t="s">
        <v>200</v>
      </c>
      <c r="AV19" s="90" t="s">
        <v>200</v>
      </c>
      <c r="AW19" s="90" t="s">
        <v>200</v>
      </c>
      <c r="AX19" s="90" t="s">
        <v>30</v>
      </c>
      <c r="AY19" s="90"/>
      <c r="AZ19" s="90" t="s">
        <v>198</v>
      </c>
      <c r="BA19" s="90" t="s">
        <v>198</v>
      </c>
      <c r="BB19" s="90" t="s">
        <v>30</v>
      </c>
      <c r="BC19" s="90" t="s">
        <v>30</v>
      </c>
      <c r="BD19" s="90" t="s">
        <v>30</v>
      </c>
      <c r="BE19" s="90" t="s">
        <v>30</v>
      </c>
      <c r="BF19" s="90" t="s">
        <v>30</v>
      </c>
      <c r="BG19" s="90" t="s">
        <v>199</v>
      </c>
      <c r="BH19" s="90" t="s">
        <v>30</v>
      </c>
      <c r="BI19" s="90" t="s">
        <v>30</v>
      </c>
      <c r="BJ19" s="90" t="s">
        <v>30</v>
      </c>
      <c r="BK19" s="90" t="s">
        <v>30</v>
      </c>
      <c r="BL19" s="90" t="s">
        <v>200</v>
      </c>
      <c r="BM19" s="90" t="s">
        <v>200</v>
      </c>
      <c r="BN19" s="90" t="s">
        <v>30</v>
      </c>
      <c r="BO19" s="90" t="s">
        <v>30</v>
      </c>
      <c r="BP19" s="90" t="s">
        <v>200</v>
      </c>
      <c r="BQ19" s="90" t="s">
        <v>30</v>
      </c>
      <c r="BR19" s="90" t="s">
        <v>30</v>
      </c>
      <c r="BS19" s="90" t="s">
        <v>199</v>
      </c>
      <c r="BT19" s="90"/>
      <c r="BU19" s="90" t="s">
        <v>200</v>
      </c>
      <c r="BV19" s="90" t="s">
        <v>200</v>
      </c>
      <c r="BW19" s="90" t="s">
        <v>200</v>
      </c>
      <c r="BX19" s="90" t="s">
        <v>200</v>
      </c>
      <c r="BY19" s="90" t="s">
        <v>200</v>
      </c>
      <c r="BZ19" s="90" t="s">
        <v>200</v>
      </c>
      <c r="CA19" s="90" t="s">
        <v>200</v>
      </c>
      <c r="CB19" s="90"/>
      <c r="CC19" s="90" t="s">
        <v>205</v>
      </c>
      <c r="CD19" s="90"/>
      <c r="CE19" s="90" t="s">
        <v>198</v>
      </c>
      <c r="CF19" s="90"/>
      <c r="CG19" s="90"/>
      <c r="CH19" s="90"/>
      <c r="CI19" s="90" t="s">
        <v>194</v>
      </c>
      <c r="CJ19" s="90" t="s">
        <v>195</v>
      </c>
      <c r="CK19" s="90" t="s">
        <v>195</v>
      </c>
      <c r="CL19" s="90" t="s">
        <v>195</v>
      </c>
      <c r="CM19" s="90" t="s">
        <v>195</v>
      </c>
      <c r="CN19" s="90" t="s">
        <v>195</v>
      </c>
      <c r="CO19" s="90" t="s">
        <v>195</v>
      </c>
      <c r="CP19" s="90" t="s">
        <v>195</v>
      </c>
      <c r="CQ19" s="90" t="s">
        <v>195</v>
      </c>
      <c r="CR19" s="90" t="s">
        <v>195</v>
      </c>
      <c r="CS19" s="90" t="s">
        <v>195</v>
      </c>
      <c r="CT19" s="90" t="s">
        <v>195</v>
      </c>
      <c r="CU19" s="90" t="s">
        <v>195</v>
      </c>
      <c r="CV19" s="90" t="s">
        <v>195</v>
      </c>
      <c r="CW19" s="90" t="s">
        <v>195</v>
      </c>
      <c r="CX19" s="90" t="s">
        <v>195</v>
      </c>
      <c r="CY19" s="90" t="s">
        <v>195</v>
      </c>
      <c r="CZ19" s="90" t="s">
        <v>195</v>
      </c>
      <c r="DA19" s="90" t="s">
        <v>195</v>
      </c>
      <c r="DB19" s="90" t="s">
        <v>195</v>
      </c>
      <c r="DC19" s="90" t="s">
        <v>195</v>
      </c>
      <c r="DD19" s="90" t="s">
        <v>195</v>
      </c>
      <c r="DE19" s="90" t="s">
        <v>195</v>
      </c>
      <c r="DF19" s="90" t="s">
        <v>195</v>
      </c>
      <c r="DG19" s="90" t="s">
        <v>195</v>
      </c>
      <c r="DH19" s="90" t="s">
        <v>195</v>
      </c>
      <c r="DI19" s="90" t="s">
        <v>195</v>
      </c>
      <c r="DJ19" s="90" t="s">
        <v>195</v>
      </c>
      <c r="DK19" s="90"/>
      <c r="DL19" s="90" t="s">
        <v>194</v>
      </c>
      <c r="DM19" s="90" t="s">
        <v>195</v>
      </c>
      <c r="DN19" s="90" t="s">
        <v>195</v>
      </c>
      <c r="DO19" s="90" t="s">
        <v>195</v>
      </c>
      <c r="DP19" s="90" t="s">
        <v>195</v>
      </c>
      <c r="DQ19" s="90" t="s">
        <v>195</v>
      </c>
      <c r="DR19" s="90" t="s">
        <v>195</v>
      </c>
      <c r="DS19" s="90" t="s">
        <v>195</v>
      </c>
      <c r="DT19" s="90" t="s">
        <v>195</v>
      </c>
      <c r="DU19" s="90" t="s">
        <v>195</v>
      </c>
      <c r="DV19" s="90" t="s">
        <v>195</v>
      </c>
      <c r="DW19" s="90" t="s">
        <v>195</v>
      </c>
      <c r="DX19" s="90" t="s">
        <v>195</v>
      </c>
      <c r="DY19" s="90" t="s">
        <v>195</v>
      </c>
      <c r="DZ19" s="90" t="s">
        <v>195</v>
      </c>
      <c r="EA19" s="90"/>
      <c r="EB19" s="90" t="s">
        <v>194</v>
      </c>
      <c r="EC19" s="90" t="s">
        <v>195</v>
      </c>
      <c r="ED19" s="90" t="s">
        <v>195</v>
      </c>
      <c r="EE19" s="90" t="s">
        <v>195</v>
      </c>
      <c r="EF19" s="90" t="s">
        <v>195</v>
      </c>
      <c r="EG19" s="90" t="s">
        <v>195</v>
      </c>
      <c r="EH19" s="102" t="s">
        <v>195</v>
      </c>
    </row>
    <row r="20" spans="1:138" ht="23.25" customHeight="1" x14ac:dyDescent="0.25">
      <c r="A20" s="98" t="s">
        <v>16</v>
      </c>
      <c r="B20" s="99" t="s">
        <v>193</v>
      </c>
      <c r="C20" s="99" t="s">
        <v>194</v>
      </c>
      <c r="D20" s="99" t="s">
        <v>195</v>
      </c>
      <c r="E20" s="99" t="s">
        <v>195</v>
      </c>
      <c r="F20" s="99" t="s">
        <v>195</v>
      </c>
      <c r="G20" s="99" t="s">
        <v>195</v>
      </c>
      <c r="H20" s="99" t="s">
        <v>195</v>
      </c>
      <c r="I20" s="99" t="s">
        <v>195</v>
      </c>
      <c r="J20" s="99" t="s">
        <v>195</v>
      </c>
      <c r="K20" s="99" t="s">
        <v>195</v>
      </c>
      <c r="L20" s="99" t="s">
        <v>195</v>
      </c>
      <c r="M20" s="99" t="s">
        <v>195</v>
      </c>
      <c r="N20" s="99" t="s">
        <v>195</v>
      </c>
      <c r="O20" s="99" t="s">
        <v>195</v>
      </c>
      <c r="P20" s="99" t="s">
        <v>195</v>
      </c>
      <c r="Q20" s="99" t="s">
        <v>195</v>
      </c>
      <c r="R20" s="99" t="s">
        <v>195</v>
      </c>
      <c r="S20" s="99" t="s">
        <v>195</v>
      </c>
      <c r="T20" s="99"/>
      <c r="U20" s="99" t="s">
        <v>194</v>
      </c>
      <c r="V20" s="99" t="s">
        <v>195</v>
      </c>
      <c r="W20" s="99" t="s">
        <v>195</v>
      </c>
      <c r="X20" s="99" t="s">
        <v>195</v>
      </c>
      <c r="Y20" s="99" t="s">
        <v>195</v>
      </c>
      <c r="Z20" s="99" t="s">
        <v>196</v>
      </c>
      <c r="AA20" s="99" t="s">
        <v>195</v>
      </c>
      <c r="AB20" s="99" t="s">
        <v>195</v>
      </c>
      <c r="AC20" s="99" t="s">
        <v>195</v>
      </c>
      <c r="AD20" s="99" t="s">
        <v>195</v>
      </c>
      <c r="AE20" s="99" t="s">
        <v>195</v>
      </c>
      <c r="AF20" s="99" t="s">
        <v>195</v>
      </c>
      <c r="AG20" s="99" t="s">
        <v>195</v>
      </c>
      <c r="AH20" s="99" t="s">
        <v>195</v>
      </c>
      <c r="AI20" s="99" t="s">
        <v>194</v>
      </c>
      <c r="AJ20" s="99" t="s">
        <v>195</v>
      </c>
      <c r="AK20" s="99" t="s">
        <v>195</v>
      </c>
      <c r="AL20" s="99" t="s">
        <v>195</v>
      </c>
      <c r="AM20" s="99"/>
      <c r="AN20" s="99" t="s">
        <v>194</v>
      </c>
      <c r="AO20" s="99" t="s">
        <v>195</v>
      </c>
      <c r="AP20" s="99" t="s">
        <v>195</v>
      </c>
      <c r="AQ20" s="99" t="s">
        <v>195</v>
      </c>
      <c r="AR20" s="99" t="s">
        <v>195</v>
      </c>
      <c r="AS20" s="99" t="s">
        <v>195</v>
      </c>
      <c r="AT20" s="99" t="s">
        <v>195</v>
      </c>
      <c r="AU20" s="99" t="s">
        <v>195</v>
      </c>
      <c r="AV20" s="99" t="s">
        <v>195</v>
      </c>
      <c r="AW20" s="99" t="s">
        <v>195</v>
      </c>
      <c r="AX20" s="99" t="s">
        <v>195</v>
      </c>
      <c r="AY20" s="99"/>
      <c r="AZ20" s="99" t="s">
        <v>194</v>
      </c>
      <c r="BA20" s="99" t="s">
        <v>194</v>
      </c>
      <c r="BB20" s="99" t="s">
        <v>195</v>
      </c>
      <c r="BC20" s="99" t="s">
        <v>195</v>
      </c>
      <c r="BD20" s="99" t="s">
        <v>195</v>
      </c>
      <c r="BE20" s="99" t="s">
        <v>195</v>
      </c>
      <c r="BF20" s="99" t="s">
        <v>195</v>
      </c>
      <c r="BG20" s="99" t="s">
        <v>195</v>
      </c>
      <c r="BH20" s="99" t="s">
        <v>195</v>
      </c>
      <c r="BI20" s="99" t="s">
        <v>195</v>
      </c>
      <c r="BJ20" s="99" t="s">
        <v>195</v>
      </c>
      <c r="BK20" s="99" t="s">
        <v>195</v>
      </c>
      <c r="BL20" s="99" t="s">
        <v>195</v>
      </c>
      <c r="BM20" s="99" t="s">
        <v>195</v>
      </c>
      <c r="BN20" s="99" t="s">
        <v>195</v>
      </c>
      <c r="BO20" s="99" t="s">
        <v>195</v>
      </c>
      <c r="BP20" s="99" t="s">
        <v>195</v>
      </c>
      <c r="BQ20" s="99" t="s">
        <v>195</v>
      </c>
      <c r="BR20" s="99" t="s">
        <v>195</v>
      </c>
      <c r="BS20" s="99" t="s">
        <v>195</v>
      </c>
      <c r="BT20" s="99"/>
      <c r="BU20" s="99" t="s">
        <v>203</v>
      </c>
      <c r="BV20" s="99" t="s">
        <v>203</v>
      </c>
      <c r="BW20" s="99" t="s">
        <v>203</v>
      </c>
      <c r="BX20" s="99" t="s">
        <v>203</v>
      </c>
      <c r="BY20" s="99" t="s">
        <v>203</v>
      </c>
      <c r="BZ20" s="99" t="s">
        <v>203</v>
      </c>
      <c r="CA20" s="99" t="s">
        <v>203</v>
      </c>
      <c r="CB20" s="99"/>
      <c r="CC20" s="99" t="s">
        <v>207</v>
      </c>
      <c r="CD20" s="99"/>
      <c r="CE20" s="99" t="s">
        <v>198</v>
      </c>
      <c r="CF20" s="99"/>
      <c r="CG20" s="99"/>
      <c r="CH20" s="99"/>
      <c r="CI20" s="99" t="s">
        <v>194</v>
      </c>
      <c r="CJ20" s="99" t="s">
        <v>195</v>
      </c>
      <c r="CK20" s="99" t="s">
        <v>195</v>
      </c>
      <c r="CL20" s="99" t="s">
        <v>195</v>
      </c>
      <c r="CM20" s="99" t="s">
        <v>195</v>
      </c>
      <c r="CN20" s="99" t="s">
        <v>195</v>
      </c>
      <c r="CO20" s="99" t="s">
        <v>195</v>
      </c>
      <c r="CP20" s="99" t="s">
        <v>195</v>
      </c>
      <c r="CQ20" s="99" t="s">
        <v>195</v>
      </c>
      <c r="CR20" s="99" t="s">
        <v>195</v>
      </c>
      <c r="CS20" s="99" t="s">
        <v>195</v>
      </c>
      <c r="CT20" s="99" t="s">
        <v>195</v>
      </c>
      <c r="CU20" s="99" t="s">
        <v>195</v>
      </c>
      <c r="CV20" s="99" t="s">
        <v>195</v>
      </c>
      <c r="CW20" s="99" t="s">
        <v>195</v>
      </c>
      <c r="CX20" s="99" t="s">
        <v>195</v>
      </c>
      <c r="CY20" s="99" t="s">
        <v>195</v>
      </c>
      <c r="CZ20" s="99" t="s">
        <v>195</v>
      </c>
      <c r="DA20" s="99" t="s">
        <v>195</v>
      </c>
      <c r="DB20" s="99" t="s">
        <v>195</v>
      </c>
      <c r="DC20" s="99" t="s">
        <v>195</v>
      </c>
      <c r="DD20" s="99" t="s">
        <v>195</v>
      </c>
      <c r="DE20" s="99" t="s">
        <v>195</v>
      </c>
      <c r="DF20" s="99" t="s">
        <v>195</v>
      </c>
      <c r="DG20" s="99" t="s">
        <v>195</v>
      </c>
      <c r="DH20" s="99" t="s">
        <v>195</v>
      </c>
      <c r="DI20" s="99" t="s">
        <v>195</v>
      </c>
      <c r="DJ20" s="99" t="s">
        <v>195</v>
      </c>
      <c r="DK20" s="99"/>
      <c r="DL20" s="99" t="s">
        <v>194</v>
      </c>
      <c r="DM20" s="99" t="s">
        <v>195</v>
      </c>
      <c r="DN20" s="99" t="s">
        <v>195</v>
      </c>
      <c r="DO20" s="99" t="s">
        <v>195</v>
      </c>
      <c r="DP20" s="99" t="s">
        <v>195</v>
      </c>
      <c r="DQ20" s="99" t="s">
        <v>195</v>
      </c>
      <c r="DR20" s="99" t="s">
        <v>195</v>
      </c>
      <c r="DS20" s="99" t="s">
        <v>195</v>
      </c>
      <c r="DT20" s="99" t="s">
        <v>195</v>
      </c>
      <c r="DU20" s="99" t="s">
        <v>195</v>
      </c>
      <c r="DV20" s="99" t="s">
        <v>195</v>
      </c>
      <c r="DW20" s="99" t="s">
        <v>195</v>
      </c>
      <c r="DX20" s="99" t="s">
        <v>195</v>
      </c>
      <c r="DY20" s="99" t="s">
        <v>195</v>
      </c>
      <c r="DZ20" s="99" t="s">
        <v>195</v>
      </c>
      <c r="EA20" s="99"/>
      <c r="EB20" s="99" t="s">
        <v>194</v>
      </c>
      <c r="EC20" s="99" t="s">
        <v>195</v>
      </c>
      <c r="ED20" s="99" t="s">
        <v>195</v>
      </c>
      <c r="EE20" s="99" t="s">
        <v>195</v>
      </c>
      <c r="EF20" s="99" t="s">
        <v>195</v>
      </c>
      <c r="EG20" s="99" t="s">
        <v>195</v>
      </c>
      <c r="EH20" s="100" t="s">
        <v>195</v>
      </c>
    </row>
    <row r="21" spans="1:138" ht="23.25" customHeight="1" x14ac:dyDescent="0.25">
      <c r="A21" s="101" t="s">
        <v>17</v>
      </c>
      <c r="B21" s="90" t="s">
        <v>193</v>
      </c>
      <c r="C21" s="90" t="s">
        <v>198</v>
      </c>
      <c r="D21" s="90" t="s">
        <v>199</v>
      </c>
      <c r="E21" s="90" t="s">
        <v>199</v>
      </c>
      <c r="F21" s="90" t="s">
        <v>30</v>
      </c>
      <c r="G21" s="90" t="s">
        <v>199</v>
      </c>
      <c r="H21" s="90" t="s">
        <v>199</v>
      </c>
      <c r="I21" s="90" t="s">
        <v>30</v>
      </c>
      <c r="J21" s="90" t="s">
        <v>199</v>
      </c>
      <c r="K21" s="90" t="s">
        <v>199</v>
      </c>
      <c r="L21" s="90" t="s">
        <v>199</v>
      </c>
      <c r="M21" s="90" t="s">
        <v>30</v>
      </c>
      <c r="N21" s="90" t="s">
        <v>30</v>
      </c>
      <c r="O21" s="90" t="s">
        <v>30</v>
      </c>
      <c r="P21" s="90" t="s">
        <v>200</v>
      </c>
      <c r="Q21" s="90" t="s">
        <v>199</v>
      </c>
      <c r="R21" s="90" t="s">
        <v>199</v>
      </c>
      <c r="S21" s="90" t="s">
        <v>199</v>
      </c>
      <c r="T21" s="90"/>
      <c r="U21" s="90" t="s">
        <v>198</v>
      </c>
      <c r="V21" s="90" t="s">
        <v>199</v>
      </c>
      <c r="W21" s="90" t="s">
        <v>199</v>
      </c>
      <c r="X21" s="90" t="s">
        <v>199</v>
      </c>
      <c r="Y21" s="90" t="s">
        <v>201</v>
      </c>
      <c r="Z21" s="90" t="s">
        <v>196</v>
      </c>
      <c r="AA21" s="90" t="s">
        <v>201</v>
      </c>
      <c r="AB21" s="90" t="s">
        <v>201</v>
      </c>
      <c r="AC21" s="90" t="s">
        <v>201</v>
      </c>
      <c r="AD21" s="90" t="s">
        <v>201</v>
      </c>
      <c r="AE21" s="90" t="s">
        <v>195</v>
      </c>
      <c r="AF21" s="90" t="s">
        <v>195</v>
      </c>
      <c r="AG21" s="90" t="s">
        <v>195</v>
      </c>
      <c r="AH21" s="90" t="s">
        <v>195</v>
      </c>
      <c r="AI21" s="90" t="s">
        <v>198</v>
      </c>
      <c r="AJ21" s="90" t="s">
        <v>199</v>
      </c>
      <c r="AK21" s="90" t="s">
        <v>199</v>
      </c>
      <c r="AL21" s="90" t="s">
        <v>199</v>
      </c>
      <c r="AM21" s="90"/>
      <c r="AN21" s="90" t="s">
        <v>198</v>
      </c>
      <c r="AO21" s="90" t="s">
        <v>201</v>
      </c>
      <c r="AP21" s="90" t="s">
        <v>199</v>
      </c>
      <c r="AQ21" s="90" t="s">
        <v>199</v>
      </c>
      <c r="AR21" s="90" t="s">
        <v>199</v>
      </c>
      <c r="AS21" s="90" t="s">
        <v>30</v>
      </c>
      <c r="AT21" s="90" t="s">
        <v>199</v>
      </c>
      <c r="AU21" s="90" t="s">
        <v>199</v>
      </c>
      <c r="AV21" s="90" t="s">
        <v>199</v>
      </c>
      <c r="AW21" s="90" t="s">
        <v>199</v>
      </c>
      <c r="AX21" s="90" t="s">
        <v>199</v>
      </c>
      <c r="AY21" s="90"/>
      <c r="AZ21" s="90" t="s">
        <v>198</v>
      </c>
      <c r="BA21" s="90" t="s">
        <v>198</v>
      </c>
      <c r="BB21" s="90" t="s">
        <v>202</v>
      </c>
      <c r="BC21" s="90" t="s">
        <v>202</v>
      </c>
      <c r="BD21" s="90" t="s">
        <v>202</v>
      </c>
      <c r="BE21" s="90" t="s">
        <v>202</v>
      </c>
      <c r="BF21" s="90" t="s">
        <v>202</v>
      </c>
      <c r="BG21" s="90" t="s">
        <v>30</v>
      </c>
      <c r="BH21" s="90" t="s">
        <v>201</v>
      </c>
      <c r="BI21" s="90" t="s">
        <v>201</v>
      </c>
      <c r="BJ21" s="90" t="s">
        <v>202</v>
      </c>
      <c r="BK21" s="90" t="s">
        <v>30</v>
      </c>
      <c r="BL21" s="90" t="s">
        <v>199</v>
      </c>
      <c r="BM21" s="90" t="s">
        <v>199</v>
      </c>
      <c r="BN21" s="90" t="s">
        <v>199</v>
      </c>
      <c r="BO21" s="90" t="s">
        <v>199</v>
      </c>
      <c r="BP21" s="90" t="s">
        <v>199</v>
      </c>
      <c r="BQ21" s="90" t="s">
        <v>30</v>
      </c>
      <c r="BR21" s="90" t="s">
        <v>199</v>
      </c>
      <c r="BS21" s="90" t="s">
        <v>199</v>
      </c>
      <c r="BT21" s="90"/>
      <c r="BU21" s="90" t="s">
        <v>195</v>
      </c>
      <c r="BV21" s="90" t="s">
        <v>195</v>
      </c>
      <c r="BW21" s="90" t="s">
        <v>195</v>
      </c>
      <c r="BX21" s="90" t="s">
        <v>195</v>
      </c>
      <c r="BY21" s="90" t="s">
        <v>195</v>
      </c>
      <c r="BZ21" s="90" t="s">
        <v>195</v>
      </c>
      <c r="CA21" s="90" t="s">
        <v>199</v>
      </c>
      <c r="CB21" s="90"/>
      <c r="CC21" s="90" t="s">
        <v>197</v>
      </c>
      <c r="CD21" s="90"/>
      <c r="CE21" s="90" t="s">
        <v>194</v>
      </c>
      <c r="CF21" s="90"/>
      <c r="CG21" s="90"/>
      <c r="CH21" s="90"/>
      <c r="CI21" s="90" t="s">
        <v>198</v>
      </c>
      <c r="CJ21" s="90" t="s">
        <v>199</v>
      </c>
      <c r="CK21" s="90" t="s">
        <v>199</v>
      </c>
      <c r="CL21" s="90" t="s">
        <v>30</v>
      </c>
      <c r="CM21" s="90" t="s">
        <v>201</v>
      </c>
      <c r="CN21" s="90" t="s">
        <v>199</v>
      </c>
      <c r="CO21" s="90" t="s">
        <v>199</v>
      </c>
      <c r="CP21" s="90" t="s">
        <v>199</v>
      </c>
      <c r="CQ21" s="90" t="s">
        <v>199</v>
      </c>
      <c r="CR21" s="90" t="s">
        <v>30</v>
      </c>
      <c r="CS21" s="90" t="s">
        <v>199</v>
      </c>
      <c r="CT21" s="90" t="s">
        <v>200</v>
      </c>
      <c r="CU21" s="90" t="s">
        <v>200</v>
      </c>
      <c r="CV21" s="90" t="s">
        <v>199</v>
      </c>
      <c r="CW21" s="90" t="s">
        <v>200</v>
      </c>
      <c r="CX21" s="90" t="s">
        <v>199</v>
      </c>
      <c r="CY21" s="90" t="s">
        <v>199</v>
      </c>
      <c r="CZ21" s="90" t="s">
        <v>200</v>
      </c>
      <c r="DA21" s="90" t="s">
        <v>200</v>
      </c>
      <c r="DB21" s="90" t="s">
        <v>30</v>
      </c>
      <c r="DC21" s="90" t="s">
        <v>30</v>
      </c>
      <c r="DD21" s="90" t="s">
        <v>30</v>
      </c>
      <c r="DE21" s="90" t="s">
        <v>30</v>
      </c>
      <c r="DF21" s="90" t="s">
        <v>199</v>
      </c>
      <c r="DG21" s="90" t="s">
        <v>199</v>
      </c>
      <c r="DH21" s="90" t="s">
        <v>199</v>
      </c>
      <c r="DI21" s="90" t="s">
        <v>199</v>
      </c>
      <c r="DJ21" s="90" t="s">
        <v>199</v>
      </c>
      <c r="DK21" s="90"/>
      <c r="DL21" s="90" t="s">
        <v>194</v>
      </c>
      <c r="DM21" s="90" t="s">
        <v>195</v>
      </c>
      <c r="DN21" s="90" t="s">
        <v>195</v>
      </c>
      <c r="DO21" s="90" t="s">
        <v>195</v>
      </c>
      <c r="DP21" s="90" t="s">
        <v>195</v>
      </c>
      <c r="DQ21" s="90" t="s">
        <v>195</v>
      </c>
      <c r="DR21" s="90" t="s">
        <v>195</v>
      </c>
      <c r="DS21" s="90" t="s">
        <v>195</v>
      </c>
      <c r="DT21" s="90" t="s">
        <v>195</v>
      </c>
      <c r="DU21" s="90" t="s">
        <v>195</v>
      </c>
      <c r="DV21" s="90" t="s">
        <v>195</v>
      </c>
      <c r="DW21" s="90" t="s">
        <v>195</v>
      </c>
      <c r="DX21" s="90" t="s">
        <v>195</v>
      </c>
      <c r="DY21" s="90" t="s">
        <v>195</v>
      </c>
      <c r="DZ21" s="90" t="s">
        <v>195</v>
      </c>
      <c r="EA21" s="90"/>
      <c r="EB21" s="90" t="s">
        <v>194</v>
      </c>
      <c r="EC21" s="90" t="s">
        <v>195</v>
      </c>
      <c r="ED21" s="90" t="s">
        <v>195</v>
      </c>
      <c r="EE21" s="90" t="s">
        <v>195</v>
      </c>
      <c r="EF21" s="90" t="s">
        <v>195</v>
      </c>
      <c r="EG21" s="90" t="s">
        <v>195</v>
      </c>
      <c r="EH21" s="102" t="s">
        <v>195</v>
      </c>
    </row>
    <row r="22" spans="1:138" ht="23.25" customHeight="1" x14ac:dyDescent="0.25">
      <c r="A22" s="98" t="s">
        <v>16</v>
      </c>
      <c r="B22" s="99" t="s">
        <v>193</v>
      </c>
      <c r="C22" s="99" t="s">
        <v>194</v>
      </c>
      <c r="D22" s="99" t="s">
        <v>195</v>
      </c>
      <c r="E22" s="99" t="s">
        <v>195</v>
      </c>
      <c r="F22" s="99" t="s">
        <v>195</v>
      </c>
      <c r="G22" s="99" t="s">
        <v>195</v>
      </c>
      <c r="H22" s="99" t="s">
        <v>195</v>
      </c>
      <c r="I22" s="99" t="s">
        <v>195</v>
      </c>
      <c r="J22" s="99" t="s">
        <v>195</v>
      </c>
      <c r="K22" s="99" t="s">
        <v>195</v>
      </c>
      <c r="L22" s="99" t="s">
        <v>195</v>
      </c>
      <c r="M22" s="99" t="s">
        <v>195</v>
      </c>
      <c r="N22" s="99" t="s">
        <v>195</v>
      </c>
      <c r="O22" s="99" t="s">
        <v>195</v>
      </c>
      <c r="P22" s="99" t="s">
        <v>195</v>
      </c>
      <c r="Q22" s="99" t="s">
        <v>195</v>
      </c>
      <c r="R22" s="99" t="s">
        <v>195</v>
      </c>
      <c r="S22" s="99" t="s">
        <v>195</v>
      </c>
      <c r="T22" s="99"/>
      <c r="U22" s="99" t="s">
        <v>198</v>
      </c>
      <c r="V22" s="99" t="s">
        <v>199</v>
      </c>
      <c r="W22" s="99" t="s">
        <v>201</v>
      </c>
      <c r="X22" s="99" t="s">
        <v>199</v>
      </c>
      <c r="Y22" s="99" t="s">
        <v>199</v>
      </c>
      <c r="Z22" s="99" t="s">
        <v>196</v>
      </c>
      <c r="AA22" s="99" t="s">
        <v>195</v>
      </c>
      <c r="AB22" s="99" t="s">
        <v>195</v>
      </c>
      <c r="AC22" s="99" t="s">
        <v>195</v>
      </c>
      <c r="AD22" s="99" t="s">
        <v>195</v>
      </c>
      <c r="AE22" s="99" t="s">
        <v>30</v>
      </c>
      <c r="AF22" s="99" t="s">
        <v>30</v>
      </c>
      <c r="AG22" s="99" t="s">
        <v>30</v>
      </c>
      <c r="AH22" s="99" t="s">
        <v>30</v>
      </c>
      <c r="AI22" s="99" t="s">
        <v>194</v>
      </c>
      <c r="AJ22" s="99" t="s">
        <v>195</v>
      </c>
      <c r="AK22" s="99" t="s">
        <v>195</v>
      </c>
      <c r="AL22" s="99" t="s">
        <v>195</v>
      </c>
      <c r="AM22" s="99"/>
      <c r="AN22" s="99" t="s">
        <v>194</v>
      </c>
      <c r="AO22" s="99" t="s">
        <v>195</v>
      </c>
      <c r="AP22" s="99" t="s">
        <v>195</v>
      </c>
      <c r="AQ22" s="99" t="s">
        <v>195</v>
      </c>
      <c r="AR22" s="99" t="s">
        <v>195</v>
      </c>
      <c r="AS22" s="99" t="s">
        <v>195</v>
      </c>
      <c r="AT22" s="99" t="s">
        <v>195</v>
      </c>
      <c r="AU22" s="99" t="s">
        <v>195</v>
      </c>
      <c r="AV22" s="99" t="s">
        <v>195</v>
      </c>
      <c r="AW22" s="99" t="s">
        <v>195</v>
      </c>
      <c r="AX22" s="99" t="s">
        <v>195</v>
      </c>
      <c r="AY22" s="99"/>
      <c r="AZ22" s="99" t="s">
        <v>194</v>
      </c>
      <c r="BA22" s="99" t="s">
        <v>194</v>
      </c>
      <c r="BB22" s="99" t="s">
        <v>195</v>
      </c>
      <c r="BC22" s="99" t="s">
        <v>195</v>
      </c>
      <c r="BD22" s="99" t="s">
        <v>195</v>
      </c>
      <c r="BE22" s="99" t="s">
        <v>195</v>
      </c>
      <c r="BF22" s="99" t="s">
        <v>195</v>
      </c>
      <c r="BG22" s="99" t="s">
        <v>195</v>
      </c>
      <c r="BH22" s="99" t="s">
        <v>195</v>
      </c>
      <c r="BI22" s="99" t="s">
        <v>195</v>
      </c>
      <c r="BJ22" s="99" t="s">
        <v>195</v>
      </c>
      <c r="BK22" s="99" t="s">
        <v>195</v>
      </c>
      <c r="BL22" s="99" t="s">
        <v>195</v>
      </c>
      <c r="BM22" s="99" t="s">
        <v>195</v>
      </c>
      <c r="BN22" s="99" t="s">
        <v>195</v>
      </c>
      <c r="BO22" s="99" t="s">
        <v>195</v>
      </c>
      <c r="BP22" s="99" t="s">
        <v>195</v>
      </c>
      <c r="BQ22" s="99" t="s">
        <v>195</v>
      </c>
      <c r="BR22" s="99" t="s">
        <v>195</v>
      </c>
      <c r="BS22" s="99" t="s">
        <v>195</v>
      </c>
      <c r="BT22" s="99"/>
      <c r="BU22" s="99" t="s">
        <v>200</v>
      </c>
      <c r="BV22" s="99" t="s">
        <v>200</v>
      </c>
      <c r="BW22" s="99" t="s">
        <v>199</v>
      </c>
      <c r="BX22" s="99" t="s">
        <v>199</v>
      </c>
      <c r="BY22" s="99" t="s">
        <v>199</v>
      </c>
      <c r="BZ22" s="99" t="s">
        <v>199</v>
      </c>
      <c r="CA22" s="99" t="s">
        <v>199</v>
      </c>
      <c r="CB22" s="99"/>
      <c r="CC22" s="99" t="s">
        <v>197</v>
      </c>
      <c r="CD22" s="99"/>
      <c r="CE22" s="99" t="s">
        <v>198</v>
      </c>
      <c r="CF22" s="99"/>
      <c r="CG22" s="99"/>
      <c r="CH22" s="99"/>
      <c r="CI22" s="99" t="s">
        <v>198</v>
      </c>
      <c r="CJ22" s="99" t="s">
        <v>199</v>
      </c>
      <c r="CK22" s="99" t="s">
        <v>199</v>
      </c>
      <c r="CL22" s="99" t="s">
        <v>30</v>
      </c>
      <c r="CM22" s="99" t="s">
        <v>201</v>
      </c>
      <c r="CN22" s="99" t="s">
        <v>199</v>
      </c>
      <c r="CO22" s="99" t="s">
        <v>199</v>
      </c>
      <c r="CP22" s="99" t="s">
        <v>30</v>
      </c>
      <c r="CQ22" s="99" t="s">
        <v>199</v>
      </c>
      <c r="CR22" s="99" t="s">
        <v>30</v>
      </c>
      <c r="CS22" s="99" t="s">
        <v>199</v>
      </c>
      <c r="CT22" s="99" t="s">
        <v>201</v>
      </c>
      <c r="CU22" s="99" t="s">
        <v>201</v>
      </c>
      <c r="CV22" s="99" t="s">
        <v>199</v>
      </c>
      <c r="CW22" s="99" t="s">
        <v>201</v>
      </c>
      <c r="CX22" s="99" t="s">
        <v>201</v>
      </c>
      <c r="CY22" s="99" t="s">
        <v>199</v>
      </c>
      <c r="CZ22" s="99" t="s">
        <v>201</v>
      </c>
      <c r="DA22" s="99" t="s">
        <v>201</v>
      </c>
      <c r="DB22" s="99" t="s">
        <v>201</v>
      </c>
      <c r="DC22" s="99" t="s">
        <v>201</v>
      </c>
      <c r="DD22" s="99" t="s">
        <v>201</v>
      </c>
      <c r="DE22" s="99" t="s">
        <v>201</v>
      </c>
      <c r="DF22" s="99" t="s">
        <v>201</v>
      </c>
      <c r="DG22" s="99" t="s">
        <v>201</v>
      </c>
      <c r="DH22" s="99" t="s">
        <v>201</v>
      </c>
      <c r="DI22" s="99" t="s">
        <v>201</v>
      </c>
      <c r="DJ22" s="99" t="s">
        <v>201</v>
      </c>
      <c r="DK22" s="99"/>
      <c r="DL22" s="99" t="s">
        <v>194</v>
      </c>
      <c r="DM22" s="99" t="s">
        <v>195</v>
      </c>
      <c r="DN22" s="99" t="s">
        <v>195</v>
      </c>
      <c r="DO22" s="99" t="s">
        <v>195</v>
      </c>
      <c r="DP22" s="99" t="s">
        <v>195</v>
      </c>
      <c r="DQ22" s="99" t="s">
        <v>195</v>
      </c>
      <c r="DR22" s="99" t="s">
        <v>195</v>
      </c>
      <c r="DS22" s="99" t="s">
        <v>195</v>
      </c>
      <c r="DT22" s="99" t="s">
        <v>195</v>
      </c>
      <c r="DU22" s="99" t="s">
        <v>195</v>
      </c>
      <c r="DV22" s="99" t="s">
        <v>195</v>
      </c>
      <c r="DW22" s="99" t="s">
        <v>195</v>
      </c>
      <c r="DX22" s="99" t="s">
        <v>195</v>
      </c>
      <c r="DY22" s="99" t="s">
        <v>195</v>
      </c>
      <c r="DZ22" s="99" t="s">
        <v>195</v>
      </c>
      <c r="EA22" s="99"/>
      <c r="EB22" s="99" t="s">
        <v>194</v>
      </c>
      <c r="EC22" s="99" t="s">
        <v>195</v>
      </c>
      <c r="ED22" s="99" t="s">
        <v>195</v>
      </c>
      <c r="EE22" s="99" t="s">
        <v>195</v>
      </c>
      <c r="EF22" s="99" t="s">
        <v>195</v>
      </c>
      <c r="EG22" s="99" t="s">
        <v>195</v>
      </c>
      <c r="EH22" s="100" t="s">
        <v>195</v>
      </c>
    </row>
    <row r="23" spans="1:138" ht="23.25" customHeight="1" x14ac:dyDescent="0.25">
      <c r="A23" s="101" t="s">
        <v>17</v>
      </c>
      <c r="B23" s="90" t="s">
        <v>193</v>
      </c>
      <c r="C23" s="90" t="s">
        <v>198</v>
      </c>
      <c r="D23" s="90" t="s">
        <v>206</v>
      </c>
      <c r="E23" s="90" t="s">
        <v>206</v>
      </c>
      <c r="F23" s="90" t="s">
        <v>206</v>
      </c>
      <c r="G23" s="90" t="s">
        <v>206</v>
      </c>
      <c r="H23" s="90" t="s">
        <v>202</v>
      </c>
      <c r="I23" s="90" t="s">
        <v>206</v>
      </c>
      <c r="J23" s="90" t="s">
        <v>30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199</v>
      </c>
      <c r="P23" s="90" t="s">
        <v>199</v>
      </c>
      <c r="Q23" s="90" t="s">
        <v>206</v>
      </c>
      <c r="R23" s="90" t="s">
        <v>206</v>
      </c>
      <c r="S23" s="90" t="s">
        <v>206</v>
      </c>
      <c r="T23" s="90"/>
      <c r="U23" s="90" t="s">
        <v>198</v>
      </c>
      <c r="V23" s="90" t="s">
        <v>202</v>
      </c>
      <c r="W23" s="90" t="s">
        <v>202</v>
      </c>
      <c r="X23" s="90" t="s">
        <v>206</v>
      </c>
      <c r="Y23" s="90" t="s">
        <v>206</v>
      </c>
      <c r="Z23" s="90" t="s">
        <v>196</v>
      </c>
      <c r="AA23" s="90" t="s">
        <v>201</v>
      </c>
      <c r="AB23" s="90" t="s">
        <v>201</v>
      </c>
      <c r="AC23" s="90" t="s">
        <v>201</v>
      </c>
      <c r="AD23" s="90" t="s">
        <v>201</v>
      </c>
      <c r="AE23" s="90" t="s">
        <v>195</v>
      </c>
      <c r="AF23" s="90" t="s">
        <v>195</v>
      </c>
      <c r="AG23" s="90" t="s">
        <v>195</v>
      </c>
      <c r="AH23" s="90" t="s">
        <v>195</v>
      </c>
      <c r="AI23" s="90" t="s">
        <v>198</v>
      </c>
      <c r="AJ23" s="90" t="s">
        <v>199</v>
      </c>
      <c r="AK23" s="90" t="s">
        <v>206</v>
      </c>
      <c r="AL23" s="90" t="s">
        <v>206</v>
      </c>
      <c r="AM23" s="90"/>
      <c r="AN23" s="90" t="s">
        <v>194</v>
      </c>
      <c r="AO23" s="90" t="s">
        <v>195</v>
      </c>
      <c r="AP23" s="90" t="s">
        <v>195</v>
      </c>
      <c r="AQ23" s="90" t="s">
        <v>195</v>
      </c>
      <c r="AR23" s="90" t="s">
        <v>195</v>
      </c>
      <c r="AS23" s="90" t="s">
        <v>195</v>
      </c>
      <c r="AT23" s="90" t="s">
        <v>195</v>
      </c>
      <c r="AU23" s="90" t="s">
        <v>195</v>
      </c>
      <c r="AV23" s="90" t="s">
        <v>195</v>
      </c>
      <c r="AW23" s="90" t="s">
        <v>195</v>
      </c>
      <c r="AX23" s="90" t="s">
        <v>195</v>
      </c>
      <c r="AY23" s="90"/>
      <c r="AZ23" s="90" t="s">
        <v>194</v>
      </c>
      <c r="BA23" s="90" t="s">
        <v>194</v>
      </c>
      <c r="BB23" s="90" t="s">
        <v>195</v>
      </c>
      <c r="BC23" s="90" t="s">
        <v>195</v>
      </c>
      <c r="BD23" s="90" t="s">
        <v>195</v>
      </c>
      <c r="BE23" s="90" t="s">
        <v>195</v>
      </c>
      <c r="BF23" s="90" t="s">
        <v>195</v>
      </c>
      <c r="BG23" s="90" t="s">
        <v>195</v>
      </c>
      <c r="BH23" s="90" t="s">
        <v>195</v>
      </c>
      <c r="BI23" s="90" t="s">
        <v>195</v>
      </c>
      <c r="BJ23" s="90" t="s">
        <v>195</v>
      </c>
      <c r="BK23" s="90" t="s">
        <v>195</v>
      </c>
      <c r="BL23" s="90" t="s">
        <v>195</v>
      </c>
      <c r="BM23" s="90" t="s">
        <v>195</v>
      </c>
      <c r="BN23" s="90" t="s">
        <v>195</v>
      </c>
      <c r="BO23" s="90" t="s">
        <v>195</v>
      </c>
      <c r="BP23" s="90" t="s">
        <v>195</v>
      </c>
      <c r="BQ23" s="90" t="s">
        <v>195</v>
      </c>
      <c r="BR23" s="90" t="s">
        <v>195</v>
      </c>
      <c r="BS23" s="90" t="s">
        <v>195</v>
      </c>
      <c r="BT23" s="90"/>
      <c r="BU23" s="90" t="s">
        <v>203</v>
      </c>
      <c r="BV23" s="90" t="s">
        <v>203</v>
      </c>
      <c r="BW23" s="90" t="s">
        <v>203</v>
      </c>
      <c r="BX23" s="90" t="s">
        <v>203</v>
      </c>
      <c r="BY23" s="90" t="s">
        <v>203</v>
      </c>
      <c r="BZ23" s="90" t="s">
        <v>203</v>
      </c>
      <c r="CA23" s="90" t="s">
        <v>203</v>
      </c>
      <c r="CB23" s="90"/>
      <c r="CC23" s="90" t="s">
        <v>207</v>
      </c>
      <c r="CD23" s="90"/>
      <c r="CE23" s="90" t="s">
        <v>198</v>
      </c>
      <c r="CF23" s="90"/>
      <c r="CG23" s="90"/>
      <c r="CH23" s="90"/>
      <c r="CI23" s="90" t="s">
        <v>194</v>
      </c>
      <c r="CJ23" s="90" t="s">
        <v>195</v>
      </c>
      <c r="CK23" s="90" t="s">
        <v>195</v>
      </c>
      <c r="CL23" s="90" t="s">
        <v>195</v>
      </c>
      <c r="CM23" s="90" t="s">
        <v>195</v>
      </c>
      <c r="CN23" s="90" t="s">
        <v>195</v>
      </c>
      <c r="CO23" s="90" t="s">
        <v>195</v>
      </c>
      <c r="CP23" s="90" t="s">
        <v>195</v>
      </c>
      <c r="CQ23" s="90" t="s">
        <v>195</v>
      </c>
      <c r="CR23" s="90" t="s">
        <v>195</v>
      </c>
      <c r="CS23" s="90" t="s">
        <v>195</v>
      </c>
      <c r="CT23" s="90" t="s">
        <v>195</v>
      </c>
      <c r="CU23" s="90" t="s">
        <v>195</v>
      </c>
      <c r="CV23" s="90" t="s">
        <v>195</v>
      </c>
      <c r="CW23" s="90" t="s">
        <v>195</v>
      </c>
      <c r="CX23" s="90" t="s">
        <v>195</v>
      </c>
      <c r="CY23" s="90" t="s">
        <v>195</v>
      </c>
      <c r="CZ23" s="90" t="s">
        <v>195</v>
      </c>
      <c r="DA23" s="90" t="s">
        <v>195</v>
      </c>
      <c r="DB23" s="90" t="s">
        <v>195</v>
      </c>
      <c r="DC23" s="90" t="s">
        <v>195</v>
      </c>
      <c r="DD23" s="90" t="s">
        <v>195</v>
      </c>
      <c r="DE23" s="90" t="s">
        <v>195</v>
      </c>
      <c r="DF23" s="90" t="s">
        <v>195</v>
      </c>
      <c r="DG23" s="90" t="s">
        <v>195</v>
      </c>
      <c r="DH23" s="90" t="s">
        <v>195</v>
      </c>
      <c r="DI23" s="90" t="s">
        <v>195</v>
      </c>
      <c r="DJ23" s="90" t="s">
        <v>195</v>
      </c>
      <c r="DK23" s="90"/>
      <c r="DL23" s="90" t="s">
        <v>194</v>
      </c>
      <c r="DM23" s="90" t="s">
        <v>195</v>
      </c>
      <c r="DN23" s="90" t="s">
        <v>195</v>
      </c>
      <c r="DO23" s="90" t="s">
        <v>195</v>
      </c>
      <c r="DP23" s="90" t="s">
        <v>195</v>
      </c>
      <c r="DQ23" s="90" t="s">
        <v>195</v>
      </c>
      <c r="DR23" s="90" t="s">
        <v>195</v>
      </c>
      <c r="DS23" s="90" t="s">
        <v>195</v>
      </c>
      <c r="DT23" s="90" t="s">
        <v>195</v>
      </c>
      <c r="DU23" s="90" t="s">
        <v>195</v>
      </c>
      <c r="DV23" s="90" t="s">
        <v>195</v>
      </c>
      <c r="DW23" s="90" t="s">
        <v>195</v>
      </c>
      <c r="DX23" s="90" t="s">
        <v>195</v>
      </c>
      <c r="DY23" s="90" t="s">
        <v>195</v>
      </c>
      <c r="DZ23" s="90" t="s">
        <v>195</v>
      </c>
      <c r="EA23" s="90"/>
      <c r="EB23" s="90" t="s">
        <v>194</v>
      </c>
      <c r="EC23" s="90" t="s">
        <v>195</v>
      </c>
      <c r="ED23" s="90" t="s">
        <v>195</v>
      </c>
      <c r="EE23" s="90" t="s">
        <v>195</v>
      </c>
      <c r="EF23" s="90" t="s">
        <v>195</v>
      </c>
      <c r="EG23" s="90" t="s">
        <v>195</v>
      </c>
      <c r="EH23" s="102" t="s">
        <v>195</v>
      </c>
    </row>
    <row r="24" spans="1:138" ht="23.25" customHeight="1" x14ac:dyDescent="0.25">
      <c r="A24" s="98" t="s">
        <v>16</v>
      </c>
      <c r="B24" s="99" t="s">
        <v>193</v>
      </c>
      <c r="C24" s="99" t="s">
        <v>194</v>
      </c>
      <c r="D24" s="99" t="s">
        <v>195</v>
      </c>
      <c r="E24" s="99" t="s">
        <v>195</v>
      </c>
      <c r="F24" s="99" t="s">
        <v>195</v>
      </c>
      <c r="G24" s="99" t="s">
        <v>195</v>
      </c>
      <c r="H24" s="99" t="s">
        <v>195</v>
      </c>
      <c r="I24" s="99" t="s">
        <v>195</v>
      </c>
      <c r="J24" s="99" t="s">
        <v>195</v>
      </c>
      <c r="K24" s="99" t="s">
        <v>195</v>
      </c>
      <c r="L24" s="99" t="s">
        <v>195</v>
      </c>
      <c r="M24" s="99" t="s">
        <v>195</v>
      </c>
      <c r="N24" s="99" t="s">
        <v>195</v>
      </c>
      <c r="O24" s="99" t="s">
        <v>195</v>
      </c>
      <c r="P24" s="99" t="s">
        <v>195</v>
      </c>
      <c r="Q24" s="99" t="s">
        <v>195</v>
      </c>
      <c r="R24" s="99" t="s">
        <v>195</v>
      </c>
      <c r="S24" s="99" t="s">
        <v>195</v>
      </c>
      <c r="T24" s="99"/>
      <c r="U24" s="99" t="s">
        <v>194</v>
      </c>
      <c r="V24" s="99" t="s">
        <v>195</v>
      </c>
      <c r="W24" s="99" t="s">
        <v>195</v>
      </c>
      <c r="X24" s="99" t="s">
        <v>195</v>
      </c>
      <c r="Y24" s="99" t="s">
        <v>195</v>
      </c>
      <c r="Z24" s="99" t="s">
        <v>196</v>
      </c>
      <c r="AA24" s="99" t="s">
        <v>195</v>
      </c>
      <c r="AB24" s="99" t="s">
        <v>195</v>
      </c>
      <c r="AC24" s="99" t="s">
        <v>195</v>
      </c>
      <c r="AD24" s="99" t="s">
        <v>195</v>
      </c>
      <c r="AE24" s="99" t="s">
        <v>195</v>
      </c>
      <c r="AF24" s="99" t="s">
        <v>195</v>
      </c>
      <c r="AG24" s="99" t="s">
        <v>195</v>
      </c>
      <c r="AH24" s="99" t="s">
        <v>195</v>
      </c>
      <c r="AI24" s="99" t="s">
        <v>194</v>
      </c>
      <c r="AJ24" s="99" t="s">
        <v>195</v>
      </c>
      <c r="AK24" s="99" t="s">
        <v>195</v>
      </c>
      <c r="AL24" s="99" t="s">
        <v>195</v>
      </c>
      <c r="AM24" s="99"/>
      <c r="AN24" s="99" t="s">
        <v>194</v>
      </c>
      <c r="AO24" s="99" t="s">
        <v>195</v>
      </c>
      <c r="AP24" s="99" t="s">
        <v>195</v>
      </c>
      <c r="AQ24" s="99" t="s">
        <v>195</v>
      </c>
      <c r="AR24" s="99" t="s">
        <v>195</v>
      </c>
      <c r="AS24" s="99" t="s">
        <v>195</v>
      </c>
      <c r="AT24" s="99" t="s">
        <v>195</v>
      </c>
      <c r="AU24" s="99" t="s">
        <v>195</v>
      </c>
      <c r="AV24" s="99" t="s">
        <v>195</v>
      </c>
      <c r="AW24" s="99" t="s">
        <v>195</v>
      </c>
      <c r="AX24" s="99" t="s">
        <v>195</v>
      </c>
      <c r="AY24" s="99"/>
      <c r="AZ24" s="99" t="s">
        <v>194</v>
      </c>
      <c r="BA24" s="99" t="s">
        <v>194</v>
      </c>
      <c r="BB24" s="99" t="s">
        <v>195</v>
      </c>
      <c r="BC24" s="99" t="s">
        <v>195</v>
      </c>
      <c r="BD24" s="99" t="s">
        <v>195</v>
      </c>
      <c r="BE24" s="99" t="s">
        <v>195</v>
      </c>
      <c r="BF24" s="99" t="s">
        <v>195</v>
      </c>
      <c r="BG24" s="99" t="s">
        <v>195</v>
      </c>
      <c r="BH24" s="99" t="s">
        <v>195</v>
      </c>
      <c r="BI24" s="99" t="s">
        <v>195</v>
      </c>
      <c r="BJ24" s="99" t="s">
        <v>195</v>
      </c>
      <c r="BK24" s="99" t="s">
        <v>195</v>
      </c>
      <c r="BL24" s="99" t="s">
        <v>195</v>
      </c>
      <c r="BM24" s="99" t="s">
        <v>195</v>
      </c>
      <c r="BN24" s="99" t="s">
        <v>195</v>
      </c>
      <c r="BO24" s="99" t="s">
        <v>195</v>
      </c>
      <c r="BP24" s="99" t="s">
        <v>195</v>
      </c>
      <c r="BQ24" s="99" t="s">
        <v>195</v>
      </c>
      <c r="BR24" s="99" t="s">
        <v>195</v>
      </c>
      <c r="BS24" s="99" t="s">
        <v>195</v>
      </c>
      <c r="BT24" s="99"/>
      <c r="BU24" s="99" t="s">
        <v>199</v>
      </c>
      <c r="BV24" s="99" t="s">
        <v>199</v>
      </c>
      <c r="BW24" s="99" t="s">
        <v>199</v>
      </c>
      <c r="BX24" s="99" t="s">
        <v>199</v>
      </c>
      <c r="BY24" s="99" t="s">
        <v>199</v>
      </c>
      <c r="BZ24" s="99" t="s">
        <v>199</v>
      </c>
      <c r="CA24" s="99" t="s">
        <v>199</v>
      </c>
      <c r="CB24" s="99"/>
      <c r="CC24" s="99" t="s">
        <v>197</v>
      </c>
      <c r="CD24" s="99"/>
      <c r="CE24" s="99" t="s">
        <v>198</v>
      </c>
      <c r="CF24" s="99"/>
      <c r="CG24" s="99"/>
      <c r="CH24" s="99"/>
      <c r="CI24" s="99" t="s">
        <v>194</v>
      </c>
      <c r="CJ24" s="99" t="s">
        <v>195</v>
      </c>
      <c r="CK24" s="99" t="s">
        <v>195</v>
      </c>
      <c r="CL24" s="99" t="s">
        <v>195</v>
      </c>
      <c r="CM24" s="99" t="s">
        <v>195</v>
      </c>
      <c r="CN24" s="99" t="s">
        <v>195</v>
      </c>
      <c r="CO24" s="99" t="s">
        <v>195</v>
      </c>
      <c r="CP24" s="99" t="s">
        <v>195</v>
      </c>
      <c r="CQ24" s="99" t="s">
        <v>195</v>
      </c>
      <c r="CR24" s="99" t="s">
        <v>195</v>
      </c>
      <c r="CS24" s="99" t="s">
        <v>195</v>
      </c>
      <c r="CT24" s="99" t="s">
        <v>195</v>
      </c>
      <c r="CU24" s="99" t="s">
        <v>195</v>
      </c>
      <c r="CV24" s="99" t="s">
        <v>195</v>
      </c>
      <c r="CW24" s="99" t="s">
        <v>195</v>
      </c>
      <c r="CX24" s="99" t="s">
        <v>195</v>
      </c>
      <c r="CY24" s="99" t="s">
        <v>195</v>
      </c>
      <c r="CZ24" s="99" t="s">
        <v>195</v>
      </c>
      <c r="DA24" s="99" t="s">
        <v>195</v>
      </c>
      <c r="DB24" s="99" t="s">
        <v>195</v>
      </c>
      <c r="DC24" s="99" t="s">
        <v>195</v>
      </c>
      <c r="DD24" s="99" t="s">
        <v>195</v>
      </c>
      <c r="DE24" s="99" t="s">
        <v>195</v>
      </c>
      <c r="DF24" s="99" t="s">
        <v>195</v>
      </c>
      <c r="DG24" s="99" t="s">
        <v>195</v>
      </c>
      <c r="DH24" s="99" t="s">
        <v>195</v>
      </c>
      <c r="DI24" s="99" t="s">
        <v>195</v>
      </c>
      <c r="DJ24" s="99" t="s">
        <v>195</v>
      </c>
      <c r="DK24" s="99"/>
      <c r="DL24" s="99" t="s">
        <v>194</v>
      </c>
      <c r="DM24" s="99" t="s">
        <v>195</v>
      </c>
      <c r="DN24" s="99" t="s">
        <v>195</v>
      </c>
      <c r="DO24" s="99" t="s">
        <v>195</v>
      </c>
      <c r="DP24" s="99" t="s">
        <v>195</v>
      </c>
      <c r="DQ24" s="99" t="s">
        <v>195</v>
      </c>
      <c r="DR24" s="99" t="s">
        <v>195</v>
      </c>
      <c r="DS24" s="99" t="s">
        <v>195</v>
      </c>
      <c r="DT24" s="99" t="s">
        <v>195</v>
      </c>
      <c r="DU24" s="99" t="s">
        <v>195</v>
      </c>
      <c r="DV24" s="99" t="s">
        <v>195</v>
      </c>
      <c r="DW24" s="99" t="s">
        <v>195</v>
      </c>
      <c r="DX24" s="99" t="s">
        <v>195</v>
      </c>
      <c r="DY24" s="99" t="s">
        <v>195</v>
      </c>
      <c r="DZ24" s="99" t="s">
        <v>195</v>
      </c>
      <c r="EA24" s="99"/>
      <c r="EB24" s="99" t="s">
        <v>194</v>
      </c>
      <c r="EC24" s="99" t="s">
        <v>195</v>
      </c>
      <c r="ED24" s="99" t="s">
        <v>195</v>
      </c>
      <c r="EE24" s="99" t="s">
        <v>195</v>
      </c>
      <c r="EF24" s="99" t="s">
        <v>195</v>
      </c>
      <c r="EG24" s="99" t="s">
        <v>195</v>
      </c>
      <c r="EH24" s="100" t="s">
        <v>195</v>
      </c>
    </row>
    <row r="25" spans="1:138" ht="23.25" customHeight="1" x14ac:dyDescent="0.25">
      <c r="A25" s="101" t="s">
        <v>17</v>
      </c>
      <c r="B25" s="90" t="s">
        <v>193</v>
      </c>
      <c r="C25" s="90" t="s">
        <v>198</v>
      </c>
      <c r="D25" s="90" t="s">
        <v>199</v>
      </c>
      <c r="E25" s="90" t="s">
        <v>199</v>
      </c>
      <c r="F25" s="90" t="s">
        <v>30</v>
      </c>
      <c r="G25" s="90" t="s">
        <v>201</v>
      </c>
      <c r="H25" s="90" t="s">
        <v>200</v>
      </c>
      <c r="I25" s="90" t="s">
        <v>199</v>
      </c>
      <c r="J25" s="90" t="s">
        <v>201</v>
      </c>
      <c r="K25" s="90" t="s">
        <v>201</v>
      </c>
      <c r="L25" s="90" t="s">
        <v>201</v>
      </c>
      <c r="M25" s="90" t="s">
        <v>201</v>
      </c>
      <c r="N25" s="90" t="s">
        <v>202</v>
      </c>
      <c r="O25" s="90" t="s">
        <v>199</v>
      </c>
      <c r="P25" s="90" t="s">
        <v>199</v>
      </c>
      <c r="Q25" s="90" t="s">
        <v>199</v>
      </c>
      <c r="R25" s="90" t="s">
        <v>201</v>
      </c>
      <c r="S25" s="90" t="s">
        <v>201</v>
      </c>
      <c r="T25" s="90"/>
      <c r="U25" s="90" t="s">
        <v>198</v>
      </c>
      <c r="V25" s="90" t="s">
        <v>199</v>
      </c>
      <c r="W25" s="90" t="s">
        <v>30</v>
      </c>
      <c r="X25" s="90" t="s">
        <v>202</v>
      </c>
      <c r="Y25" s="90" t="s">
        <v>201</v>
      </c>
      <c r="Z25" s="90" t="s">
        <v>196</v>
      </c>
      <c r="AA25" s="90" t="s">
        <v>199</v>
      </c>
      <c r="AB25" s="90" t="s">
        <v>199</v>
      </c>
      <c r="AC25" s="90" t="s">
        <v>201</v>
      </c>
      <c r="AD25" s="90" t="s">
        <v>30</v>
      </c>
      <c r="AE25" s="90" t="s">
        <v>195</v>
      </c>
      <c r="AF25" s="90" t="s">
        <v>195</v>
      </c>
      <c r="AG25" s="90" t="s">
        <v>195</v>
      </c>
      <c r="AH25" s="90" t="s">
        <v>195</v>
      </c>
      <c r="AI25" s="90" t="s">
        <v>198</v>
      </c>
      <c r="AJ25" s="90" t="s">
        <v>199</v>
      </c>
      <c r="AK25" s="90" t="s">
        <v>30</v>
      </c>
      <c r="AL25" s="90" t="s">
        <v>30</v>
      </c>
      <c r="AM25" s="90"/>
      <c r="AN25" s="90" t="s">
        <v>194</v>
      </c>
      <c r="AO25" s="90" t="s">
        <v>195</v>
      </c>
      <c r="AP25" s="90" t="s">
        <v>195</v>
      </c>
      <c r="AQ25" s="90" t="s">
        <v>195</v>
      </c>
      <c r="AR25" s="90" t="s">
        <v>195</v>
      </c>
      <c r="AS25" s="90" t="s">
        <v>195</v>
      </c>
      <c r="AT25" s="90" t="s">
        <v>195</v>
      </c>
      <c r="AU25" s="90" t="s">
        <v>195</v>
      </c>
      <c r="AV25" s="90" t="s">
        <v>195</v>
      </c>
      <c r="AW25" s="90" t="s">
        <v>195</v>
      </c>
      <c r="AX25" s="90" t="s">
        <v>195</v>
      </c>
      <c r="AY25" s="90"/>
      <c r="AZ25" s="90" t="s">
        <v>194</v>
      </c>
      <c r="BA25" s="90" t="s">
        <v>194</v>
      </c>
      <c r="BB25" s="90" t="s">
        <v>195</v>
      </c>
      <c r="BC25" s="90" t="s">
        <v>195</v>
      </c>
      <c r="BD25" s="90" t="s">
        <v>195</v>
      </c>
      <c r="BE25" s="90" t="s">
        <v>195</v>
      </c>
      <c r="BF25" s="90" t="s">
        <v>195</v>
      </c>
      <c r="BG25" s="90" t="s">
        <v>195</v>
      </c>
      <c r="BH25" s="90" t="s">
        <v>195</v>
      </c>
      <c r="BI25" s="90" t="s">
        <v>195</v>
      </c>
      <c r="BJ25" s="90" t="s">
        <v>195</v>
      </c>
      <c r="BK25" s="90" t="s">
        <v>195</v>
      </c>
      <c r="BL25" s="90" t="s">
        <v>195</v>
      </c>
      <c r="BM25" s="90" t="s">
        <v>195</v>
      </c>
      <c r="BN25" s="90" t="s">
        <v>195</v>
      </c>
      <c r="BO25" s="90" t="s">
        <v>195</v>
      </c>
      <c r="BP25" s="90" t="s">
        <v>195</v>
      </c>
      <c r="BQ25" s="90" t="s">
        <v>195</v>
      </c>
      <c r="BR25" s="90" t="s">
        <v>195</v>
      </c>
      <c r="BS25" s="90" t="s">
        <v>195</v>
      </c>
      <c r="BT25" s="90"/>
      <c r="BU25" s="90" t="s">
        <v>195</v>
      </c>
      <c r="BV25" s="90" t="s">
        <v>195</v>
      </c>
      <c r="BW25" s="90" t="s">
        <v>195</v>
      </c>
      <c r="BX25" s="90" t="s">
        <v>195</v>
      </c>
      <c r="BY25" s="90" t="s">
        <v>195</v>
      </c>
      <c r="BZ25" s="90" t="s">
        <v>195</v>
      </c>
      <c r="CA25" s="90" t="s">
        <v>200</v>
      </c>
      <c r="CB25" s="90"/>
      <c r="CC25" s="90" t="s">
        <v>205</v>
      </c>
      <c r="CD25" s="90"/>
      <c r="CE25" s="90" t="s">
        <v>198</v>
      </c>
      <c r="CF25" s="90"/>
      <c r="CG25" s="90"/>
      <c r="CH25" s="90"/>
      <c r="CI25" s="90" t="s">
        <v>198</v>
      </c>
      <c r="CJ25" s="90" t="s">
        <v>199</v>
      </c>
      <c r="CK25" s="90" t="s">
        <v>200</v>
      </c>
      <c r="CL25" s="90" t="s">
        <v>199</v>
      </c>
      <c r="CM25" s="90" t="s">
        <v>202</v>
      </c>
      <c r="CN25" s="90" t="s">
        <v>30</v>
      </c>
      <c r="CO25" s="90" t="s">
        <v>199</v>
      </c>
      <c r="CP25" s="90" t="s">
        <v>199</v>
      </c>
      <c r="CQ25" s="90" t="s">
        <v>200</v>
      </c>
      <c r="CR25" s="90" t="s">
        <v>199</v>
      </c>
      <c r="CS25" s="90" t="s">
        <v>30</v>
      </c>
      <c r="CT25" s="90" t="s">
        <v>200</v>
      </c>
      <c r="CU25" s="90" t="s">
        <v>199</v>
      </c>
      <c r="CV25" s="90" t="s">
        <v>199</v>
      </c>
      <c r="CW25" s="90" t="s">
        <v>200</v>
      </c>
      <c r="CX25" s="90" t="s">
        <v>30</v>
      </c>
      <c r="CY25" s="90" t="s">
        <v>30</v>
      </c>
      <c r="CZ25" s="90" t="s">
        <v>200</v>
      </c>
      <c r="DA25" s="90" t="s">
        <v>199</v>
      </c>
      <c r="DB25" s="90" t="s">
        <v>30</v>
      </c>
      <c r="DC25" s="90" t="s">
        <v>30</v>
      </c>
      <c r="DD25" s="90" t="s">
        <v>30</v>
      </c>
      <c r="DE25" s="90" t="s">
        <v>202</v>
      </c>
      <c r="DF25" s="90" t="s">
        <v>30</v>
      </c>
      <c r="DG25" s="90" t="s">
        <v>200</v>
      </c>
      <c r="DH25" s="90" t="s">
        <v>202</v>
      </c>
      <c r="DI25" s="90" t="s">
        <v>201</v>
      </c>
      <c r="DJ25" s="90" t="s">
        <v>201</v>
      </c>
      <c r="DK25" s="90"/>
      <c r="DL25" s="90" t="s">
        <v>194</v>
      </c>
      <c r="DM25" s="90" t="s">
        <v>195</v>
      </c>
      <c r="DN25" s="90" t="s">
        <v>195</v>
      </c>
      <c r="DO25" s="90" t="s">
        <v>195</v>
      </c>
      <c r="DP25" s="90" t="s">
        <v>195</v>
      </c>
      <c r="DQ25" s="90" t="s">
        <v>195</v>
      </c>
      <c r="DR25" s="90" t="s">
        <v>195</v>
      </c>
      <c r="DS25" s="90" t="s">
        <v>195</v>
      </c>
      <c r="DT25" s="90" t="s">
        <v>195</v>
      </c>
      <c r="DU25" s="90" t="s">
        <v>195</v>
      </c>
      <c r="DV25" s="90" t="s">
        <v>195</v>
      </c>
      <c r="DW25" s="90" t="s">
        <v>195</v>
      </c>
      <c r="DX25" s="90" t="s">
        <v>195</v>
      </c>
      <c r="DY25" s="90" t="s">
        <v>195</v>
      </c>
      <c r="DZ25" s="90" t="s">
        <v>195</v>
      </c>
      <c r="EA25" s="90"/>
      <c r="EB25" s="90" t="s">
        <v>198</v>
      </c>
      <c r="EC25" s="90" t="s">
        <v>30</v>
      </c>
      <c r="ED25" s="90" t="s">
        <v>201</v>
      </c>
      <c r="EE25" s="90" t="s">
        <v>201</v>
      </c>
      <c r="EF25" s="90" t="s">
        <v>206</v>
      </c>
      <c r="EG25" s="90" t="s">
        <v>30</v>
      </c>
      <c r="EH25" s="102" t="s">
        <v>202</v>
      </c>
    </row>
    <row r="26" spans="1:138" ht="23.25" customHeight="1" x14ac:dyDescent="0.25">
      <c r="A26" s="98" t="s">
        <v>16</v>
      </c>
      <c r="B26" s="99" t="s">
        <v>193</v>
      </c>
      <c r="C26" s="99" t="s">
        <v>194</v>
      </c>
      <c r="D26" s="99" t="s">
        <v>195</v>
      </c>
      <c r="E26" s="99" t="s">
        <v>195</v>
      </c>
      <c r="F26" s="99" t="s">
        <v>195</v>
      </c>
      <c r="G26" s="99" t="s">
        <v>195</v>
      </c>
      <c r="H26" s="99" t="s">
        <v>195</v>
      </c>
      <c r="I26" s="99" t="s">
        <v>195</v>
      </c>
      <c r="J26" s="99" t="s">
        <v>195</v>
      </c>
      <c r="K26" s="99" t="s">
        <v>195</v>
      </c>
      <c r="L26" s="99" t="s">
        <v>195</v>
      </c>
      <c r="M26" s="99" t="s">
        <v>195</v>
      </c>
      <c r="N26" s="99" t="s">
        <v>195</v>
      </c>
      <c r="O26" s="99" t="s">
        <v>195</v>
      </c>
      <c r="P26" s="99" t="s">
        <v>195</v>
      </c>
      <c r="Q26" s="99" t="s">
        <v>195</v>
      </c>
      <c r="R26" s="99" t="s">
        <v>195</v>
      </c>
      <c r="S26" s="99" t="s">
        <v>195</v>
      </c>
      <c r="T26" s="99"/>
      <c r="U26" s="99" t="s">
        <v>194</v>
      </c>
      <c r="V26" s="99" t="s">
        <v>195</v>
      </c>
      <c r="W26" s="99" t="s">
        <v>195</v>
      </c>
      <c r="X26" s="99" t="s">
        <v>195</v>
      </c>
      <c r="Y26" s="99" t="s">
        <v>195</v>
      </c>
      <c r="Z26" s="99" t="s">
        <v>196</v>
      </c>
      <c r="AA26" s="99" t="s">
        <v>195</v>
      </c>
      <c r="AB26" s="99" t="s">
        <v>195</v>
      </c>
      <c r="AC26" s="99" t="s">
        <v>195</v>
      </c>
      <c r="AD26" s="99" t="s">
        <v>195</v>
      </c>
      <c r="AE26" s="99" t="s">
        <v>195</v>
      </c>
      <c r="AF26" s="99" t="s">
        <v>195</v>
      </c>
      <c r="AG26" s="99" t="s">
        <v>195</v>
      </c>
      <c r="AH26" s="99" t="s">
        <v>195</v>
      </c>
      <c r="AI26" s="99" t="s">
        <v>194</v>
      </c>
      <c r="AJ26" s="99" t="s">
        <v>195</v>
      </c>
      <c r="AK26" s="99" t="s">
        <v>195</v>
      </c>
      <c r="AL26" s="99" t="s">
        <v>195</v>
      </c>
      <c r="AM26" s="99"/>
      <c r="AN26" s="99" t="s">
        <v>194</v>
      </c>
      <c r="AO26" s="99" t="s">
        <v>195</v>
      </c>
      <c r="AP26" s="99" t="s">
        <v>195</v>
      </c>
      <c r="AQ26" s="99" t="s">
        <v>195</v>
      </c>
      <c r="AR26" s="99" t="s">
        <v>195</v>
      </c>
      <c r="AS26" s="99" t="s">
        <v>195</v>
      </c>
      <c r="AT26" s="99" t="s">
        <v>195</v>
      </c>
      <c r="AU26" s="99" t="s">
        <v>195</v>
      </c>
      <c r="AV26" s="99" t="s">
        <v>195</v>
      </c>
      <c r="AW26" s="99" t="s">
        <v>195</v>
      </c>
      <c r="AX26" s="99" t="s">
        <v>195</v>
      </c>
      <c r="AY26" s="99"/>
      <c r="AZ26" s="99" t="s">
        <v>194</v>
      </c>
      <c r="BA26" s="99" t="s">
        <v>194</v>
      </c>
      <c r="BB26" s="99" t="s">
        <v>195</v>
      </c>
      <c r="BC26" s="99" t="s">
        <v>195</v>
      </c>
      <c r="BD26" s="99" t="s">
        <v>195</v>
      </c>
      <c r="BE26" s="99" t="s">
        <v>195</v>
      </c>
      <c r="BF26" s="99" t="s">
        <v>195</v>
      </c>
      <c r="BG26" s="99" t="s">
        <v>195</v>
      </c>
      <c r="BH26" s="99" t="s">
        <v>195</v>
      </c>
      <c r="BI26" s="99" t="s">
        <v>195</v>
      </c>
      <c r="BJ26" s="99" t="s">
        <v>195</v>
      </c>
      <c r="BK26" s="99" t="s">
        <v>195</v>
      </c>
      <c r="BL26" s="99" t="s">
        <v>195</v>
      </c>
      <c r="BM26" s="99" t="s">
        <v>195</v>
      </c>
      <c r="BN26" s="99" t="s">
        <v>195</v>
      </c>
      <c r="BO26" s="99" t="s">
        <v>195</v>
      </c>
      <c r="BP26" s="99" t="s">
        <v>195</v>
      </c>
      <c r="BQ26" s="99" t="s">
        <v>195</v>
      </c>
      <c r="BR26" s="99" t="s">
        <v>195</v>
      </c>
      <c r="BS26" s="99" t="s">
        <v>195</v>
      </c>
      <c r="BT26" s="99"/>
      <c r="BU26" s="99" t="s">
        <v>200</v>
      </c>
      <c r="BV26" s="99" t="s">
        <v>200</v>
      </c>
      <c r="BW26" s="99" t="s">
        <v>200</v>
      </c>
      <c r="BX26" s="99" t="s">
        <v>200</v>
      </c>
      <c r="BY26" s="99" t="s">
        <v>200</v>
      </c>
      <c r="BZ26" s="99" t="s">
        <v>200</v>
      </c>
      <c r="CA26" s="99" t="s">
        <v>200</v>
      </c>
      <c r="CB26" s="99"/>
      <c r="CC26" s="99" t="s">
        <v>205</v>
      </c>
      <c r="CD26" s="99"/>
      <c r="CE26" s="99" t="s">
        <v>198</v>
      </c>
      <c r="CF26" s="99"/>
      <c r="CG26" s="99"/>
      <c r="CH26" s="99"/>
      <c r="CI26" s="99" t="s">
        <v>194</v>
      </c>
      <c r="CJ26" s="99" t="s">
        <v>195</v>
      </c>
      <c r="CK26" s="99" t="s">
        <v>195</v>
      </c>
      <c r="CL26" s="99" t="s">
        <v>195</v>
      </c>
      <c r="CM26" s="99" t="s">
        <v>195</v>
      </c>
      <c r="CN26" s="99" t="s">
        <v>195</v>
      </c>
      <c r="CO26" s="99" t="s">
        <v>195</v>
      </c>
      <c r="CP26" s="99" t="s">
        <v>195</v>
      </c>
      <c r="CQ26" s="99" t="s">
        <v>195</v>
      </c>
      <c r="CR26" s="99" t="s">
        <v>195</v>
      </c>
      <c r="CS26" s="99" t="s">
        <v>195</v>
      </c>
      <c r="CT26" s="99" t="s">
        <v>195</v>
      </c>
      <c r="CU26" s="99" t="s">
        <v>195</v>
      </c>
      <c r="CV26" s="99" t="s">
        <v>195</v>
      </c>
      <c r="CW26" s="99" t="s">
        <v>195</v>
      </c>
      <c r="CX26" s="99" t="s">
        <v>195</v>
      </c>
      <c r="CY26" s="99" t="s">
        <v>195</v>
      </c>
      <c r="CZ26" s="99" t="s">
        <v>195</v>
      </c>
      <c r="DA26" s="99" t="s">
        <v>195</v>
      </c>
      <c r="DB26" s="99" t="s">
        <v>195</v>
      </c>
      <c r="DC26" s="99" t="s">
        <v>195</v>
      </c>
      <c r="DD26" s="99" t="s">
        <v>195</v>
      </c>
      <c r="DE26" s="99" t="s">
        <v>195</v>
      </c>
      <c r="DF26" s="99" t="s">
        <v>195</v>
      </c>
      <c r="DG26" s="99" t="s">
        <v>195</v>
      </c>
      <c r="DH26" s="99" t="s">
        <v>195</v>
      </c>
      <c r="DI26" s="99" t="s">
        <v>195</v>
      </c>
      <c r="DJ26" s="99" t="s">
        <v>195</v>
      </c>
      <c r="DK26" s="99"/>
      <c r="DL26" s="99" t="s">
        <v>194</v>
      </c>
      <c r="DM26" s="99" t="s">
        <v>195</v>
      </c>
      <c r="DN26" s="99" t="s">
        <v>195</v>
      </c>
      <c r="DO26" s="99" t="s">
        <v>195</v>
      </c>
      <c r="DP26" s="99" t="s">
        <v>195</v>
      </c>
      <c r="DQ26" s="99" t="s">
        <v>195</v>
      </c>
      <c r="DR26" s="99" t="s">
        <v>195</v>
      </c>
      <c r="DS26" s="99" t="s">
        <v>195</v>
      </c>
      <c r="DT26" s="99" t="s">
        <v>195</v>
      </c>
      <c r="DU26" s="99" t="s">
        <v>195</v>
      </c>
      <c r="DV26" s="99" t="s">
        <v>195</v>
      </c>
      <c r="DW26" s="99" t="s">
        <v>195</v>
      </c>
      <c r="DX26" s="99" t="s">
        <v>195</v>
      </c>
      <c r="DY26" s="99" t="s">
        <v>195</v>
      </c>
      <c r="DZ26" s="99" t="s">
        <v>195</v>
      </c>
      <c r="EA26" s="99"/>
      <c r="EB26" s="99" t="s">
        <v>194</v>
      </c>
      <c r="EC26" s="99" t="s">
        <v>195</v>
      </c>
      <c r="ED26" s="99" t="s">
        <v>195</v>
      </c>
      <c r="EE26" s="99" t="s">
        <v>195</v>
      </c>
      <c r="EF26" s="99" t="s">
        <v>195</v>
      </c>
      <c r="EG26" s="99" t="s">
        <v>195</v>
      </c>
      <c r="EH26" s="100" t="s">
        <v>195</v>
      </c>
    </row>
    <row r="27" spans="1:138" ht="23.25" customHeight="1" x14ac:dyDescent="0.25">
      <c r="A27" s="101" t="s">
        <v>16</v>
      </c>
      <c r="B27" s="90" t="s">
        <v>193</v>
      </c>
      <c r="C27" s="90" t="s">
        <v>194</v>
      </c>
      <c r="D27" s="90" t="s">
        <v>195</v>
      </c>
      <c r="E27" s="90" t="s">
        <v>195</v>
      </c>
      <c r="F27" s="90" t="s">
        <v>195</v>
      </c>
      <c r="G27" s="90" t="s">
        <v>195</v>
      </c>
      <c r="H27" s="90" t="s">
        <v>195</v>
      </c>
      <c r="I27" s="90" t="s">
        <v>195</v>
      </c>
      <c r="J27" s="90" t="s">
        <v>195</v>
      </c>
      <c r="K27" s="90" t="s">
        <v>195</v>
      </c>
      <c r="L27" s="90" t="s">
        <v>195</v>
      </c>
      <c r="M27" s="90" t="s">
        <v>195</v>
      </c>
      <c r="N27" s="90" t="s">
        <v>195</v>
      </c>
      <c r="O27" s="90" t="s">
        <v>195</v>
      </c>
      <c r="P27" s="90" t="s">
        <v>195</v>
      </c>
      <c r="Q27" s="90" t="s">
        <v>195</v>
      </c>
      <c r="R27" s="90" t="s">
        <v>195</v>
      </c>
      <c r="S27" s="90" t="s">
        <v>195</v>
      </c>
      <c r="T27" s="90"/>
      <c r="U27" s="90" t="s">
        <v>194</v>
      </c>
      <c r="V27" s="90" t="s">
        <v>195</v>
      </c>
      <c r="W27" s="90" t="s">
        <v>195</v>
      </c>
      <c r="X27" s="90" t="s">
        <v>195</v>
      </c>
      <c r="Y27" s="90" t="s">
        <v>195</v>
      </c>
      <c r="Z27" s="90" t="s">
        <v>196</v>
      </c>
      <c r="AA27" s="90" t="s">
        <v>195</v>
      </c>
      <c r="AB27" s="90" t="s">
        <v>195</v>
      </c>
      <c r="AC27" s="90" t="s">
        <v>195</v>
      </c>
      <c r="AD27" s="90" t="s">
        <v>195</v>
      </c>
      <c r="AE27" s="90" t="s">
        <v>195</v>
      </c>
      <c r="AF27" s="90" t="s">
        <v>195</v>
      </c>
      <c r="AG27" s="90" t="s">
        <v>195</v>
      </c>
      <c r="AH27" s="90" t="s">
        <v>195</v>
      </c>
      <c r="AI27" s="90" t="s">
        <v>194</v>
      </c>
      <c r="AJ27" s="90" t="s">
        <v>195</v>
      </c>
      <c r="AK27" s="90" t="s">
        <v>195</v>
      </c>
      <c r="AL27" s="90" t="s">
        <v>195</v>
      </c>
      <c r="AM27" s="90"/>
      <c r="AN27" s="90" t="s">
        <v>194</v>
      </c>
      <c r="AO27" s="90" t="s">
        <v>195</v>
      </c>
      <c r="AP27" s="90" t="s">
        <v>195</v>
      </c>
      <c r="AQ27" s="90" t="s">
        <v>195</v>
      </c>
      <c r="AR27" s="90" t="s">
        <v>195</v>
      </c>
      <c r="AS27" s="90" t="s">
        <v>195</v>
      </c>
      <c r="AT27" s="90" t="s">
        <v>195</v>
      </c>
      <c r="AU27" s="90" t="s">
        <v>195</v>
      </c>
      <c r="AV27" s="90" t="s">
        <v>195</v>
      </c>
      <c r="AW27" s="90" t="s">
        <v>195</v>
      </c>
      <c r="AX27" s="90" t="s">
        <v>195</v>
      </c>
      <c r="AY27" s="90"/>
      <c r="AZ27" s="90" t="s">
        <v>194</v>
      </c>
      <c r="BA27" s="90" t="s">
        <v>194</v>
      </c>
      <c r="BB27" s="90" t="s">
        <v>195</v>
      </c>
      <c r="BC27" s="90" t="s">
        <v>195</v>
      </c>
      <c r="BD27" s="90" t="s">
        <v>195</v>
      </c>
      <c r="BE27" s="90" t="s">
        <v>195</v>
      </c>
      <c r="BF27" s="90" t="s">
        <v>195</v>
      </c>
      <c r="BG27" s="90" t="s">
        <v>195</v>
      </c>
      <c r="BH27" s="90" t="s">
        <v>195</v>
      </c>
      <c r="BI27" s="90" t="s">
        <v>195</v>
      </c>
      <c r="BJ27" s="90" t="s">
        <v>195</v>
      </c>
      <c r="BK27" s="90" t="s">
        <v>195</v>
      </c>
      <c r="BL27" s="90" t="s">
        <v>195</v>
      </c>
      <c r="BM27" s="90" t="s">
        <v>195</v>
      </c>
      <c r="BN27" s="90" t="s">
        <v>195</v>
      </c>
      <c r="BO27" s="90" t="s">
        <v>195</v>
      </c>
      <c r="BP27" s="90" t="s">
        <v>195</v>
      </c>
      <c r="BQ27" s="90" t="s">
        <v>195</v>
      </c>
      <c r="BR27" s="90" t="s">
        <v>195</v>
      </c>
      <c r="BS27" s="90" t="s">
        <v>195</v>
      </c>
      <c r="BT27" s="90"/>
      <c r="BU27" s="90" t="s">
        <v>199</v>
      </c>
      <c r="BV27" s="90" t="s">
        <v>199</v>
      </c>
      <c r="BW27" s="90" t="s">
        <v>199</v>
      </c>
      <c r="BX27" s="90" t="s">
        <v>199</v>
      </c>
      <c r="BY27" s="90" t="s">
        <v>199</v>
      </c>
      <c r="BZ27" s="90" t="s">
        <v>199</v>
      </c>
      <c r="CA27" s="90" t="s">
        <v>199</v>
      </c>
      <c r="CB27" s="90"/>
      <c r="CC27" s="90" t="s">
        <v>205</v>
      </c>
      <c r="CD27" s="90"/>
      <c r="CE27" s="90" t="s">
        <v>198</v>
      </c>
      <c r="CF27" s="90"/>
      <c r="CG27" s="90"/>
      <c r="CH27" s="90"/>
      <c r="CI27" s="90" t="s">
        <v>194</v>
      </c>
      <c r="CJ27" s="90" t="s">
        <v>195</v>
      </c>
      <c r="CK27" s="90" t="s">
        <v>195</v>
      </c>
      <c r="CL27" s="90" t="s">
        <v>195</v>
      </c>
      <c r="CM27" s="90" t="s">
        <v>195</v>
      </c>
      <c r="CN27" s="90" t="s">
        <v>195</v>
      </c>
      <c r="CO27" s="90" t="s">
        <v>195</v>
      </c>
      <c r="CP27" s="90" t="s">
        <v>195</v>
      </c>
      <c r="CQ27" s="90" t="s">
        <v>195</v>
      </c>
      <c r="CR27" s="90" t="s">
        <v>195</v>
      </c>
      <c r="CS27" s="90" t="s">
        <v>195</v>
      </c>
      <c r="CT27" s="90" t="s">
        <v>195</v>
      </c>
      <c r="CU27" s="90" t="s">
        <v>195</v>
      </c>
      <c r="CV27" s="90" t="s">
        <v>195</v>
      </c>
      <c r="CW27" s="90" t="s">
        <v>195</v>
      </c>
      <c r="CX27" s="90" t="s">
        <v>195</v>
      </c>
      <c r="CY27" s="90" t="s">
        <v>195</v>
      </c>
      <c r="CZ27" s="90" t="s">
        <v>195</v>
      </c>
      <c r="DA27" s="90" t="s">
        <v>195</v>
      </c>
      <c r="DB27" s="90" t="s">
        <v>195</v>
      </c>
      <c r="DC27" s="90" t="s">
        <v>195</v>
      </c>
      <c r="DD27" s="90" t="s">
        <v>195</v>
      </c>
      <c r="DE27" s="90" t="s">
        <v>195</v>
      </c>
      <c r="DF27" s="90" t="s">
        <v>195</v>
      </c>
      <c r="DG27" s="90" t="s">
        <v>195</v>
      </c>
      <c r="DH27" s="90" t="s">
        <v>195</v>
      </c>
      <c r="DI27" s="90" t="s">
        <v>195</v>
      </c>
      <c r="DJ27" s="90" t="s">
        <v>195</v>
      </c>
      <c r="DK27" s="90"/>
      <c r="DL27" s="90" t="s">
        <v>194</v>
      </c>
      <c r="DM27" s="90" t="s">
        <v>195</v>
      </c>
      <c r="DN27" s="90" t="s">
        <v>195</v>
      </c>
      <c r="DO27" s="90" t="s">
        <v>195</v>
      </c>
      <c r="DP27" s="90" t="s">
        <v>195</v>
      </c>
      <c r="DQ27" s="90" t="s">
        <v>195</v>
      </c>
      <c r="DR27" s="90" t="s">
        <v>195</v>
      </c>
      <c r="DS27" s="90" t="s">
        <v>195</v>
      </c>
      <c r="DT27" s="90" t="s">
        <v>195</v>
      </c>
      <c r="DU27" s="90" t="s">
        <v>195</v>
      </c>
      <c r="DV27" s="90" t="s">
        <v>195</v>
      </c>
      <c r="DW27" s="90" t="s">
        <v>195</v>
      </c>
      <c r="DX27" s="90" t="s">
        <v>195</v>
      </c>
      <c r="DY27" s="90" t="s">
        <v>195</v>
      </c>
      <c r="DZ27" s="90" t="s">
        <v>195</v>
      </c>
      <c r="EA27" s="90"/>
      <c r="EB27" s="90" t="s">
        <v>194</v>
      </c>
      <c r="EC27" s="90" t="s">
        <v>195</v>
      </c>
      <c r="ED27" s="90" t="s">
        <v>195</v>
      </c>
      <c r="EE27" s="90" t="s">
        <v>195</v>
      </c>
      <c r="EF27" s="90" t="s">
        <v>195</v>
      </c>
      <c r="EG27" s="90" t="s">
        <v>195</v>
      </c>
      <c r="EH27" s="102" t="s">
        <v>195</v>
      </c>
    </row>
    <row r="28" spans="1:138" ht="23.25" customHeight="1" x14ac:dyDescent="0.25">
      <c r="A28" s="98" t="s">
        <v>16</v>
      </c>
      <c r="B28" s="99" t="s">
        <v>193</v>
      </c>
      <c r="C28" s="99" t="s">
        <v>194</v>
      </c>
      <c r="D28" s="99" t="s">
        <v>195</v>
      </c>
      <c r="E28" s="99" t="s">
        <v>195</v>
      </c>
      <c r="F28" s="99" t="s">
        <v>195</v>
      </c>
      <c r="G28" s="99" t="s">
        <v>195</v>
      </c>
      <c r="H28" s="99" t="s">
        <v>195</v>
      </c>
      <c r="I28" s="99" t="s">
        <v>195</v>
      </c>
      <c r="J28" s="99" t="s">
        <v>195</v>
      </c>
      <c r="K28" s="99" t="s">
        <v>195</v>
      </c>
      <c r="L28" s="99" t="s">
        <v>195</v>
      </c>
      <c r="M28" s="99" t="s">
        <v>195</v>
      </c>
      <c r="N28" s="99" t="s">
        <v>195</v>
      </c>
      <c r="O28" s="99" t="s">
        <v>195</v>
      </c>
      <c r="P28" s="99" t="s">
        <v>195</v>
      </c>
      <c r="Q28" s="99" t="s">
        <v>195</v>
      </c>
      <c r="R28" s="99" t="s">
        <v>195</v>
      </c>
      <c r="S28" s="99" t="s">
        <v>195</v>
      </c>
      <c r="T28" s="99"/>
      <c r="U28" s="99" t="s">
        <v>194</v>
      </c>
      <c r="V28" s="99" t="s">
        <v>195</v>
      </c>
      <c r="W28" s="99" t="s">
        <v>195</v>
      </c>
      <c r="X28" s="99" t="s">
        <v>195</v>
      </c>
      <c r="Y28" s="99" t="s">
        <v>195</v>
      </c>
      <c r="Z28" s="99" t="s">
        <v>196</v>
      </c>
      <c r="AA28" s="99" t="s">
        <v>195</v>
      </c>
      <c r="AB28" s="99" t="s">
        <v>195</v>
      </c>
      <c r="AC28" s="99" t="s">
        <v>195</v>
      </c>
      <c r="AD28" s="99" t="s">
        <v>195</v>
      </c>
      <c r="AE28" s="99" t="s">
        <v>195</v>
      </c>
      <c r="AF28" s="99" t="s">
        <v>195</v>
      </c>
      <c r="AG28" s="99" t="s">
        <v>195</v>
      </c>
      <c r="AH28" s="99" t="s">
        <v>195</v>
      </c>
      <c r="AI28" s="99" t="s">
        <v>194</v>
      </c>
      <c r="AJ28" s="99" t="s">
        <v>195</v>
      </c>
      <c r="AK28" s="99" t="s">
        <v>195</v>
      </c>
      <c r="AL28" s="99" t="s">
        <v>195</v>
      </c>
      <c r="AM28" s="99"/>
      <c r="AN28" s="99" t="s">
        <v>194</v>
      </c>
      <c r="AO28" s="99" t="s">
        <v>195</v>
      </c>
      <c r="AP28" s="99" t="s">
        <v>195</v>
      </c>
      <c r="AQ28" s="99" t="s">
        <v>195</v>
      </c>
      <c r="AR28" s="99" t="s">
        <v>195</v>
      </c>
      <c r="AS28" s="99" t="s">
        <v>195</v>
      </c>
      <c r="AT28" s="99" t="s">
        <v>195</v>
      </c>
      <c r="AU28" s="99" t="s">
        <v>195</v>
      </c>
      <c r="AV28" s="99" t="s">
        <v>195</v>
      </c>
      <c r="AW28" s="99" t="s">
        <v>195</v>
      </c>
      <c r="AX28" s="99" t="s">
        <v>195</v>
      </c>
      <c r="AY28" s="99"/>
      <c r="AZ28" s="99" t="s">
        <v>194</v>
      </c>
      <c r="BA28" s="99" t="s">
        <v>194</v>
      </c>
      <c r="BB28" s="99" t="s">
        <v>195</v>
      </c>
      <c r="BC28" s="99" t="s">
        <v>195</v>
      </c>
      <c r="BD28" s="99" t="s">
        <v>195</v>
      </c>
      <c r="BE28" s="99" t="s">
        <v>195</v>
      </c>
      <c r="BF28" s="99" t="s">
        <v>195</v>
      </c>
      <c r="BG28" s="99" t="s">
        <v>195</v>
      </c>
      <c r="BH28" s="99" t="s">
        <v>195</v>
      </c>
      <c r="BI28" s="99" t="s">
        <v>195</v>
      </c>
      <c r="BJ28" s="99" t="s">
        <v>195</v>
      </c>
      <c r="BK28" s="99" t="s">
        <v>195</v>
      </c>
      <c r="BL28" s="99" t="s">
        <v>195</v>
      </c>
      <c r="BM28" s="99" t="s">
        <v>195</v>
      </c>
      <c r="BN28" s="99" t="s">
        <v>195</v>
      </c>
      <c r="BO28" s="99" t="s">
        <v>195</v>
      </c>
      <c r="BP28" s="99" t="s">
        <v>195</v>
      </c>
      <c r="BQ28" s="99" t="s">
        <v>195</v>
      </c>
      <c r="BR28" s="99" t="s">
        <v>195</v>
      </c>
      <c r="BS28" s="99" t="s">
        <v>195</v>
      </c>
      <c r="BT28" s="99"/>
      <c r="BU28" s="99" t="s">
        <v>203</v>
      </c>
      <c r="BV28" s="99" t="s">
        <v>203</v>
      </c>
      <c r="BW28" s="99" t="s">
        <v>203</v>
      </c>
      <c r="BX28" s="99" t="s">
        <v>203</v>
      </c>
      <c r="BY28" s="99" t="s">
        <v>203</v>
      </c>
      <c r="BZ28" s="99" t="s">
        <v>203</v>
      </c>
      <c r="CA28" s="99" t="s">
        <v>203</v>
      </c>
      <c r="CB28" s="99"/>
      <c r="CC28" s="99" t="s">
        <v>204</v>
      </c>
      <c r="CD28" s="99"/>
      <c r="CE28" s="99" t="s">
        <v>198</v>
      </c>
      <c r="CF28" s="99"/>
      <c r="CG28" s="99"/>
      <c r="CH28" s="99"/>
      <c r="CI28" s="99" t="s">
        <v>194</v>
      </c>
      <c r="CJ28" s="99" t="s">
        <v>195</v>
      </c>
      <c r="CK28" s="99" t="s">
        <v>195</v>
      </c>
      <c r="CL28" s="99" t="s">
        <v>195</v>
      </c>
      <c r="CM28" s="99" t="s">
        <v>195</v>
      </c>
      <c r="CN28" s="99" t="s">
        <v>195</v>
      </c>
      <c r="CO28" s="99" t="s">
        <v>195</v>
      </c>
      <c r="CP28" s="99" t="s">
        <v>195</v>
      </c>
      <c r="CQ28" s="99" t="s">
        <v>195</v>
      </c>
      <c r="CR28" s="99" t="s">
        <v>195</v>
      </c>
      <c r="CS28" s="99" t="s">
        <v>195</v>
      </c>
      <c r="CT28" s="99" t="s">
        <v>195</v>
      </c>
      <c r="CU28" s="99" t="s">
        <v>195</v>
      </c>
      <c r="CV28" s="99" t="s">
        <v>195</v>
      </c>
      <c r="CW28" s="99" t="s">
        <v>195</v>
      </c>
      <c r="CX28" s="99" t="s">
        <v>195</v>
      </c>
      <c r="CY28" s="99" t="s">
        <v>195</v>
      </c>
      <c r="CZ28" s="99" t="s">
        <v>195</v>
      </c>
      <c r="DA28" s="99" t="s">
        <v>195</v>
      </c>
      <c r="DB28" s="99" t="s">
        <v>195</v>
      </c>
      <c r="DC28" s="99" t="s">
        <v>195</v>
      </c>
      <c r="DD28" s="99" t="s">
        <v>195</v>
      </c>
      <c r="DE28" s="99" t="s">
        <v>195</v>
      </c>
      <c r="DF28" s="99" t="s">
        <v>195</v>
      </c>
      <c r="DG28" s="99" t="s">
        <v>195</v>
      </c>
      <c r="DH28" s="99" t="s">
        <v>195</v>
      </c>
      <c r="DI28" s="99" t="s">
        <v>195</v>
      </c>
      <c r="DJ28" s="99" t="s">
        <v>195</v>
      </c>
      <c r="DK28" s="99"/>
      <c r="DL28" s="99" t="s">
        <v>194</v>
      </c>
      <c r="DM28" s="99" t="s">
        <v>195</v>
      </c>
      <c r="DN28" s="99" t="s">
        <v>195</v>
      </c>
      <c r="DO28" s="99" t="s">
        <v>195</v>
      </c>
      <c r="DP28" s="99" t="s">
        <v>195</v>
      </c>
      <c r="DQ28" s="99" t="s">
        <v>195</v>
      </c>
      <c r="DR28" s="99" t="s">
        <v>195</v>
      </c>
      <c r="DS28" s="99" t="s">
        <v>195</v>
      </c>
      <c r="DT28" s="99" t="s">
        <v>195</v>
      </c>
      <c r="DU28" s="99" t="s">
        <v>195</v>
      </c>
      <c r="DV28" s="99" t="s">
        <v>195</v>
      </c>
      <c r="DW28" s="99" t="s">
        <v>195</v>
      </c>
      <c r="DX28" s="99" t="s">
        <v>195</v>
      </c>
      <c r="DY28" s="99" t="s">
        <v>195</v>
      </c>
      <c r="DZ28" s="99" t="s">
        <v>195</v>
      </c>
      <c r="EA28" s="99"/>
      <c r="EB28" s="99" t="s">
        <v>194</v>
      </c>
      <c r="EC28" s="99" t="s">
        <v>195</v>
      </c>
      <c r="ED28" s="99" t="s">
        <v>195</v>
      </c>
      <c r="EE28" s="99" t="s">
        <v>195</v>
      </c>
      <c r="EF28" s="99" t="s">
        <v>195</v>
      </c>
      <c r="EG28" s="99" t="s">
        <v>195</v>
      </c>
      <c r="EH28" s="100" t="s">
        <v>195</v>
      </c>
    </row>
    <row r="29" spans="1:138" ht="23.25" customHeight="1" x14ac:dyDescent="0.25">
      <c r="A29" s="101" t="s">
        <v>16</v>
      </c>
      <c r="B29" s="90" t="s">
        <v>193</v>
      </c>
      <c r="C29" s="90" t="s">
        <v>194</v>
      </c>
      <c r="D29" s="90" t="s">
        <v>195</v>
      </c>
      <c r="E29" s="90" t="s">
        <v>195</v>
      </c>
      <c r="F29" s="90" t="s">
        <v>195</v>
      </c>
      <c r="G29" s="90" t="s">
        <v>195</v>
      </c>
      <c r="H29" s="90" t="s">
        <v>195</v>
      </c>
      <c r="I29" s="90" t="s">
        <v>195</v>
      </c>
      <c r="J29" s="90" t="s">
        <v>195</v>
      </c>
      <c r="K29" s="90" t="s">
        <v>195</v>
      </c>
      <c r="L29" s="90" t="s">
        <v>195</v>
      </c>
      <c r="M29" s="90" t="s">
        <v>195</v>
      </c>
      <c r="N29" s="90" t="s">
        <v>195</v>
      </c>
      <c r="O29" s="90" t="s">
        <v>195</v>
      </c>
      <c r="P29" s="90" t="s">
        <v>195</v>
      </c>
      <c r="Q29" s="90" t="s">
        <v>195</v>
      </c>
      <c r="R29" s="90" t="s">
        <v>195</v>
      </c>
      <c r="S29" s="90" t="s">
        <v>195</v>
      </c>
      <c r="T29" s="90"/>
      <c r="U29" s="90" t="s">
        <v>194</v>
      </c>
      <c r="V29" s="90" t="s">
        <v>195</v>
      </c>
      <c r="W29" s="90" t="s">
        <v>195</v>
      </c>
      <c r="X29" s="90" t="s">
        <v>195</v>
      </c>
      <c r="Y29" s="90" t="s">
        <v>195</v>
      </c>
      <c r="Z29" s="90" t="s">
        <v>196</v>
      </c>
      <c r="AA29" s="90" t="s">
        <v>195</v>
      </c>
      <c r="AB29" s="90" t="s">
        <v>195</v>
      </c>
      <c r="AC29" s="90" t="s">
        <v>195</v>
      </c>
      <c r="AD29" s="90" t="s">
        <v>195</v>
      </c>
      <c r="AE29" s="90" t="s">
        <v>195</v>
      </c>
      <c r="AF29" s="90" t="s">
        <v>195</v>
      </c>
      <c r="AG29" s="90" t="s">
        <v>195</v>
      </c>
      <c r="AH29" s="90" t="s">
        <v>195</v>
      </c>
      <c r="AI29" s="90" t="s">
        <v>194</v>
      </c>
      <c r="AJ29" s="90" t="s">
        <v>195</v>
      </c>
      <c r="AK29" s="90" t="s">
        <v>195</v>
      </c>
      <c r="AL29" s="90" t="s">
        <v>195</v>
      </c>
      <c r="AM29" s="90"/>
      <c r="AN29" s="90" t="s">
        <v>194</v>
      </c>
      <c r="AO29" s="90" t="s">
        <v>195</v>
      </c>
      <c r="AP29" s="90" t="s">
        <v>195</v>
      </c>
      <c r="AQ29" s="90" t="s">
        <v>195</v>
      </c>
      <c r="AR29" s="90" t="s">
        <v>195</v>
      </c>
      <c r="AS29" s="90" t="s">
        <v>195</v>
      </c>
      <c r="AT29" s="90" t="s">
        <v>195</v>
      </c>
      <c r="AU29" s="90" t="s">
        <v>195</v>
      </c>
      <c r="AV29" s="90" t="s">
        <v>195</v>
      </c>
      <c r="AW29" s="90" t="s">
        <v>195</v>
      </c>
      <c r="AX29" s="90" t="s">
        <v>195</v>
      </c>
      <c r="AY29" s="90"/>
      <c r="AZ29" s="90" t="s">
        <v>194</v>
      </c>
      <c r="BA29" s="90" t="s">
        <v>194</v>
      </c>
      <c r="BB29" s="90" t="s">
        <v>195</v>
      </c>
      <c r="BC29" s="90" t="s">
        <v>195</v>
      </c>
      <c r="BD29" s="90" t="s">
        <v>195</v>
      </c>
      <c r="BE29" s="90" t="s">
        <v>195</v>
      </c>
      <c r="BF29" s="90" t="s">
        <v>195</v>
      </c>
      <c r="BG29" s="90" t="s">
        <v>195</v>
      </c>
      <c r="BH29" s="90" t="s">
        <v>195</v>
      </c>
      <c r="BI29" s="90" t="s">
        <v>195</v>
      </c>
      <c r="BJ29" s="90" t="s">
        <v>195</v>
      </c>
      <c r="BK29" s="90" t="s">
        <v>195</v>
      </c>
      <c r="BL29" s="90" t="s">
        <v>195</v>
      </c>
      <c r="BM29" s="90" t="s">
        <v>195</v>
      </c>
      <c r="BN29" s="90" t="s">
        <v>195</v>
      </c>
      <c r="BO29" s="90" t="s">
        <v>195</v>
      </c>
      <c r="BP29" s="90" t="s">
        <v>195</v>
      </c>
      <c r="BQ29" s="90" t="s">
        <v>195</v>
      </c>
      <c r="BR29" s="90" t="s">
        <v>195</v>
      </c>
      <c r="BS29" s="90" t="s">
        <v>195</v>
      </c>
      <c r="BT29" s="90"/>
      <c r="BU29" s="90" t="s">
        <v>203</v>
      </c>
      <c r="BV29" s="90" t="s">
        <v>203</v>
      </c>
      <c r="BW29" s="90" t="s">
        <v>203</v>
      </c>
      <c r="BX29" s="90" t="s">
        <v>203</v>
      </c>
      <c r="BY29" s="90" t="s">
        <v>203</v>
      </c>
      <c r="BZ29" s="90" t="s">
        <v>203</v>
      </c>
      <c r="CA29" s="90" t="s">
        <v>203</v>
      </c>
      <c r="CB29" s="90"/>
      <c r="CC29" s="90" t="s">
        <v>207</v>
      </c>
      <c r="CD29" s="90"/>
      <c r="CE29" s="90" t="s">
        <v>198</v>
      </c>
      <c r="CF29" s="90"/>
      <c r="CG29" s="90"/>
      <c r="CH29" s="90"/>
      <c r="CI29" s="90" t="s">
        <v>194</v>
      </c>
      <c r="CJ29" s="90" t="s">
        <v>195</v>
      </c>
      <c r="CK29" s="90" t="s">
        <v>195</v>
      </c>
      <c r="CL29" s="90" t="s">
        <v>195</v>
      </c>
      <c r="CM29" s="90" t="s">
        <v>195</v>
      </c>
      <c r="CN29" s="90" t="s">
        <v>195</v>
      </c>
      <c r="CO29" s="90" t="s">
        <v>195</v>
      </c>
      <c r="CP29" s="90" t="s">
        <v>195</v>
      </c>
      <c r="CQ29" s="90" t="s">
        <v>195</v>
      </c>
      <c r="CR29" s="90" t="s">
        <v>195</v>
      </c>
      <c r="CS29" s="90" t="s">
        <v>195</v>
      </c>
      <c r="CT29" s="90" t="s">
        <v>195</v>
      </c>
      <c r="CU29" s="90" t="s">
        <v>195</v>
      </c>
      <c r="CV29" s="90" t="s">
        <v>195</v>
      </c>
      <c r="CW29" s="90" t="s">
        <v>195</v>
      </c>
      <c r="CX29" s="90" t="s">
        <v>195</v>
      </c>
      <c r="CY29" s="90" t="s">
        <v>195</v>
      </c>
      <c r="CZ29" s="90" t="s">
        <v>195</v>
      </c>
      <c r="DA29" s="90" t="s">
        <v>195</v>
      </c>
      <c r="DB29" s="90" t="s">
        <v>195</v>
      </c>
      <c r="DC29" s="90" t="s">
        <v>195</v>
      </c>
      <c r="DD29" s="90" t="s">
        <v>195</v>
      </c>
      <c r="DE29" s="90" t="s">
        <v>195</v>
      </c>
      <c r="DF29" s="90" t="s">
        <v>195</v>
      </c>
      <c r="DG29" s="90" t="s">
        <v>195</v>
      </c>
      <c r="DH29" s="90" t="s">
        <v>195</v>
      </c>
      <c r="DI29" s="90" t="s">
        <v>195</v>
      </c>
      <c r="DJ29" s="90" t="s">
        <v>195</v>
      </c>
      <c r="DK29" s="90"/>
      <c r="DL29" s="90" t="s">
        <v>194</v>
      </c>
      <c r="DM29" s="90" t="s">
        <v>195</v>
      </c>
      <c r="DN29" s="90" t="s">
        <v>195</v>
      </c>
      <c r="DO29" s="90" t="s">
        <v>195</v>
      </c>
      <c r="DP29" s="90" t="s">
        <v>195</v>
      </c>
      <c r="DQ29" s="90" t="s">
        <v>195</v>
      </c>
      <c r="DR29" s="90" t="s">
        <v>195</v>
      </c>
      <c r="DS29" s="90" t="s">
        <v>195</v>
      </c>
      <c r="DT29" s="90" t="s">
        <v>195</v>
      </c>
      <c r="DU29" s="90" t="s">
        <v>195</v>
      </c>
      <c r="DV29" s="90" t="s">
        <v>195</v>
      </c>
      <c r="DW29" s="90" t="s">
        <v>195</v>
      </c>
      <c r="DX29" s="90" t="s">
        <v>195</v>
      </c>
      <c r="DY29" s="90" t="s">
        <v>195</v>
      </c>
      <c r="DZ29" s="90" t="s">
        <v>195</v>
      </c>
      <c r="EA29" s="90"/>
      <c r="EB29" s="90" t="s">
        <v>194</v>
      </c>
      <c r="EC29" s="90" t="s">
        <v>195</v>
      </c>
      <c r="ED29" s="90" t="s">
        <v>195</v>
      </c>
      <c r="EE29" s="90" t="s">
        <v>195</v>
      </c>
      <c r="EF29" s="90" t="s">
        <v>195</v>
      </c>
      <c r="EG29" s="90" t="s">
        <v>195</v>
      </c>
      <c r="EH29" s="102" t="s">
        <v>195</v>
      </c>
    </row>
    <row r="30" spans="1:138" ht="23.25" customHeight="1" x14ac:dyDescent="0.25">
      <c r="A30" s="98" t="s">
        <v>17</v>
      </c>
      <c r="B30" s="99" t="s">
        <v>193</v>
      </c>
      <c r="C30" s="99" t="s">
        <v>194</v>
      </c>
      <c r="D30" s="99" t="s">
        <v>195</v>
      </c>
      <c r="E30" s="99" t="s">
        <v>195</v>
      </c>
      <c r="F30" s="99" t="s">
        <v>195</v>
      </c>
      <c r="G30" s="99" t="s">
        <v>195</v>
      </c>
      <c r="H30" s="99" t="s">
        <v>195</v>
      </c>
      <c r="I30" s="99" t="s">
        <v>195</v>
      </c>
      <c r="J30" s="99" t="s">
        <v>195</v>
      </c>
      <c r="K30" s="99" t="s">
        <v>195</v>
      </c>
      <c r="L30" s="99" t="s">
        <v>195</v>
      </c>
      <c r="M30" s="99" t="s">
        <v>195</v>
      </c>
      <c r="N30" s="99" t="s">
        <v>195</v>
      </c>
      <c r="O30" s="99" t="s">
        <v>195</v>
      </c>
      <c r="P30" s="99" t="s">
        <v>195</v>
      </c>
      <c r="Q30" s="99" t="s">
        <v>195</v>
      </c>
      <c r="R30" s="99" t="s">
        <v>195</v>
      </c>
      <c r="S30" s="99" t="s">
        <v>195</v>
      </c>
      <c r="T30" s="99"/>
      <c r="U30" s="99" t="s">
        <v>194</v>
      </c>
      <c r="V30" s="99" t="s">
        <v>195</v>
      </c>
      <c r="W30" s="99" t="s">
        <v>195</v>
      </c>
      <c r="X30" s="99" t="s">
        <v>195</v>
      </c>
      <c r="Y30" s="99" t="s">
        <v>195</v>
      </c>
      <c r="Z30" s="99" t="s">
        <v>196</v>
      </c>
      <c r="AA30" s="99" t="s">
        <v>195</v>
      </c>
      <c r="AB30" s="99" t="s">
        <v>195</v>
      </c>
      <c r="AC30" s="99" t="s">
        <v>195</v>
      </c>
      <c r="AD30" s="99" t="s">
        <v>195</v>
      </c>
      <c r="AE30" s="99" t="s">
        <v>195</v>
      </c>
      <c r="AF30" s="99" t="s">
        <v>195</v>
      </c>
      <c r="AG30" s="99" t="s">
        <v>195</v>
      </c>
      <c r="AH30" s="99" t="s">
        <v>195</v>
      </c>
      <c r="AI30" s="99" t="s">
        <v>194</v>
      </c>
      <c r="AJ30" s="99" t="s">
        <v>195</v>
      </c>
      <c r="AK30" s="99" t="s">
        <v>195</v>
      </c>
      <c r="AL30" s="99" t="s">
        <v>195</v>
      </c>
      <c r="AM30" s="99"/>
      <c r="AN30" s="99" t="s">
        <v>194</v>
      </c>
      <c r="AO30" s="99" t="s">
        <v>195</v>
      </c>
      <c r="AP30" s="99" t="s">
        <v>195</v>
      </c>
      <c r="AQ30" s="99" t="s">
        <v>195</v>
      </c>
      <c r="AR30" s="99" t="s">
        <v>195</v>
      </c>
      <c r="AS30" s="99" t="s">
        <v>195</v>
      </c>
      <c r="AT30" s="99" t="s">
        <v>195</v>
      </c>
      <c r="AU30" s="99" t="s">
        <v>195</v>
      </c>
      <c r="AV30" s="99" t="s">
        <v>195</v>
      </c>
      <c r="AW30" s="99" t="s">
        <v>195</v>
      </c>
      <c r="AX30" s="99" t="s">
        <v>195</v>
      </c>
      <c r="AY30" s="99"/>
      <c r="AZ30" s="99" t="s">
        <v>198</v>
      </c>
      <c r="BA30" s="99" t="s">
        <v>198</v>
      </c>
      <c r="BB30" s="99" t="s">
        <v>199</v>
      </c>
      <c r="BC30" s="99" t="s">
        <v>199</v>
      </c>
      <c r="BD30" s="99" t="s">
        <v>199</v>
      </c>
      <c r="BE30" s="99" t="s">
        <v>199</v>
      </c>
      <c r="BF30" s="99" t="s">
        <v>199</v>
      </c>
      <c r="BG30" s="99" t="s">
        <v>199</v>
      </c>
      <c r="BH30" s="99" t="s">
        <v>30</v>
      </c>
      <c r="BI30" s="99" t="s">
        <v>199</v>
      </c>
      <c r="BJ30" s="99" t="s">
        <v>199</v>
      </c>
      <c r="BK30" s="99" t="s">
        <v>199</v>
      </c>
      <c r="BL30" s="99" t="s">
        <v>30</v>
      </c>
      <c r="BM30" s="99" t="s">
        <v>199</v>
      </c>
      <c r="BN30" s="99" t="s">
        <v>199</v>
      </c>
      <c r="BO30" s="99" t="s">
        <v>202</v>
      </c>
      <c r="BP30" s="99" t="s">
        <v>199</v>
      </c>
      <c r="BQ30" s="99" t="s">
        <v>30</v>
      </c>
      <c r="BR30" s="99" t="s">
        <v>199</v>
      </c>
      <c r="BS30" s="99" t="s">
        <v>202</v>
      </c>
      <c r="BT30" s="99"/>
      <c r="BU30" s="99" t="s">
        <v>203</v>
      </c>
      <c r="BV30" s="99" t="s">
        <v>203</v>
      </c>
      <c r="BW30" s="99" t="s">
        <v>203</v>
      </c>
      <c r="BX30" s="99" t="s">
        <v>203</v>
      </c>
      <c r="BY30" s="99" t="s">
        <v>203</v>
      </c>
      <c r="BZ30" s="99" t="s">
        <v>203</v>
      </c>
      <c r="CA30" s="99" t="s">
        <v>203</v>
      </c>
      <c r="CB30" s="99"/>
      <c r="CC30" s="99" t="s">
        <v>204</v>
      </c>
      <c r="CD30" s="99"/>
      <c r="CE30" s="99" t="s">
        <v>198</v>
      </c>
      <c r="CF30" s="99"/>
      <c r="CG30" s="99"/>
      <c r="CH30" s="99"/>
      <c r="CI30" s="99" t="s">
        <v>194</v>
      </c>
      <c r="CJ30" s="99" t="s">
        <v>195</v>
      </c>
      <c r="CK30" s="99" t="s">
        <v>195</v>
      </c>
      <c r="CL30" s="99" t="s">
        <v>195</v>
      </c>
      <c r="CM30" s="99" t="s">
        <v>195</v>
      </c>
      <c r="CN30" s="99" t="s">
        <v>195</v>
      </c>
      <c r="CO30" s="99" t="s">
        <v>195</v>
      </c>
      <c r="CP30" s="99" t="s">
        <v>195</v>
      </c>
      <c r="CQ30" s="99" t="s">
        <v>195</v>
      </c>
      <c r="CR30" s="99" t="s">
        <v>195</v>
      </c>
      <c r="CS30" s="99" t="s">
        <v>195</v>
      </c>
      <c r="CT30" s="99" t="s">
        <v>195</v>
      </c>
      <c r="CU30" s="99" t="s">
        <v>195</v>
      </c>
      <c r="CV30" s="99" t="s">
        <v>195</v>
      </c>
      <c r="CW30" s="99" t="s">
        <v>195</v>
      </c>
      <c r="CX30" s="99" t="s">
        <v>195</v>
      </c>
      <c r="CY30" s="99" t="s">
        <v>195</v>
      </c>
      <c r="CZ30" s="99" t="s">
        <v>195</v>
      </c>
      <c r="DA30" s="99" t="s">
        <v>195</v>
      </c>
      <c r="DB30" s="99" t="s">
        <v>195</v>
      </c>
      <c r="DC30" s="99" t="s">
        <v>195</v>
      </c>
      <c r="DD30" s="99" t="s">
        <v>195</v>
      </c>
      <c r="DE30" s="99" t="s">
        <v>195</v>
      </c>
      <c r="DF30" s="99" t="s">
        <v>195</v>
      </c>
      <c r="DG30" s="99" t="s">
        <v>195</v>
      </c>
      <c r="DH30" s="99" t="s">
        <v>195</v>
      </c>
      <c r="DI30" s="99" t="s">
        <v>195</v>
      </c>
      <c r="DJ30" s="99" t="s">
        <v>195</v>
      </c>
      <c r="DK30" s="99"/>
      <c r="DL30" s="99" t="s">
        <v>194</v>
      </c>
      <c r="DM30" s="99" t="s">
        <v>195</v>
      </c>
      <c r="DN30" s="99" t="s">
        <v>195</v>
      </c>
      <c r="DO30" s="99" t="s">
        <v>195</v>
      </c>
      <c r="DP30" s="99" t="s">
        <v>195</v>
      </c>
      <c r="DQ30" s="99" t="s">
        <v>195</v>
      </c>
      <c r="DR30" s="99" t="s">
        <v>195</v>
      </c>
      <c r="DS30" s="99" t="s">
        <v>195</v>
      </c>
      <c r="DT30" s="99" t="s">
        <v>195</v>
      </c>
      <c r="DU30" s="99" t="s">
        <v>195</v>
      </c>
      <c r="DV30" s="99" t="s">
        <v>195</v>
      </c>
      <c r="DW30" s="99" t="s">
        <v>195</v>
      </c>
      <c r="DX30" s="99" t="s">
        <v>195</v>
      </c>
      <c r="DY30" s="99" t="s">
        <v>195</v>
      </c>
      <c r="DZ30" s="99" t="s">
        <v>195</v>
      </c>
      <c r="EA30" s="99"/>
      <c r="EB30" s="99" t="s">
        <v>194</v>
      </c>
      <c r="EC30" s="99" t="s">
        <v>195</v>
      </c>
      <c r="ED30" s="99" t="s">
        <v>195</v>
      </c>
      <c r="EE30" s="99" t="s">
        <v>195</v>
      </c>
      <c r="EF30" s="99" t="s">
        <v>195</v>
      </c>
      <c r="EG30" s="99" t="s">
        <v>195</v>
      </c>
      <c r="EH30" s="100" t="s">
        <v>195</v>
      </c>
    </row>
    <row r="31" spans="1:138" ht="23.25" customHeight="1" x14ac:dyDescent="0.25">
      <c r="A31" s="101" t="s">
        <v>16</v>
      </c>
      <c r="B31" s="90" t="s">
        <v>193</v>
      </c>
      <c r="C31" s="90" t="s">
        <v>194</v>
      </c>
      <c r="D31" s="90" t="s">
        <v>195</v>
      </c>
      <c r="E31" s="90" t="s">
        <v>195</v>
      </c>
      <c r="F31" s="90" t="s">
        <v>195</v>
      </c>
      <c r="G31" s="90" t="s">
        <v>195</v>
      </c>
      <c r="H31" s="90" t="s">
        <v>195</v>
      </c>
      <c r="I31" s="90" t="s">
        <v>195</v>
      </c>
      <c r="J31" s="90" t="s">
        <v>195</v>
      </c>
      <c r="K31" s="90" t="s">
        <v>195</v>
      </c>
      <c r="L31" s="90" t="s">
        <v>195</v>
      </c>
      <c r="M31" s="90" t="s">
        <v>195</v>
      </c>
      <c r="N31" s="90" t="s">
        <v>195</v>
      </c>
      <c r="O31" s="90" t="s">
        <v>195</v>
      </c>
      <c r="P31" s="90" t="s">
        <v>195</v>
      </c>
      <c r="Q31" s="90" t="s">
        <v>195</v>
      </c>
      <c r="R31" s="90" t="s">
        <v>195</v>
      </c>
      <c r="S31" s="90" t="s">
        <v>195</v>
      </c>
      <c r="T31" s="90"/>
      <c r="U31" s="90" t="s">
        <v>194</v>
      </c>
      <c r="V31" s="90" t="s">
        <v>195</v>
      </c>
      <c r="W31" s="90" t="s">
        <v>195</v>
      </c>
      <c r="X31" s="90" t="s">
        <v>195</v>
      </c>
      <c r="Y31" s="90" t="s">
        <v>195</v>
      </c>
      <c r="Z31" s="90" t="s">
        <v>196</v>
      </c>
      <c r="AA31" s="90" t="s">
        <v>195</v>
      </c>
      <c r="AB31" s="90" t="s">
        <v>195</v>
      </c>
      <c r="AC31" s="90" t="s">
        <v>195</v>
      </c>
      <c r="AD31" s="90" t="s">
        <v>195</v>
      </c>
      <c r="AE31" s="90" t="s">
        <v>195</v>
      </c>
      <c r="AF31" s="90" t="s">
        <v>195</v>
      </c>
      <c r="AG31" s="90" t="s">
        <v>195</v>
      </c>
      <c r="AH31" s="90" t="s">
        <v>195</v>
      </c>
      <c r="AI31" s="90" t="s">
        <v>194</v>
      </c>
      <c r="AJ31" s="90" t="s">
        <v>195</v>
      </c>
      <c r="AK31" s="90" t="s">
        <v>195</v>
      </c>
      <c r="AL31" s="90" t="s">
        <v>195</v>
      </c>
      <c r="AM31" s="90"/>
      <c r="AN31" s="90" t="s">
        <v>194</v>
      </c>
      <c r="AO31" s="90" t="s">
        <v>195</v>
      </c>
      <c r="AP31" s="90" t="s">
        <v>195</v>
      </c>
      <c r="AQ31" s="90" t="s">
        <v>195</v>
      </c>
      <c r="AR31" s="90" t="s">
        <v>195</v>
      </c>
      <c r="AS31" s="90" t="s">
        <v>195</v>
      </c>
      <c r="AT31" s="90" t="s">
        <v>195</v>
      </c>
      <c r="AU31" s="90" t="s">
        <v>195</v>
      </c>
      <c r="AV31" s="90" t="s">
        <v>195</v>
      </c>
      <c r="AW31" s="90" t="s">
        <v>195</v>
      </c>
      <c r="AX31" s="90" t="s">
        <v>195</v>
      </c>
      <c r="AY31" s="90"/>
      <c r="AZ31" s="90" t="s">
        <v>194</v>
      </c>
      <c r="BA31" s="90" t="s">
        <v>194</v>
      </c>
      <c r="BB31" s="90" t="s">
        <v>195</v>
      </c>
      <c r="BC31" s="90" t="s">
        <v>195</v>
      </c>
      <c r="BD31" s="90" t="s">
        <v>195</v>
      </c>
      <c r="BE31" s="90" t="s">
        <v>195</v>
      </c>
      <c r="BF31" s="90" t="s">
        <v>195</v>
      </c>
      <c r="BG31" s="90" t="s">
        <v>195</v>
      </c>
      <c r="BH31" s="90" t="s">
        <v>195</v>
      </c>
      <c r="BI31" s="90" t="s">
        <v>195</v>
      </c>
      <c r="BJ31" s="90" t="s">
        <v>195</v>
      </c>
      <c r="BK31" s="90" t="s">
        <v>195</v>
      </c>
      <c r="BL31" s="90" t="s">
        <v>195</v>
      </c>
      <c r="BM31" s="90" t="s">
        <v>195</v>
      </c>
      <c r="BN31" s="90" t="s">
        <v>195</v>
      </c>
      <c r="BO31" s="90" t="s">
        <v>195</v>
      </c>
      <c r="BP31" s="90" t="s">
        <v>195</v>
      </c>
      <c r="BQ31" s="90" t="s">
        <v>195</v>
      </c>
      <c r="BR31" s="90" t="s">
        <v>195</v>
      </c>
      <c r="BS31" s="90" t="s">
        <v>195</v>
      </c>
      <c r="BT31" s="90"/>
      <c r="BU31" s="90" t="s">
        <v>203</v>
      </c>
      <c r="BV31" s="90" t="s">
        <v>203</v>
      </c>
      <c r="BW31" s="90" t="s">
        <v>203</v>
      </c>
      <c r="BX31" s="90" t="s">
        <v>203</v>
      </c>
      <c r="BY31" s="90" t="s">
        <v>203</v>
      </c>
      <c r="BZ31" s="90" t="s">
        <v>203</v>
      </c>
      <c r="CA31" s="90" t="s">
        <v>203</v>
      </c>
      <c r="CB31" s="90"/>
      <c r="CC31" s="90" t="s">
        <v>204</v>
      </c>
      <c r="CD31" s="90"/>
      <c r="CE31" s="90" t="s">
        <v>198</v>
      </c>
      <c r="CF31" s="90"/>
      <c r="CG31" s="90"/>
      <c r="CH31" s="90"/>
      <c r="CI31" s="90" t="s">
        <v>194</v>
      </c>
      <c r="CJ31" s="90" t="s">
        <v>195</v>
      </c>
      <c r="CK31" s="90" t="s">
        <v>195</v>
      </c>
      <c r="CL31" s="90" t="s">
        <v>195</v>
      </c>
      <c r="CM31" s="90" t="s">
        <v>195</v>
      </c>
      <c r="CN31" s="90" t="s">
        <v>195</v>
      </c>
      <c r="CO31" s="90" t="s">
        <v>195</v>
      </c>
      <c r="CP31" s="90" t="s">
        <v>195</v>
      </c>
      <c r="CQ31" s="90" t="s">
        <v>195</v>
      </c>
      <c r="CR31" s="90" t="s">
        <v>195</v>
      </c>
      <c r="CS31" s="90" t="s">
        <v>195</v>
      </c>
      <c r="CT31" s="90" t="s">
        <v>195</v>
      </c>
      <c r="CU31" s="90" t="s">
        <v>195</v>
      </c>
      <c r="CV31" s="90" t="s">
        <v>195</v>
      </c>
      <c r="CW31" s="90" t="s">
        <v>195</v>
      </c>
      <c r="CX31" s="90" t="s">
        <v>195</v>
      </c>
      <c r="CY31" s="90" t="s">
        <v>195</v>
      </c>
      <c r="CZ31" s="90" t="s">
        <v>195</v>
      </c>
      <c r="DA31" s="90" t="s">
        <v>195</v>
      </c>
      <c r="DB31" s="90" t="s">
        <v>195</v>
      </c>
      <c r="DC31" s="90" t="s">
        <v>195</v>
      </c>
      <c r="DD31" s="90" t="s">
        <v>195</v>
      </c>
      <c r="DE31" s="90" t="s">
        <v>195</v>
      </c>
      <c r="DF31" s="90" t="s">
        <v>195</v>
      </c>
      <c r="DG31" s="90" t="s">
        <v>195</v>
      </c>
      <c r="DH31" s="90" t="s">
        <v>195</v>
      </c>
      <c r="DI31" s="90" t="s">
        <v>195</v>
      </c>
      <c r="DJ31" s="90" t="s">
        <v>195</v>
      </c>
      <c r="DK31" s="90"/>
      <c r="DL31" s="90" t="s">
        <v>194</v>
      </c>
      <c r="DM31" s="90" t="s">
        <v>195</v>
      </c>
      <c r="DN31" s="90" t="s">
        <v>195</v>
      </c>
      <c r="DO31" s="90" t="s">
        <v>195</v>
      </c>
      <c r="DP31" s="90" t="s">
        <v>195</v>
      </c>
      <c r="DQ31" s="90" t="s">
        <v>195</v>
      </c>
      <c r="DR31" s="90" t="s">
        <v>195</v>
      </c>
      <c r="DS31" s="90" t="s">
        <v>195</v>
      </c>
      <c r="DT31" s="90" t="s">
        <v>195</v>
      </c>
      <c r="DU31" s="90" t="s">
        <v>195</v>
      </c>
      <c r="DV31" s="90" t="s">
        <v>195</v>
      </c>
      <c r="DW31" s="90" t="s">
        <v>195</v>
      </c>
      <c r="DX31" s="90" t="s">
        <v>195</v>
      </c>
      <c r="DY31" s="90" t="s">
        <v>195</v>
      </c>
      <c r="DZ31" s="90" t="s">
        <v>195</v>
      </c>
      <c r="EA31" s="90"/>
      <c r="EB31" s="90" t="s">
        <v>194</v>
      </c>
      <c r="EC31" s="90" t="s">
        <v>195</v>
      </c>
      <c r="ED31" s="90" t="s">
        <v>195</v>
      </c>
      <c r="EE31" s="90" t="s">
        <v>195</v>
      </c>
      <c r="EF31" s="90" t="s">
        <v>195</v>
      </c>
      <c r="EG31" s="90" t="s">
        <v>195</v>
      </c>
      <c r="EH31" s="102" t="s">
        <v>195</v>
      </c>
    </row>
    <row r="32" spans="1:138" ht="23.25" customHeight="1" x14ac:dyDescent="0.25">
      <c r="A32" s="98" t="s">
        <v>17</v>
      </c>
      <c r="B32" s="99" t="s">
        <v>193</v>
      </c>
      <c r="C32" s="99" t="s">
        <v>194</v>
      </c>
      <c r="D32" s="99" t="s">
        <v>195</v>
      </c>
      <c r="E32" s="99" t="s">
        <v>195</v>
      </c>
      <c r="F32" s="99" t="s">
        <v>195</v>
      </c>
      <c r="G32" s="99" t="s">
        <v>195</v>
      </c>
      <c r="H32" s="99" t="s">
        <v>195</v>
      </c>
      <c r="I32" s="99" t="s">
        <v>195</v>
      </c>
      <c r="J32" s="99" t="s">
        <v>195</v>
      </c>
      <c r="K32" s="99" t="s">
        <v>195</v>
      </c>
      <c r="L32" s="99" t="s">
        <v>195</v>
      </c>
      <c r="M32" s="99" t="s">
        <v>195</v>
      </c>
      <c r="N32" s="99" t="s">
        <v>195</v>
      </c>
      <c r="O32" s="99" t="s">
        <v>195</v>
      </c>
      <c r="P32" s="99" t="s">
        <v>195</v>
      </c>
      <c r="Q32" s="99" t="s">
        <v>195</v>
      </c>
      <c r="R32" s="99" t="s">
        <v>195</v>
      </c>
      <c r="S32" s="99" t="s">
        <v>195</v>
      </c>
      <c r="T32" s="99"/>
      <c r="U32" s="99" t="s">
        <v>194</v>
      </c>
      <c r="V32" s="99" t="s">
        <v>195</v>
      </c>
      <c r="W32" s="99" t="s">
        <v>195</v>
      </c>
      <c r="X32" s="99" t="s">
        <v>195</v>
      </c>
      <c r="Y32" s="99" t="s">
        <v>195</v>
      </c>
      <c r="Z32" s="99" t="s">
        <v>196</v>
      </c>
      <c r="AA32" s="99" t="s">
        <v>195</v>
      </c>
      <c r="AB32" s="99" t="s">
        <v>195</v>
      </c>
      <c r="AC32" s="99" t="s">
        <v>195</v>
      </c>
      <c r="AD32" s="99" t="s">
        <v>195</v>
      </c>
      <c r="AE32" s="99" t="s">
        <v>195</v>
      </c>
      <c r="AF32" s="99" t="s">
        <v>195</v>
      </c>
      <c r="AG32" s="99" t="s">
        <v>195</v>
      </c>
      <c r="AH32" s="99" t="s">
        <v>195</v>
      </c>
      <c r="AI32" s="99" t="s">
        <v>194</v>
      </c>
      <c r="AJ32" s="99" t="s">
        <v>195</v>
      </c>
      <c r="AK32" s="99" t="s">
        <v>195</v>
      </c>
      <c r="AL32" s="99" t="s">
        <v>195</v>
      </c>
      <c r="AM32" s="99"/>
      <c r="AN32" s="99" t="s">
        <v>198</v>
      </c>
      <c r="AO32" s="99" t="s">
        <v>199</v>
      </c>
      <c r="AP32" s="99" t="s">
        <v>199</v>
      </c>
      <c r="AQ32" s="99" t="s">
        <v>199</v>
      </c>
      <c r="AR32" s="99" t="s">
        <v>199</v>
      </c>
      <c r="AS32" s="99" t="s">
        <v>30</v>
      </c>
      <c r="AT32" s="99" t="s">
        <v>30</v>
      </c>
      <c r="AU32" s="99" t="s">
        <v>30</v>
      </c>
      <c r="AV32" s="99" t="s">
        <v>199</v>
      </c>
      <c r="AW32" s="99" t="s">
        <v>30</v>
      </c>
      <c r="AX32" s="99" t="s">
        <v>199</v>
      </c>
      <c r="AY32" s="99"/>
      <c r="AZ32" s="99" t="s">
        <v>194</v>
      </c>
      <c r="BA32" s="99" t="s">
        <v>194</v>
      </c>
      <c r="BB32" s="99" t="s">
        <v>195</v>
      </c>
      <c r="BC32" s="99" t="s">
        <v>195</v>
      </c>
      <c r="BD32" s="99" t="s">
        <v>195</v>
      </c>
      <c r="BE32" s="99" t="s">
        <v>195</v>
      </c>
      <c r="BF32" s="99" t="s">
        <v>195</v>
      </c>
      <c r="BG32" s="99" t="s">
        <v>195</v>
      </c>
      <c r="BH32" s="99" t="s">
        <v>195</v>
      </c>
      <c r="BI32" s="99" t="s">
        <v>195</v>
      </c>
      <c r="BJ32" s="99" t="s">
        <v>195</v>
      </c>
      <c r="BK32" s="99" t="s">
        <v>195</v>
      </c>
      <c r="BL32" s="99" t="s">
        <v>195</v>
      </c>
      <c r="BM32" s="99" t="s">
        <v>195</v>
      </c>
      <c r="BN32" s="99" t="s">
        <v>195</v>
      </c>
      <c r="BO32" s="99" t="s">
        <v>195</v>
      </c>
      <c r="BP32" s="99" t="s">
        <v>195</v>
      </c>
      <c r="BQ32" s="99" t="s">
        <v>195</v>
      </c>
      <c r="BR32" s="99" t="s">
        <v>195</v>
      </c>
      <c r="BS32" s="99" t="s">
        <v>195</v>
      </c>
      <c r="BT32" s="99"/>
      <c r="BU32" s="99" t="s">
        <v>203</v>
      </c>
      <c r="BV32" s="99" t="s">
        <v>203</v>
      </c>
      <c r="BW32" s="99" t="s">
        <v>203</v>
      </c>
      <c r="BX32" s="99" t="s">
        <v>203</v>
      </c>
      <c r="BY32" s="99" t="s">
        <v>203</v>
      </c>
      <c r="BZ32" s="99" t="s">
        <v>203</v>
      </c>
      <c r="CA32" s="99" t="s">
        <v>203</v>
      </c>
      <c r="CB32" s="99"/>
      <c r="CC32" s="99" t="s">
        <v>197</v>
      </c>
      <c r="CD32" s="99"/>
      <c r="CE32" s="99" t="s">
        <v>198</v>
      </c>
      <c r="CF32" s="99"/>
      <c r="CG32" s="99"/>
      <c r="CH32" s="99"/>
      <c r="CI32" s="99" t="s">
        <v>194</v>
      </c>
      <c r="CJ32" s="99" t="s">
        <v>195</v>
      </c>
      <c r="CK32" s="99" t="s">
        <v>195</v>
      </c>
      <c r="CL32" s="99" t="s">
        <v>195</v>
      </c>
      <c r="CM32" s="99" t="s">
        <v>195</v>
      </c>
      <c r="CN32" s="99" t="s">
        <v>195</v>
      </c>
      <c r="CO32" s="99" t="s">
        <v>195</v>
      </c>
      <c r="CP32" s="99" t="s">
        <v>195</v>
      </c>
      <c r="CQ32" s="99" t="s">
        <v>195</v>
      </c>
      <c r="CR32" s="99" t="s">
        <v>195</v>
      </c>
      <c r="CS32" s="99" t="s">
        <v>195</v>
      </c>
      <c r="CT32" s="99" t="s">
        <v>195</v>
      </c>
      <c r="CU32" s="99" t="s">
        <v>195</v>
      </c>
      <c r="CV32" s="99" t="s">
        <v>195</v>
      </c>
      <c r="CW32" s="99" t="s">
        <v>195</v>
      </c>
      <c r="CX32" s="99" t="s">
        <v>195</v>
      </c>
      <c r="CY32" s="99" t="s">
        <v>195</v>
      </c>
      <c r="CZ32" s="99" t="s">
        <v>195</v>
      </c>
      <c r="DA32" s="99" t="s">
        <v>195</v>
      </c>
      <c r="DB32" s="99" t="s">
        <v>195</v>
      </c>
      <c r="DC32" s="99" t="s">
        <v>195</v>
      </c>
      <c r="DD32" s="99" t="s">
        <v>195</v>
      </c>
      <c r="DE32" s="99" t="s">
        <v>195</v>
      </c>
      <c r="DF32" s="99" t="s">
        <v>195</v>
      </c>
      <c r="DG32" s="99" t="s">
        <v>195</v>
      </c>
      <c r="DH32" s="99" t="s">
        <v>195</v>
      </c>
      <c r="DI32" s="99" t="s">
        <v>195</v>
      </c>
      <c r="DJ32" s="99" t="s">
        <v>195</v>
      </c>
      <c r="DK32" s="99"/>
      <c r="DL32" s="99" t="s">
        <v>194</v>
      </c>
      <c r="DM32" s="99" t="s">
        <v>195</v>
      </c>
      <c r="DN32" s="99" t="s">
        <v>195</v>
      </c>
      <c r="DO32" s="99" t="s">
        <v>195</v>
      </c>
      <c r="DP32" s="99" t="s">
        <v>195</v>
      </c>
      <c r="DQ32" s="99" t="s">
        <v>195</v>
      </c>
      <c r="DR32" s="99" t="s">
        <v>195</v>
      </c>
      <c r="DS32" s="99" t="s">
        <v>195</v>
      </c>
      <c r="DT32" s="99" t="s">
        <v>195</v>
      </c>
      <c r="DU32" s="99" t="s">
        <v>195</v>
      </c>
      <c r="DV32" s="99" t="s">
        <v>195</v>
      </c>
      <c r="DW32" s="99" t="s">
        <v>195</v>
      </c>
      <c r="DX32" s="99" t="s">
        <v>195</v>
      </c>
      <c r="DY32" s="99" t="s">
        <v>195</v>
      </c>
      <c r="DZ32" s="99" t="s">
        <v>195</v>
      </c>
      <c r="EA32" s="99"/>
      <c r="EB32" s="99" t="s">
        <v>194</v>
      </c>
      <c r="EC32" s="99" t="s">
        <v>195</v>
      </c>
      <c r="ED32" s="99" t="s">
        <v>195</v>
      </c>
      <c r="EE32" s="99" t="s">
        <v>195</v>
      </c>
      <c r="EF32" s="99" t="s">
        <v>195</v>
      </c>
      <c r="EG32" s="99" t="s">
        <v>195</v>
      </c>
      <c r="EH32" s="100" t="s">
        <v>195</v>
      </c>
    </row>
    <row r="33" spans="1:138" ht="23.25" customHeight="1" x14ac:dyDescent="0.25">
      <c r="A33" s="101" t="s">
        <v>17</v>
      </c>
      <c r="B33" s="90" t="s">
        <v>193</v>
      </c>
      <c r="C33" s="90" t="s">
        <v>194</v>
      </c>
      <c r="D33" s="90" t="s">
        <v>195</v>
      </c>
      <c r="E33" s="90" t="s">
        <v>195</v>
      </c>
      <c r="F33" s="90" t="s">
        <v>195</v>
      </c>
      <c r="G33" s="90" t="s">
        <v>195</v>
      </c>
      <c r="H33" s="90" t="s">
        <v>195</v>
      </c>
      <c r="I33" s="90" t="s">
        <v>195</v>
      </c>
      <c r="J33" s="90" t="s">
        <v>195</v>
      </c>
      <c r="K33" s="90" t="s">
        <v>195</v>
      </c>
      <c r="L33" s="90" t="s">
        <v>195</v>
      </c>
      <c r="M33" s="90" t="s">
        <v>195</v>
      </c>
      <c r="N33" s="90" t="s">
        <v>195</v>
      </c>
      <c r="O33" s="90" t="s">
        <v>195</v>
      </c>
      <c r="P33" s="90" t="s">
        <v>195</v>
      </c>
      <c r="Q33" s="90" t="s">
        <v>195</v>
      </c>
      <c r="R33" s="90" t="s">
        <v>195</v>
      </c>
      <c r="S33" s="90" t="s">
        <v>195</v>
      </c>
      <c r="T33" s="90"/>
      <c r="U33" s="90" t="s">
        <v>198</v>
      </c>
      <c r="V33" s="90" t="s">
        <v>199</v>
      </c>
      <c r="W33" s="90" t="s">
        <v>199</v>
      </c>
      <c r="X33" s="90" t="s">
        <v>199</v>
      </c>
      <c r="Y33" s="90" t="s">
        <v>199</v>
      </c>
      <c r="Z33" s="90" t="s">
        <v>196</v>
      </c>
      <c r="AA33" s="90" t="s">
        <v>202</v>
      </c>
      <c r="AB33" s="90" t="s">
        <v>206</v>
      </c>
      <c r="AC33" s="90" t="s">
        <v>206</v>
      </c>
      <c r="AD33" s="90" t="s">
        <v>206</v>
      </c>
      <c r="AE33" s="90" t="s">
        <v>195</v>
      </c>
      <c r="AF33" s="90" t="s">
        <v>195</v>
      </c>
      <c r="AG33" s="90" t="s">
        <v>195</v>
      </c>
      <c r="AH33" s="90" t="s">
        <v>195</v>
      </c>
      <c r="AI33" s="90" t="s">
        <v>198</v>
      </c>
      <c r="AJ33" s="90" t="s">
        <v>30</v>
      </c>
      <c r="AK33" s="90" t="s">
        <v>30</v>
      </c>
      <c r="AL33" s="90" t="s">
        <v>30</v>
      </c>
      <c r="AM33" s="90"/>
      <c r="AN33" s="90" t="s">
        <v>198</v>
      </c>
      <c r="AO33" s="90" t="s">
        <v>199</v>
      </c>
      <c r="AP33" s="90" t="s">
        <v>199</v>
      </c>
      <c r="AQ33" s="90" t="s">
        <v>199</v>
      </c>
      <c r="AR33" s="90" t="s">
        <v>199</v>
      </c>
      <c r="AS33" s="90" t="s">
        <v>199</v>
      </c>
      <c r="AT33" s="90" t="s">
        <v>199</v>
      </c>
      <c r="AU33" s="90" t="s">
        <v>199</v>
      </c>
      <c r="AV33" s="90" t="s">
        <v>199</v>
      </c>
      <c r="AW33" s="90" t="s">
        <v>199</v>
      </c>
      <c r="AX33" s="90" t="s">
        <v>199</v>
      </c>
      <c r="AY33" s="90"/>
      <c r="AZ33" s="90" t="s">
        <v>194</v>
      </c>
      <c r="BA33" s="90" t="s">
        <v>194</v>
      </c>
      <c r="BB33" s="90" t="s">
        <v>195</v>
      </c>
      <c r="BC33" s="90" t="s">
        <v>195</v>
      </c>
      <c r="BD33" s="90" t="s">
        <v>195</v>
      </c>
      <c r="BE33" s="90" t="s">
        <v>195</v>
      </c>
      <c r="BF33" s="90" t="s">
        <v>195</v>
      </c>
      <c r="BG33" s="90" t="s">
        <v>195</v>
      </c>
      <c r="BH33" s="90" t="s">
        <v>195</v>
      </c>
      <c r="BI33" s="90" t="s">
        <v>195</v>
      </c>
      <c r="BJ33" s="90" t="s">
        <v>195</v>
      </c>
      <c r="BK33" s="90" t="s">
        <v>195</v>
      </c>
      <c r="BL33" s="90" t="s">
        <v>195</v>
      </c>
      <c r="BM33" s="90" t="s">
        <v>195</v>
      </c>
      <c r="BN33" s="90" t="s">
        <v>195</v>
      </c>
      <c r="BO33" s="90" t="s">
        <v>195</v>
      </c>
      <c r="BP33" s="90" t="s">
        <v>195</v>
      </c>
      <c r="BQ33" s="90" t="s">
        <v>195</v>
      </c>
      <c r="BR33" s="90" t="s">
        <v>195</v>
      </c>
      <c r="BS33" s="90" t="s">
        <v>195</v>
      </c>
      <c r="BT33" s="90"/>
      <c r="BU33" s="90" t="s">
        <v>203</v>
      </c>
      <c r="BV33" s="90" t="s">
        <v>203</v>
      </c>
      <c r="BW33" s="90" t="s">
        <v>203</v>
      </c>
      <c r="BX33" s="90" t="s">
        <v>203</v>
      </c>
      <c r="BY33" s="90" t="s">
        <v>203</v>
      </c>
      <c r="BZ33" s="90" t="s">
        <v>203</v>
      </c>
      <c r="CA33" s="90" t="s">
        <v>203</v>
      </c>
      <c r="CB33" s="90"/>
      <c r="CC33" s="90" t="s">
        <v>204</v>
      </c>
      <c r="CD33" s="90"/>
      <c r="CE33" s="90" t="s">
        <v>198</v>
      </c>
      <c r="CF33" s="90"/>
      <c r="CG33" s="90"/>
      <c r="CH33" s="90"/>
      <c r="CI33" s="90" t="s">
        <v>198</v>
      </c>
      <c r="CJ33" s="90" t="s">
        <v>199</v>
      </c>
      <c r="CK33" s="90" t="s">
        <v>199</v>
      </c>
      <c r="CL33" s="90" t="s">
        <v>199</v>
      </c>
      <c r="CM33" s="90" t="s">
        <v>199</v>
      </c>
      <c r="CN33" s="90" t="s">
        <v>199</v>
      </c>
      <c r="CO33" s="90" t="s">
        <v>199</v>
      </c>
      <c r="CP33" s="90" t="s">
        <v>199</v>
      </c>
      <c r="CQ33" s="90" t="s">
        <v>200</v>
      </c>
      <c r="CR33" s="90" t="s">
        <v>200</v>
      </c>
      <c r="CS33" s="90" t="s">
        <v>200</v>
      </c>
      <c r="CT33" s="90" t="s">
        <v>200</v>
      </c>
      <c r="CU33" s="90" t="s">
        <v>200</v>
      </c>
      <c r="CV33" s="90" t="s">
        <v>200</v>
      </c>
      <c r="CW33" s="90" t="s">
        <v>200</v>
      </c>
      <c r="CX33" s="90" t="s">
        <v>200</v>
      </c>
      <c r="CY33" s="90" t="s">
        <v>200</v>
      </c>
      <c r="CZ33" s="90" t="s">
        <v>200</v>
      </c>
      <c r="DA33" s="90" t="s">
        <v>200</v>
      </c>
      <c r="DB33" s="90" t="s">
        <v>200</v>
      </c>
      <c r="DC33" s="90" t="s">
        <v>200</v>
      </c>
      <c r="DD33" s="90" t="s">
        <v>200</v>
      </c>
      <c r="DE33" s="90" t="s">
        <v>200</v>
      </c>
      <c r="DF33" s="90" t="s">
        <v>200</v>
      </c>
      <c r="DG33" s="90" t="s">
        <v>200</v>
      </c>
      <c r="DH33" s="90" t="s">
        <v>200</v>
      </c>
      <c r="DI33" s="90" t="s">
        <v>200</v>
      </c>
      <c r="DJ33" s="90" t="s">
        <v>200</v>
      </c>
      <c r="DK33" s="90"/>
      <c r="DL33" s="90" t="s">
        <v>194</v>
      </c>
      <c r="DM33" s="90" t="s">
        <v>195</v>
      </c>
      <c r="DN33" s="90" t="s">
        <v>195</v>
      </c>
      <c r="DO33" s="90" t="s">
        <v>195</v>
      </c>
      <c r="DP33" s="90" t="s">
        <v>195</v>
      </c>
      <c r="DQ33" s="90" t="s">
        <v>195</v>
      </c>
      <c r="DR33" s="90" t="s">
        <v>195</v>
      </c>
      <c r="DS33" s="90" t="s">
        <v>195</v>
      </c>
      <c r="DT33" s="90" t="s">
        <v>195</v>
      </c>
      <c r="DU33" s="90" t="s">
        <v>195</v>
      </c>
      <c r="DV33" s="90" t="s">
        <v>195</v>
      </c>
      <c r="DW33" s="90" t="s">
        <v>195</v>
      </c>
      <c r="DX33" s="90" t="s">
        <v>195</v>
      </c>
      <c r="DY33" s="90" t="s">
        <v>195</v>
      </c>
      <c r="DZ33" s="90" t="s">
        <v>195</v>
      </c>
      <c r="EA33" s="90"/>
      <c r="EB33" s="90" t="s">
        <v>194</v>
      </c>
      <c r="EC33" s="90" t="s">
        <v>195</v>
      </c>
      <c r="ED33" s="90" t="s">
        <v>195</v>
      </c>
      <c r="EE33" s="90" t="s">
        <v>195</v>
      </c>
      <c r="EF33" s="90" t="s">
        <v>195</v>
      </c>
      <c r="EG33" s="90" t="s">
        <v>195</v>
      </c>
      <c r="EH33" s="102" t="s">
        <v>195</v>
      </c>
    </row>
    <row r="34" spans="1:138" ht="23.25" customHeight="1" x14ac:dyDescent="0.25">
      <c r="A34" s="98" t="s">
        <v>16</v>
      </c>
      <c r="B34" s="99" t="s">
        <v>193</v>
      </c>
      <c r="C34" s="99" t="s">
        <v>194</v>
      </c>
      <c r="D34" s="99" t="s">
        <v>195</v>
      </c>
      <c r="E34" s="99" t="s">
        <v>195</v>
      </c>
      <c r="F34" s="99" t="s">
        <v>195</v>
      </c>
      <c r="G34" s="99" t="s">
        <v>195</v>
      </c>
      <c r="H34" s="99" t="s">
        <v>195</v>
      </c>
      <c r="I34" s="99" t="s">
        <v>195</v>
      </c>
      <c r="J34" s="99" t="s">
        <v>195</v>
      </c>
      <c r="K34" s="99" t="s">
        <v>195</v>
      </c>
      <c r="L34" s="99" t="s">
        <v>195</v>
      </c>
      <c r="M34" s="99" t="s">
        <v>195</v>
      </c>
      <c r="N34" s="99" t="s">
        <v>195</v>
      </c>
      <c r="O34" s="99" t="s">
        <v>195</v>
      </c>
      <c r="P34" s="99" t="s">
        <v>195</v>
      </c>
      <c r="Q34" s="99" t="s">
        <v>195</v>
      </c>
      <c r="R34" s="99" t="s">
        <v>195</v>
      </c>
      <c r="S34" s="99" t="s">
        <v>195</v>
      </c>
      <c r="T34" s="99"/>
      <c r="U34" s="99" t="s">
        <v>194</v>
      </c>
      <c r="V34" s="99" t="s">
        <v>195</v>
      </c>
      <c r="W34" s="99" t="s">
        <v>195</v>
      </c>
      <c r="X34" s="99" t="s">
        <v>195</v>
      </c>
      <c r="Y34" s="99" t="s">
        <v>195</v>
      </c>
      <c r="Z34" s="99" t="s">
        <v>196</v>
      </c>
      <c r="AA34" s="99" t="s">
        <v>195</v>
      </c>
      <c r="AB34" s="99" t="s">
        <v>195</v>
      </c>
      <c r="AC34" s="99" t="s">
        <v>195</v>
      </c>
      <c r="AD34" s="99" t="s">
        <v>195</v>
      </c>
      <c r="AE34" s="99" t="s">
        <v>195</v>
      </c>
      <c r="AF34" s="99" t="s">
        <v>195</v>
      </c>
      <c r="AG34" s="99" t="s">
        <v>195</v>
      </c>
      <c r="AH34" s="99" t="s">
        <v>195</v>
      </c>
      <c r="AI34" s="99" t="s">
        <v>194</v>
      </c>
      <c r="AJ34" s="99" t="s">
        <v>195</v>
      </c>
      <c r="AK34" s="99" t="s">
        <v>195</v>
      </c>
      <c r="AL34" s="99" t="s">
        <v>195</v>
      </c>
      <c r="AM34" s="99"/>
      <c r="AN34" s="99" t="s">
        <v>194</v>
      </c>
      <c r="AO34" s="99" t="s">
        <v>195</v>
      </c>
      <c r="AP34" s="99" t="s">
        <v>195</v>
      </c>
      <c r="AQ34" s="99" t="s">
        <v>195</v>
      </c>
      <c r="AR34" s="99" t="s">
        <v>195</v>
      </c>
      <c r="AS34" s="99" t="s">
        <v>195</v>
      </c>
      <c r="AT34" s="99" t="s">
        <v>195</v>
      </c>
      <c r="AU34" s="99" t="s">
        <v>195</v>
      </c>
      <c r="AV34" s="99" t="s">
        <v>195</v>
      </c>
      <c r="AW34" s="99" t="s">
        <v>195</v>
      </c>
      <c r="AX34" s="99" t="s">
        <v>195</v>
      </c>
      <c r="AY34" s="99"/>
      <c r="AZ34" s="99" t="s">
        <v>194</v>
      </c>
      <c r="BA34" s="99" t="s">
        <v>194</v>
      </c>
      <c r="BB34" s="99" t="s">
        <v>195</v>
      </c>
      <c r="BC34" s="99" t="s">
        <v>195</v>
      </c>
      <c r="BD34" s="99" t="s">
        <v>195</v>
      </c>
      <c r="BE34" s="99" t="s">
        <v>195</v>
      </c>
      <c r="BF34" s="99" t="s">
        <v>195</v>
      </c>
      <c r="BG34" s="99" t="s">
        <v>195</v>
      </c>
      <c r="BH34" s="99" t="s">
        <v>195</v>
      </c>
      <c r="BI34" s="99" t="s">
        <v>195</v>
      </c>
      <c r="BJ34" s="99" t="s">
        <v>195</v>
      </c>
      <c r="BK34" s="99" t="s">
        <v>195</v>
      </c>
      <c r="BL34" s="99" t="s">
        <v>195</v>
      </c>
      <c r="BM34" s="99" t="s">
        <v>195</v>
      </c>
      <c r="BN34" s="99" t="s">
        <v>195</v>
      </c>
      <c r="BO34" s="99" t="s">
        <v>195</v>
      </c>
      <c r="BP34" s="99" t="s">
        <v>195</v>
      </c>
      <c r="BQ34" s="99" t="s">
        <v>195</v>
      </c>
      <c r="BR34" s="99" t="s">
        <v>195</v>
      </c>
      <c r="BS34" s="99" t="s">
        <v>195</v>
      </c>
      <c r="BT34" s="99"/>
      <c r="BU34" s="99" t="s">
        <v>30</v>
      </c>
      <c r="BV34" s="99" t="s">
        <v>195</v>
      </c>
      <c r="BW34" s="99" t="s">
        <v>199</v>
      </c>
      <c r="BX34" s="99" t="s">
        <v>30</v>
      </c>
      <c r="BY34" s="99" t="s">
        <v>195</v>
      </c>
      <c r="BZ34" s="99" t="s">
        <v>195</v>
      </c>
      <c r="CA34" s="99" t="s">
        <v>195</v>
      </c>
      <c r="CB34" s="99"/>
      <c r="CC34" s="99" t="s">
        <v>207</v>
      </c>
      <c r="CD34" s="99"/>
      <c r="CE34" s="99" t="s">
        <v>198</v>
      </c>
      <c r="CF34" s="99"/>
      <c r="CG34" s="99"/>
      <c r="CH34" s="99"/>
      <c r="CI34" s="99" t="s">
        <v>194</v>
      </c>
      <c r="CJ34" s="99" t="s">
        <v>195</v>
      </c>
      <c r="CK34" s="99" t="s">
        <v>195</v>
      </c>
      <c r="CL34" s="99" t="s">
        <v>195</v>
      </c>
      <c r="CM34" s="99" t="s">
        <v>195</v>
      </c>
      <c r="CN34" s="99" t="s">
        <v>195</v>
      </c>
      <c r="CO34" s="99" t="s">
        <v>195</v>
      </c>
      <c r="CP34" s="99" t="s">
        <v>195</v>
      </c>
      <c r="CQ34" s="99" t="s">
        <v>195</v>
      </c>
      <c r="CR34" s="99" t="s">
        <v>195</v>
      </c>
      <c r="CS34" s="99" t="s">
        <v>195</v>
      </c>
      <c r="CT34" s="99" t="s">
        <v>195</v>
      </c>
      <c r="CU34" s="99" t="s">
        <v>195</v>
      </c>
      <c r="CV34" s="99" t="s">
        <v>195</v>
      </c>
      <c r="CW34" s="99" t="s">
        <v>195</v>
      </c>
      <c r="CX34" s="99" t="s">
        <v>195</v>
      </c>
      <c r="CY34" s="99" t="s">
        <v>195</v>
      </c>
      <c r="CZ34" s="99" t="s">
        <v>195</v>
      </c>
      <c r="DA34" s="99" t="s">
        <v>195</v>
      </c>
      <c r="DB34" s="99" t="s">
        <v>195</v>
      </c>
      <c r="DC34" s="99" t="s">
        <v>195</v>
      </c>
      <c r="DD34" s="99" t="s">
        <v>195</v>
      </c>
      <c r="DE34" s="99" t="s">
        <v>195</v>
      </c>
      <c r="DF34" s="99" t="s">
        <v>195</v>
      </c>
      <c r="DG34" s="99" t="s">
        <v>195</v>
      </c>
      <c r="DH34" s="99" t="s">
        <v>195</v>
      </c>
      <c r="DI34" s="99" t="s">
        <v>195</v>
      </c>
      <c r="DJ34" s="99" t="s">
        <v>195</v>
      </c>
      <c r="DK34" s="99"/>
      <c r="DL34" s="99" t="s">
        <v>194</v>
      </c>
      <c r="DM34" s="99" t="s">
        <v>195</v>
      </c>
      <c r="DN34" s="99" t="s">
        <v>195</v>
      </c>
      <c r="DO34" s="99" t="s">
        <v>195</v>
      </c>
      <c r="DP34" s="99" t="s">
        <v>195</v>
      </c>
      <c r="DQ34" s="99" t="s">
        <v>195</v>
      </c>
      <c r="DR34" s="99" t="s">
        <v>195</v>
      </c>
      <c r="DS34" s="99" t="s">
        <v>195</v>
      </c>
      <c r="DT34" s="99" t="s">
        <v>195</v>
      </c>
      <c r="DU34" s="99" t="s">
        <v>195</v>
      </c>
      <c r="DV34" s="99" t="s">
        <v>195</v>
      </c>
      <c r="DW34" s="99" t="s">
        <v>195</v>
      </c>
      <c r="DX34" s="99" t="s">
        <v>195</v>
      </c>
      <c r="DY34" s="99" t="s">
        <v>195</v>
      </c>
      <c r="DZ34" s="99" t="s">
        <v>195</v>
      </c>
      <c r="EA34" s="99"/>
      <c r="EB34" s="99" t="s">
        <v>194</v>
      </c>
      <c r="EC34" s="99" t="s">
        <v>195</v>
      </c>
      <c r="ED34" s="99" t="s">
        <v>195</v>
      </c>
      <c r="EE34" s="99" t="s">
        <v>195</v>
      </c>
      <c r="EF34" s="99" t="s">
        <v>195</v>
      </c>
      <c r="EG34" s="99" t="s">
        <v>195</v>
      </c>
      <c r="EH34" s="100" t="s">
        <v>195</v>
      </c>
    </row>
    <row r="35" spans="1:138" ht="23.25" customHeight="1" x14ac:dyDescent="0.25">
      <c r="A35" s="101" t="s">
        <v>17</v>
      </c>
      <c r="B35" s="90" t="s">
        <v>193</v>
      </c>
      <c r="C35" s="90" t="s">
        <v>198</v>
      </c>
      <c r="D35" s="90" t="s">
        <v>30</v>
      </c>
      <c r="E35" s="90" t="s">
        <v>201</v>
      </c>
      <c r="F35" s="90" t="s">
        <v>202</v>
      </c>
      <c r="G35" s="90" t="s">
        <v>201</v>
      </c>
      <c r="H35" s="90" t="s">
        <v>30</v>
      </c>
      <c r="I35" s="90" t="s">
        <v>30</v>
      </c>
      <c r="J35" s="90" t="s">
        <v>202</v>
      </c>
      <c r="K35" s="90" t="s">
        <v>201</v>
      </c>
      <c r="L35" s="90" t="s">
        <v>201</v>
      </c>
      <c r="M35" s="90" t="s">
        <v>201</v>
      </c>
      <c r="N35" s="90" t="s">
        <v>201</v>
      </c>
      <c r="O35" s="90" t="s">
        <v>30</v>
      </c>
      <c r="P35" s="90" t="s">
        <v>199</v>
      </c>
      <c r="Q35" s="90" t="s">
        <v>201</v>
      </c>
      <c r="R35" s="90" t="s">
        <v>201</v>
      </c>
      <c r="S35" s="90" t="s">
        <v>201</v>
      </c>
      <c r="T35" s="90"/>
      <c r="U35" s="90" t="s">
        <v>198</v>
      </c>
      <c r="V35" s="90" t="s">
        <v>206</v>
      </c>
      <c r="W35" s="90" t="s">
        <v>201</v>
      </c>
      <c r="X35" s="90" t="s">
        <v>201</v>
      </c>
      <c r="Y35" s="90" t="s">
        <v>201</v>
      </c>
      <c r="Z35" s="90" t="s">
        <v>196</v>
      </c>
      <c r="AA35" s="90" t="s">
        <v>201</v>
      </c>
      <c r="AB35" s="90" t="s">
        <v>201</v>
      </c>
      <c r="AC35" s="90" t="s">
        <v>201</v>
      </c>
      <c r="AD35" s="90" t="s">
        <v>201</v>
      </c>
      <c r="AE35" s="90" t="s">
        <v>195</v>
      </c>
      <c r="AF35" s="90" t="s">
        <v>195</v>
      </c>
      <c r="AG35" s="90" t="s">
        <v>195</v>
      </c>
      <c r="AH35" s="90" t="s">
        <v>195</v>
      </c>
      <c r="AI35" s="90" t="s">
        <v>198</v>
      </c>
      <c r="AJ35" s="90" t="s">
        <v>199</v>
      </c>
      <c r="AK35" s="90" t="s">
        <v>206</v>
      </c>
      <c r="AL35" s="90" t="s">
        <v>30</v>
      </c>
      <c r="AM35" s="90"/>
      <c r="AN35" s="90" t="s">
        <v>198</v>
      </c>
      <c r="AO35" s="90" t="s">
        <v>206</v>
      </c>
      <c r="AP35" s="90" t="s">
        <v>206</v>
      </c>
      <c r="AQ35" s="90" t="s">
        <v>206</v>
      </c>
      <c r="AR35" s="90" t="s">
        <v>201</v>
      </c>
      <c r="AS35" s="90" t="s">
        <v>201</v>
      </c>
      <c r="AT35" s="90" t="s">
        <v>199</v>
      </c>
      <c r="AU35" s="90" t="s">
        <v>199</v>
      </c>
      <c r="AV35" s="90" t="s">
        <v>30</v>
      </c>
      <c r="AW35" s="90" t="s">
        <v>199</v>
      </c>
      <c r="AX35" s="90" t="s">
        <v>201</v>
      </c>
      <c r="AY35" s="90"/>
      <c r="AZ35" s="90" t="s">
        <v>194</v>
      </c>
      <c r="BA35" s="90" t="s">
        <v>194</v>
      </c>
      <c r="BB35" s="90" t="s">
        <v>195</v>
      </c>
      <c r="BC35" s="90" t="s">
        <v>195</v>
      </c>
      <c r="BD35" s="90" t="s">
        <v>195</v>
      </c>
      <c r="BE35" s="90" t="s">
        <v>195</v>
      </c>
      <c r="BF35" s="90" t="s">
        <v>195</v>
      </c>
      <c r="BG35" s="90" t="s">
        <v>195</v>
      </c>
      <c r="BH35" s="90" t="s">
        <v>195</v>
      </c>
      <c r="BI35" s="90" t="s">
        <v>195</v>
      </c>
      <c r="BJ35" s="90" t="s">
        <v>195</v>
      </c>
      <c r="BK35" s="90" t="s">
        <v>195</v>
      </c>
      <c r="BL35" s="90" t="s">
        <v>195</v>
      </c>
      <c r="BM35" s="90" t="s">
        <v>195</v>
      </c>
      <c r="BN35" s="90" t="s">
        <v>195</v>
      </c>
      <c r="BO35" s="90" t="s">
        <v>195</v>
      </c>
      <c r="BP35" s="90" t="s">
        <v>195</v>
      </c>
      <c r="BQ35" s="90" t="s">
        <v>195</v>
      </c>
      <c r="BR35" s="90" t="s">
        <v>195</v>
      </c>
      <c r="BS35" s="90" t="s">
        <v>195</v>
      </c>
      <c r="BT35" s="90"/>
      <c r="BU35" s="90" t="s">
        <v>203</v>
      </c>
      <c r="BV35" s="90" t="s">
        <v>203</v>
      </c>
      <c r="BW35" s="90" t="s">
        <v>203</v>
      </c>
      <c r="BX35" s="90" t="s">
        <v>203</v>
      </c>
      <c r="BY35" s="90" t="s">
        <v>203</v>
      </c>
      <c r="BZ35" s="90" t="s">
        <v>203</v>
      </c>
      <c r="CA35" s="90" t="s">
        <v>203</v>
      </c>
      <c r="CB35" s="90"/>
      <c r="CC35" s="90" t="s">
        <v>197</v>
      </c>
      <c r="CD35" s="90"/>
      <c r="CE35" s="90" t="s">
        <v>198</v>
      </c>
      <c r="CF35" s="90"/>
      <c r="CG35" s="90"/>
      <c r="CH35" s="90"/>
      <c r="CI35" s="90" t="s">
        <v>198</v>
      </c>
      <c r="CJ35" s="90" t="s">
        <v>199</v>
      </c>
      <c r="CK35" s="90" t="s">
        <v>201</v>
      </c>
      <c r="CL35" s="90" t="s">
        <v>201</v>
      </c>
      <c r="CM35" s="90" t="s">
        <v>30</v>
      </c>
      <c r="CN35" s="90" t="s">
        <v>201</v>
      </c>
      <c r="CO35" s="90" t="s">
        <v>202</v>
      </c>
      <c r="CP35" s="90" t="s">
        <v>199</v>
      </c>
      <c r="CQ35" s="90" t="s">
        <v>30</v>
      </c>
      <c r="CR35" s="90" t="s">
        <v>206</v>
      </c>
      <c r="CS35" s="90" t="s">
        <v>202</v>
      </c>
      <c r="CT35" s="90" t="s">
        <v>30</v>
      </c>
      <c r="CU35" s="90" t="s">
        <v>202</v>
      </c>
      <c r="CV35" s="90" t="s">
        <v>202</v>
      </c>
      <c r="CW35" s="90" t="s">
        <v>202</v>
      </c>
      <c r="CX35" s="90" t="s">
        <v>30</v>
      </c>
      <c r="CY35" s="90" t="s">
        <v>199</v>
      </c>
      <c r="CZ35" s="90" t="s">
        <v>199</v>
      </c>
      <c r="DA35" s="90" t="s">
        <v>199</v>
      </c>
      <c r="DB35" s="90" t="s">
        <v>30</v>
      </c>
      <c r="DC35" s="90" t="s">
        <v>202</v>
      </c>
      <c r="DD35" s="90" t="s">
        <v>201</v>
      </c>
      <c r="DE35" s="90" t="s">
        <v>199</v>
      </c>
      <c r="DF35" s="90" t="s">
        <v>202</v>
      </c>
      <c r="DG35" s="90" t="s">
        <v>199</v>
      </c>
      <c r="DH35" s="90" t="s">
        <v>199</v>
      </c>
      <c r="DI35" s="90" t="s">
        <v>201</v>
      </c>
      <c r="DJ35" s="90" t="s">
        <v>201</v>
      </c>
      <c r="DK35" s="90"/>
      <c r="DL35" s="90" t="s">
        <v>194</v>
      </c>
      <c r="DM35" s="90" t="s">
        <v>195</v>
      </c>
      <c r="DN35" s="90" t="s">
        <v>195</v>
      </c>
      <c r="DO35" s="90" t="s">
        <v>195</v>
      </c>
      <c r="DP35" s="90" t="s">
        <v>195</v>
      </c>
      <c r="DQ35" s="90" t="s">
        <v>195</v>
      </c>
      <c r="DR35" s="90" t="s">
        <v>195</v>
      </c>
      <c r="DS35" s="90" t="s">
        <v>195</v>
      </c>
      <c r="DT35" s="90" t="s">
        <v>195</v>
      </c>
      <c r="DU35" s="90" t="s">
        <v>195</v>
      </c>
      <c r="DV35" s="90" t="s">
        <v>195</v>
      </c>
      <c r="DW35" s="90" t="s">
        <v>195</v>
      </c>
      <c r="DX35" s="90" t="s">
        <v>195</v>
      </c>
      <c r="DY35" s="90" t="s">
        <v>195</v>
      </c>
      <c r="DZ35" s="90" t="s">
        <v>195</v>
      </c>
      <c r="EA35" s="90"/>
      <c r="EB35" s="90" t="s">
        <v>194</v>
      </c>
      <c r="EC35" s="90" t="s">
        <v>195</v>
      </c>
      <c r="ED35" s="90" t="s">
        <v>195</v>
      </c>
      <c r="EE35" s="90" t="s">
        <v>195</v>
      </c>
      <c r="EF35" s="90" t="s">
        <v>195</v>
      </c>
      <c r="EG35" s="90" t="s">
        <v>195</v>
      </c>
      <c r="EH35" s="102" t="s">
        <v>195</v>
      </c>
    </row>
    <row r="36" spans="1:138" ht="23.25" customHeight="1" x14ac:dyDescent="0.25">
      <c r="A36" s="98" t="s">
        <v>17</v>
      </c>
      <c r="B36" s="99" t="s">
        <v>193</v>
      </c>
      <c r="C36" s="99" t="s">
        <v>198</v>
      </c>
      <c r="D36" s="99" t="s">
        <v>30</v>
      </c>
      <c r="E36" s="99" t="s">
        <v>30</v>
      </c>
      <c r="F36" s="99" t="s">
        <v>199</v>
      </c>
      <c r="G36" s="99" t="s">
        <v>199</v>
      </c>
      <c r="H36" s="99" t="s">
        <v>199</v>
      </c>
      <c r="I36" s="99" t="s">
        <v>199</v>
      </c>
      <c r="J36" s="99" t="s">
        <v>30</v>
      </c>
      <c r="K36" s="99" t="s">
        <v>30</v>
      </c>
      <c r="L36" s="99" t="s">
        <v>199</v>
      </c>
      <c r="M36" s="99" t="s">
        <v>30</v>
      </c>
      <c r="N36" s="99" t="s">
        <v>199</v>
      </c>
      <c r="O36" s="99" t="s">
        <v>199</v>
      </c>
      <c r="P36" s="99" t="s">
        <v>30</v>
      </c>
      <c r="Q36" s="99" t="s">
        <v>30</v>
      </c>
      <c r="R36" s="99" t="s">
        <v>199</v>
      </c>
      <c r="S36" s="99" t="s">
        <v>30</v>
      </c>
      <c r="T36" s="99"/>
      <c r="U36" s="99" t="s">
        <v>198</v>
      </c>
      <c r="V36" s="99" t="s">
        <v>202</v>
      </c>
      <c r="W36" s="99" t="s">
        <v>202</v>
      </c>
      <c r="X36" s="99" t="s">
        <v>30</v>
      </c>
      <c r="Y36" s="99" t="s">
        <v>199</v>
      </c>
      <c r="Z36" s="99" t="s">
        <v>196</v>
      </c>
      <c r="AA36" s="99" t="s">
        <v>202</v>
      </c>
      <c r="AB36" s="99" t="s">
        <v>206</v>
      </c>
      <c r="AC36" s="99" t="s">
        <v>30</v>
      </c>
      <c r="AD36" s="99" t="s">
        <v>202</v>
      </c>
      <c r="AE36" s="99" t="s">
        <v>195</v>
      </c>
      <c r="AF36" s="99" t="s">
        <v>195</v>
      </c>
      <c r="AG36" s="99" t="s">
        <v>195</v>
      </c>
      <c r="AH36" s="99" t="s">
        <v>195</v>
      </c>
      <c r="AI36" s="99" t="s">
        <v>198</v>
      </c>
      <c r="AJ36" s="99" t="s">
        <v>199</v>
      </c>
      <c r="AK36" s="99" t="s">
        <v>199</v>
      </c>
      <c r="AL36" s="99" t="s">
        <v>199</v>
      </c>
      <c r="AM36" s="99"/>
      <c r="AN36" s="99" t="s">
        <v>198</v>
      </c>
      <c r="AO36" s="99" t="s">
        <v>202</v>
      </c>
      <c r="AP36" s="99" t="s">
        <v>199</v>
      </c>
      <c r="AQ36" s="99" t="s">
        <v>199</v>
      </c>
      <c r="AR36" s="99" t="s">
        <v>199</v>
      </c>
      <c r="AS36" s="99" t="s">
        <v>30</v>
      </c>
      <c r="AT36" s="99" t="s">
        <v>30</v>
      </c>
      <c r="AU36" s="99" t="s">
        <v>199</v>
      </c>
      <c r="AV36" s="99" t="s">
        <v>30</v>
      </c>
      <c r="AW36" s="99" t="s">
        <v>30</v>
      </c>
      <c r="AX36" s="99" t="s">
        <v>202</v>
      </c>
      <c r="AY36" s="99"/>
      <c r="AZ36" s="99" t="s">
        <v>194</v>
      </c>
      <c r="BA36" s="99" t="s">
        <v>194</v>
      </c>
      <c r="BB36" s="99" t="s">
        <v>195</v>
      </c>
      <c r="BC36" s="99" t="s">
        <v>195</v>
      </c>
      <c r="BD36" s="99" t="s">
        <v>195</v>
      </c>
      <c r="BE36" s="99" t="s">
        <v>195</v>
      </c>
      <c r="BF36" s="99" t="s">
        <v>195</v>
      </c>
      <c r="BG36" s="99" t="s">
        <v>195</v>
      </c>
      <c r="BH36" s="99" t="s">
        <v>195</v>
      </c>
      <c r="BI36" s="99" t="s">
        <v>195</v>
      </c>
      <c r="BJ36" s="99" t="s">
        <v>195</v>
      </c>
      <c r="BK36" s="99" t="s">
        <v>195</v>
      </c>
      <c r="BL36" s="99" t="s">
        <v>195</v>
      </c>
      <c r="BM36" s="99" t="s">
        <v>195</v>
      </c>
      <c r="BN36" s="99" t="s">
        <v>195</v>
      </c>
      <c r="BO36" s="99" t="s">
        <v>195</v>
      </c>
      <c r="BP36" s="99" t="s">
        <v>195</v>
      </c>
      <c r="BQ36" s="99" t="s">
        <v>195</v>
      </c>
      <c r="BR36" s="99" t="s">
        <v>195</v>
      </c>
      <c r="BS36" s="99" t="s">
        <v>195</v>
      </c>
      <c r="BT36" s="99"/>
      <c r="BU36" s="99" t="s">
        <v>199</v>
      </c>
      <c r="BV36" s="99" t="s">
        <v>199</v>
      </c>
      <c r="BW36" s="99" t="s">
        <v>195</v>
      </c>
      <c r="BX36" s="99" t="s">
        <v>195</v>
      </c>
      <c r="BY36" s="99" t="s">
        <v>195</v>
      </c>
      <c r="BZ36" s="99" t="s">
        <v>195</v>
      </c>
      <c r="CA36" s="99" t="s">
        <v>199</v>
      </c>
      <c r="CB36" s="99"/>
      <c r="CC36" s="99" t="s">
        <v>197</v>
      </c>
      <c r="CD36" s="99"/>
      <c r="CE36" s="99" t="s">
        <v>194</v>
      </c>
      <c r="CF36" s="99"/>
      <c r="CG36" s="99"/>
      <c r="CH36" s="99"/>
      <c r="CI36" s="99" t="s">
        <v>198</v>
      </c>
      <c r="CJ36" s="99" t="s">
        <v>199</v>
      </c>
      <c r="CK36" s="99" t="s">
        <v>30</v>
      </c>
      <c r="CL36" s="99" t="s">
        <v>30</v>
      </c>
      <c r="CM36" s="99" t="s">
        <v>202</v>
      </c>
      <c r="CN36" s="99" t="s">
        <v>30</v>
      </c>
      <c r="CO36" s="99" t="s">
        <v>30</v>
      </c>
      <c r="CP36" s="99" t="s">
        <v>199</v>
      </c>
      <c r="CQ36" s="99" t="s">
        <v>200</v>
      </c>
      <c r="CR36" s="99" t="s">
        <v>202</v>
      </c>
      <c r="CS36" s="99" t="s">
        <v>200</v>
      </c>
      <c r="CT36" s="99" t="s">
        <v>200</v>
      </c>
      <c r="CU36" s="99" t="s">
        <v>199</v>
      </c>
      <c r="CV36" s="99" t="s">
        <v>199</v>
      </c>
      <c r="CW36" s="99" t="s">
        <v>199</v>
      </c>
      <c r="CX36" s="99" t="s">
        <v>30</v>
      </c>
      <c r="CY36" s="99" t="s">
        <v>200</v>
      </c>
      <c r="CZ36" s="99" t="s">
        <v>200</v>
      </c>
      <c r="DA36" s="99" t="s">
        <v>200</v>
      </c>
      <c r="DB36" s="99" t="s">
        <v>199</v>
      </c>
      <c r="DC36" s="99" t="s">
        <v>199</v>
      </c>
      <c r="DD36" s="99" t="s">
        <v>201</v>
      </c>
      <c r="DE36" s="99" t="s">
        <v>199</v>
      </c>
      <c r="DF36" s="99" t="s">
        <v>199</v>
      </c>
      <c r="DG36" s="99" t="s">
        <v>199</v>
      </c>
      <c r="DH36" s="99" t="s">
        <v>199</v>
      </c>
      <c r="DI36" s="99" t="s">
        <v>200</v>
      </c>
      <c r="DJ36" s="99" t="s">
        <v>200</v>
      </c>
      <c r="DK36" s="99"/>
      <c r="DL36" s="99" t="s">
        <v>194</v>
      </c>
      <c r="DM36" s="99" t="s">
        <v>195</v>
      </c>
      <c r="DN36" s="99" t="s">
        <v>195</v>
      </c>
      <c r="DO36" s="99" t="s">
        <v>195</v>
      </c>
      <c r="DP36" s="99" t="s">
        <v>195</v>
      </c>
      <c r="DQ36" s="99" t="s">
        <v>195</v>
      </c>
      <c r="DR36" s="99" t="s">
        <v>195</v>
      </c>
      <c r="DS36" s="99" t="s">
        <v>195</v>
      </c>
      <c r="DT36" s="99" t="s">
        <v>195</v>
      </c>
      <c r="DU36" s="99" t="s">
        <v>195</v>
      </c>
      <c r="DV36" s="99" t="s">
        <v>195</v>
      </c>
      <c r="DW36" s="99" t="s">
        <v>195</v>
      </c>
      <c r="DX36" s="99" t="s">
        <v>195</v>
      </c>
      <c r="DY36" s="99" t="s">
        <v>195</v>
      </c>
      <c r="DZ36" s="99" t="s">
        <v>195</v>
      </c>
      <c r="EA36" s="99"/>
      <c r="EB36" s="99" t="s">
        <v>194</v>
      </c>
      <c r="EC36" s="99" t="s">
        <v>195</v>
      </c>
      <c r="ED36" s="99" t="s">
        <v>195</v>
      </c>
      <c r="EE36" s="99" t="s">
        <v>195</v>
      </c>
      <c r="EF36" s="99" t="s">
        <v>195</v>
      </c>
      <c r="EG36" s="99" t="s">
        <v>195</v>
      </c>
      <c r="EH36" s="100" t="s">
        <v>195</v>
      </c>
    </row>
    <row r="37" spans="1:138" ht="23.25" customHeight="1" x14ac:dyDescent="0.25">
      <c r="A37" s="101" t="s">
        <v>17</v>
      </c>
      <c r="B37" s="90" t="s">
        <v>193</v>
      </c>
      <c r="C37" s="90" t="s">
        <v>198</v>
      </c>
      <c r="D37" s="90" t="s">
        <v>30</v>
      </c>
      <c r="E37" s="90" t="s">
        <v>30</v>
      </c>
      <c r="F37" s="90" t="s">
        <v>199</v>
      </c>
      <c r="G37" s="90" t="s">
        <v>199</v>
      </c>
      <c r="H37" s="90" t="s">
        <v>199</v>
      </c>
      <c r="I37" s="90" t="s">
        <v>199</v>
      </c>
      <c r="J37" s="90" t="s">
        <v>202</v>
      </c>
      <c r="K37" s="90" t="s">
        <v>201</v>
      </c>
      <c r="L37" s="90" t="s">
        <v>202</v>
      </c>
      <c r="M37" s="90" t="s">
        <v>206</v>
      </c>
      <c r="N37" s="90" t="s">
        <v>206</v>
      </c>
      <c r="O37" s="90" t="s">
        <v>206</v>
      </c>
      <c r="P37" s="90" t="s">
        <v>200</v>
      </c>
      <c r="Q37" s="90" t="s">
        <v>30</v>
      </c>
      <c r="R37" s="90" t="s">
        <v>30</v>
      </c>
      <c r="S37" s="90" t="s">
        <v>199</v>
      </c>
      <c r="T37" s="90"/>
      <c r="U37" s="90" t="s">
        <v>198</v>
      </c>
      <c r="V37" s="90" t="s">
        <v>201</v>
      </c>
      <c r="W37" s="90" t="s">
        <v>200</v>
      </c>
      <c r="X37" s="90" t="s">
        <v>199</v>
      </c>
      <c r="Y37" s="90" t="s">
        <v>200</v>
      </c>
      <c r="Z37" s="90" t="s">
        <v>196</v>
      </c>
      <c r="AA37" s="90" t="s">
        <v>199</v>
      </c>
      <c r="AB37" s="90" t="s">
        <v>199</v>
      </c>
      <c r="AC37" s="90" t="s">
        <v>201</v>
      </c>
      <c r="AD37" s="90" t="s">
        <v>200</v>
      </c>
      <c r="AE37" s="90" t="s">
        <v>195</v>
      </c>
      <c r="AF37" s="90" t="s">
        <v>195</v>
      </c>
      <c r="AG37" s="90" t="s">
        <v>195</v>
      </c>
      <c r="AH37" s="90" t="s">
        <v>195</v>
      </c>
      <c r="AI37" s="90" t="s">
        <v>198</v>
      </c>
      <c r="AJ37" s="90" t="s">
        <v>200</v>
      </c>
      <c r="AK37" s="90" t="s">
        <v>200</v>
      </c>
      <c r="AL37" s="90" t="s">
        <v>200</v>
      </c>
      <c r="AM37" s="90"/>
      <c r="AN37" s="90" t="s">
        <v>194</v>
      </c>
      <c r="AO37" s="90" t="s">
        <v>195</v>
      </c>
      <c r="AP37" s="90" t="s">
        <v>195</v>
      </c>
      <c r="AQ37" s="90" t="s">
        <v>195</v>
      </c>
      <c r="AR37" s="90" t="s">
        <v>195</v>
      </c>
      <c r="AS37" s="90" t="s">
        <v>195</v>
      </c>
      <c r="AT37" s="90" t="s">
        <v>195</v>
      </c>
      <c r="AU37" s="90" t="s">
        <v>195</v>
      </c>
      <c r="AV37" s="90" t="s">
        <v>195</v>
      </c>
      <c r="AW37" s="90" t="s">
        <v>195</v>
      </c>
      <c r="AX37" s="90" t="s">
        <v>195</v>
      </c>
      <c r="AY37" s="90"/>
      <c r="AZ37" s="90" t="s">
        <v>194</v>
      </c>
      <c r="BA37" s="90" t="s">
        <v>194</v>
      </c>
      <c r="BB37" s="90" t="s">
        <v>195</v>
      </c>
      <c r="BC37" s="90" t="s">
        <v>195</v>
      </c>
      <c r="BD37" s="90" t="s">
        <v>195</v>
      </c>
      <c r="BE37" s="90" t="s">
        <v>195</v>
      </c>
      <c r="BF37" s="90" t="s">
        <v>195</v>
      </c>
      <c r="BG37" s="90" t="s">
        <v>195</v>
      </c>
      <c r="BH37" s="90" t="s">
        <v>195</v>
      </c>
      <c r="BI37" s="90" t="s">
        <v>195</v>
      </c>
      <c r="BJ37" s="90" t="s">
        <v>195</v>
      </c>
      <c r="BK37" s="90" t="s">
        <v>195</v>
      </c>
      <c r="BL37" s="90" t="s">
        <v>195</v>
      </c>
      <c r="BM37" s="90" t="s">
        <v>195</v>
      </c>
      <c r="BN37" s="90" t="s">
        <v>195</v>
      </c>
      <c r="BO37" s="90" t="s">
        <v>195</v>
      </c>
      <c r="BP37" s="90" t="s">
        <v>195</v>
      </c>
      <c r="BQ37" s="90" t="s">
        <v>195</v>
      </c>
      <c r="BR37" s="90" t="s">
        <v>195</v>
      </c>
      <c r="BS37" s="90" t="s">
        <v>195</v>
      </c>
      <c r="BT37" s="90"/>
      <c r="BU37" s="90" t="s">
        <v>195</v>
      </c>
      <c r="BV37" s="90" t="s">
        <v>195</v>
      </c>
      <c r="BW37" s="90" t="s">
        <v>195</v>
      </c>
      <c r="BX37" s="90" t="s">
        <v>195</v>
      </c>
      <c r="BY37" s="90" t="s">
        <v>195</v>
      </c>
      <c r="BZ37" s="90" t="s">
        <v>195</v>
      </c>
      <c r="CA37" s="90" t="s">
        <v>199</v>
      </c>
      <c r="CB37" s="90"/>
      <c r="CC37" s="90" t="s">
        <v>207</v>
      </c>
      <c r="CD37" s="90"/>
      <c r="CE37" s="90" t="s">
        <v>198</v>
      </c>
      <c r="CF37" s="90"/>
      <c r="CG37" s="90"/>
      <c r="CH37" s="90"/>
      <c r="CI37" s="90" t="s">
        <v>198</v>
      </c>
      <c r="CJ37" s="90" t="s">
        <v>199</v>
      </c>
      <c r="CK37" s="90" t="s">
        <v>199</v>
      </c>
      <c r="CL37" s="90" t="s">
        <v>199</v>
      </c>
      <c r="CM37" s="90" t="s">
        <v>201</v>
      </c>
      <c r="CN37" s="90" t="s">
        <v>200</v>
      </c>
      <c r="CO37" s="90" t="s">
        <v>200</v>
      </c>
      <c r="CP37" s="90" t="s">
        <v>200</v>
      </c>
      <c r="CQ37" s="90" t="s">
        <v>199</v>
      </c>
      <c r="CR37" s="90" t="s">
        <v>30</v>
      </c>
      <c r="CS37" s="90" t="s">
        <v>199</v>
      </c>
      <c r="CT37" s="90" t="s">
        <v>200</v>
      </c>
      <c r="CU37" s="90" t="s">
        <v>200</v>
      </c>
      <c r="CV37" s="90" t="s">
        <v>200</v>
      </c>
      <c r="CW37" s="90" t="s">
        <v>200</v>
      </c>
      <c r="CX37" s="90" t="s">
        <v>201</v>
      </c>
      <c r="CY37" s="90" t="s">
        <v>199</v>
      </c>
      <c r="CZ37" s="90" t="s">
        <v>199</v>
      </c>
      <c r="DA37" s="90" t="s">
        <v>200</v>
      </c>
      <c r="DB37" s="90" t="s">
        <v>200</v>
      </c>
      <c r="DC37" s="90" t="s">
        <v>200</v>
      </c>
      <c r="DD37" s="90" t="s">
        <v>199</v>
      </c>
      <c r="DE37" s="90" t="s">
        <v>199</v>
      </c>
      <c r="DF37" s="90" t="s">
        <v>199</v>
      </c>
      <c r="DG37" s="90" t="s">
        <v>200</v>
      </c>
      <c r="DH37" s="90" t="s">
        <v>199</v>
      </c>
      <c r="DI37" s="90" t="s">
        <v>199</v>
      </c>
      <c r="DJ37" s="90" t="s">
        <v>201</v>
      </c>
      <c r="DK37" s="90"/>
      <c r="DL37" s="90" t="s">
        <v>194</v>
      </c>
      <c r="DM37" s="90" t="s">
        <v>195</v>
      </c>
      <c r="DN37" s="90" t="s">
        <v>195</v>
      </c>
      <c r="DO37" s="90" t="s">
        <v>195</v>
      </c>
      <c r="DP37" s="90" t="s">
        <v>195</v>
      </c>
      <c r="DQ37" s="90" t="s">
        <v>195</v>
      </c>
      <c r="DR37" s="90" t="s">
        <v>195</v>
      </c>
      <c r="DS37" s="90" t="s">
        <v>195</v>
      </c>
      <c r="DT37" s="90" t="s">
        <v>195</v>
      </c>
      <c r="DU37" s="90" t="s">
        <v>195</v>
      </c>
      <c r="DV37" s="90" t="s">
        <v>195</v>
      </c>
      <c r="DW37" s="90" t="s">
        <v>195</v>
      </c>
      <c r="DX37" s="90" t="s">
        <v>195</v>
      </c>
      <c r="DY37" s="90" t="s">
        <v>195</v>
      </c>
      <c r="DZ37" s="90" t="s">
        <v>195</v>
      </c>
      <c r="EA37" s="90"/>
      <c r="EB37" s="90" t="s">
        <v>198</v>
      </c>
      <c r="EC37" s="90" t="s">
        <v>199</v>
      </c>
      <c r="ED37" s="90" t="s">
        <v>201</v>
      </c>
      <c r="EE37" s="90" t="s">
        <v>201</v>
      </c>
      <c r="EF37" s="90" t="s">
        <v>201</v>
      </c>
      <c r="EG37" s="90" t="s">
        <v>201</v>
      </c>
      <c r="EH37" s="102" t="s">
        <v>201</v>
      </c>
    </row>
    <row r="38" spans="1:138" ht="23.25" customHeight="1" x14ac:dyDescent="0.25">
      <c r="A38" s="98" t="s">
        <v>17</v>
      </c>
      <c r="B38" s="99" t="s">
        <v>193</v>
      </c>
      <c r="C38" s="99" t="s">
        <v>194</v>
      </c>
      <c r="D38" s="99" t="s">
        <v>195</v>
      </c>
      <c r="E38" s="99" t="s">
        <v>195</v>
      </c>
      <c r="F38" s="99" t="s">
        <v>195</v>
      </c>
      <c r="G38" s="99" t="s">
        <v>195</v>
      </c>
      <c r="H38" s="99" t="s">
        <v>195</v>
      </c>
      <c r="I38" s="99" t="s">
        <v>195</v>
      </c>
      <c r="J38" s="99" t="s">
        <v>195</v>
      </c>
      <c r="K38" s="99" t="s">
        <v>195</v>
      </c>
      <c r="L38" s="99" t="s">
        <v>195</v>
      </c>
      <c r="M38" s="99" t="s">
        <v>195</v>
      </c>
      <c r="N38" s="99" t="s">
        <v>195</v>
      </c>
      <c r="O38" s="99" t="s">
        <v>195</v>
      </c>
      <c r="P38" s="99" t="s">
        <v>195</v>
      </c>
      <c r="Q38" s="99" t="s">
        <v>195</v>
      </c>
      <c r="R38" s="99" t="s">
        <v>195</v>
      </c>
      <c r="S38" s="99" t="s">
        <v>195</v>
      </c>
      <c r="T38" s="99"/>
      <c r="U38" s="99" t="s">
        <v>198</v>
      </c>
      <c r="V38" s="99" t="s">
        <v>199</v>
      </c>
      <c r="W38" s="99" t="s">
        <v>30</v>
      </c>
      <c r="X38" s="99" t="s">
        <v>30</v>
      </c>
      <c r="Y38" s="99" t="s">
        <v>199</v>
      </c>
      <c r="Z38" s="99" t="s">
        <v>208</v>
      </c>
      <c r="AA38" s="99" t="s">
        <v>199</v>
      </c>
      <c r="AB38" s="99" t="s">
        <v>202</v>
      </c>
      <c r="AC38" s="99" t="s">
        <v>30</v>
      </c>
      <c r="AD38" s="99" t="s">
        <v>30</v>
      </c>
      <c r="AE38" s="99" t="s">
        <v>195</v>
      </c>
      <c r="AF38" s="99" t="s">
        <v>195</v>
      </c>
      <c r="AG38" s="99" t="s">
        <v>195</v>
      </c>
      <c r="AH38" s="99" t="s">
        <v>195</v>
      </c>
      <c r="AI38" s="99" t="s">
        <v>198</v>
      </c>
      <c r="AJ38" s="99" t="s">
        <v>201</v>
      </c>
      <c r="AK38" s="99" t="s">
        <v>199</v>
      </c>
      <c r="AL38" s="99" t="s">
        <v>199</v>
      </c>
      <c r="AM38" s="99"/>
      <c r="AN38" s="99" t="s">
        <v>198</v>
      </c>
      <c r="AO38" s="99" t="s">
        <v>202</v>
      </c>
      <c r="AP38" s="99" t="s">
        <v>30</v>
      </c>
      <c r="AQ38" s="99" t="s">
        <v>30</v>
      </c>
      <c r="AR38" s="99" t="s">
        <v>199</v>
      </c>
      <c r="AS38" s="99" t="s">
        <v>199</v>
      </c>
      <c r="AT38" s="99" t="s">
        <v>199</v>
      </c>
      <c r="AU38" s="99" t="s">
        <v>202</v>
      </c>
      <c r="AV38" s="99" t="s">
        <v>202</v>
      </c>
      <c r="AW38" s="99" t="s">
        <v>202</v>
      </c>
      <c r="AX38" s="99" t="s">
        <v>199</v>
      </c>
      <c r="AY38" s="99"/>
      <c r="AZ38" s="99" t="s">
        <v>198</v>
      </c>
      <c r="BA38" s="99" t="s">
        <v>194</v>
      </c>
      <c r="BB38" s="99" t="s">
        <v>195</v>
      </c>
      <c r="BC38" s="99" t="s">
        <v>202</v>
      </c>
      <c r="BD38" s="99" t="s">
        <v>202</v>
      </c>
      <c r="BE38" s="99" t="s">
        <v>30</v>
      </c>
      <c r="BF38" s="99" t="s">
        <v>202</v>
      </c>
      <c r="BG38" s="99" t="s">
        <v>202</v>
      </c>
      <c r="BH38" s="99" t="s">
        <v>199</v>
      </c>
      <c r="BI38" s="99" t="s">
        <v>199</v>
      </c>
      <c r="BJ38" s="99" t="s">
        <v>206</v>
      </c>
      <c r="BK38" s="99" t="s">
        <v>30</v>
      </c>
      <c r="BL38" s="99" t="s">
        <v>200</v>
      </c>
      <c r="BM38" s="99" t="s">
        <v>199</v>
      </c>
      <c r="BN38" s="99" t="s">
        <v>199</v>
      </c>
      <c r="BO38" s="99" t="s">
        <v>30</v>
      </c>
      <c r="BP38" s="99" t="s">
        <v>199</v>
      </c>
      <c r="BQ38" s="99" t="s">
        <v>199</v>
      </c>
      <c r="BR38" s="99" t="s">
        <v>30</v>
      </c>
      <c r="BS38" s="99" t="s">
        <v>206</v>
      </c>
      <c r="BT38" s="99"/>
      <c r="BU38" s="99" t="s">
        <v>199</v>
      </c>
      <c r="BV38" s="99" t="s">
        <v>195</v>
      </c>
      <c r="BW38" s="99" t="s">
        <v>195</v>
      </c>
      <c r="BX38" s="99" t="s">
        <v>195</v>
      </c>
      <c r="BY38" s="99" t="s">
        <v>195</v>
      </c>
      <c r="BZ38" s="99" t="s">
        <v>195</v>
      </c>
      <c r="CA38" s="99" t="s">
        <v>199</v>
      </c>
      <c r="CB38" s="99"/>
      <c r="CC38" s="99" t="s">
        <v>204</v>
      </c>
      <c r="CD38" s="99"/>
      <c r="CE38" s="99" t="s">
        <v>194</v>
      </c>
      <c r="CF38" s="99"/>
      <c r="CG38" s="99"/>
      <c r="CH38" s="99"/>
      <c r="CI38" s="99" t="s">
        <v>198</v>
      </c>
      <c r="CJ38" s="99" t="s">
        <v>199</v>
      </c>
      <c r="CK38" s="99" t="s">
        <v>199</v>
      </c>
      <c r="CL38" s="99" t="s">
        <v>199</v>
      </c>
      <c r="CM38" s="99" t="s">
        <v>30</v>
      </c>
      <c r="CN38" s="99" t="s">
        <v>30</v>
      </c>
      <c r="CO38" s="99" t="s">
        <v>30</v>
      </c>
      <c r="CP38" s="99" t="s">
        <v>199</v>
      </c>
      <c r="CQ38" s="99" t="s">
        <v>30</v>
      </c>
      <c r="CR38" s="99" t="s">
        <v>206</v>
      </c>
      <c r="CS38" s="99" t="s">
        <v>30</v>
      </c>
      <c r="CT38" s="99" t="s">
        <v>199</v>
      </c>
      <c r="CU38" s="99" t="s">
        <v>30</v>
      </c>
      <c r="CV38" s="99" t="s">
        <v>199</v>
      </c>
      <c r="CW38" s="99" t="s">
        <v>199</v>
      </c>
      <c r="CX38" s="99" t="s">
        <v>199</v>
      </c>
      <c r="CY38" s="99" t="s">
        <v>30</v>
      </c>
      <c r="CZ38" s="99" t="s">
        <v>200</v>
      </c>
      <c r="DA38" s="99" t="s">
        <v>200</v>
      </c>
      <c r="DB38" s="99" t="s">
        <v>199</v>
      </c>
      <c r="DC38" s="99" t="s">
        <v>199</v>
      </c>
      <c r="DD38" s="99" t="s">
        <v>30</v>
      </c>
      <c r="DE38" s="99" t="s">
        <v>30</v>
      </c>
      <c r="DF38" s="99" t="s">
        <v>199</v>
      </c>
      <c r="DG38" s="99" t="s">
        <v>199</v>
      </c>
      <c r="DH38" s="99" t="s">
        <v>30</v>
      </c>
      <c r="DI38" s="99" t="s">
        <v>199</v>
      </c>
      <c r="DJ38" s="99" t="s">
        <v>30</v>
      </c>
      <c r="DK38" s="99"/>
      <c r="DL38" s="99" t="s">
        <v>198</v>
      </c>
      <c r="DM38" s="99" t="s">
        <v>200</v>
      </c>
      <c r="DN38" s="99" t="s">
        <v>200</v>
      </c>
      <c r="DO38" s="99" t="s">
        <v>202</v>
      </c>
      <c r="DP38" s="99" t="s">
        <v>199</v>
      </c>
      <c r="DQ38" s="99" t="s">
        <v>200</v>
      </c>
      <c r="DR38" s="99" t="s">
        <v>200</v>
      </c>
      <c r="DS38" s="99" t="s">
        <v>199</v>
      </c>
      <c r="DT38" s="99" t="s">
        <v>200</v>
      </c>
      <c r="DU38" s="99" t="s">
        <v>30</v>
      </c>
      <c r="DV38" s="99" t="s">
        <v>199</v>
      </c>
      <c r="DW38" s="99" t="s">
        <v>200</v>
      </c>
      <c r="DX38" s="99" t="s">
        <v>200</v>
      </c>
      <c r="DY38" s="99" t="s">
        <v>199</v>
      </c>
      <c r="DZ38" s="99" t="s">
        <v>199</v>
      </c>
      <c r="EA38" s="99"/>
      <c r="EB38" s="99" t="s">
        <v>194</v>
      </c>
      <c r="EC38" s="99" t="s">
        <v>195</v>
      </c>
      <c r="ED38" s="99" t="s">
        <v>195</v>
      </c>
      <c r="EE38" s="99" t="s">
        <v>195</v>
      </c>
      <c r="EF38" s="99" t="s">
        <v>195</v>
      </c>
      <c r="EG38" s="99" t="s">
        <v>195</v>
      </c>
      <c r="EH38" s="100" t="s">
        <v>195</v>
      </c>
    </row>
    <row r="39" spans="1:138" ht="23.25" customHeight="1" x14ac:dyDescent="0.25">
      <c r="A39" s="101" t="s">
        <v>17</v>
      </c>
      <c r="B39" s="90" t="s">
        <v>193</v>
      </c>
      <c r="C39" s="90" t="s">
        <v>198</v>
      </c>
      <c r="D39" s="90" t="s">
        <v>199</v>
      </c>
      <c r="E39" s="90" t="s">
        <v>30</v>
      </c>
      <c r="F39" s="90" t="s">
        <v>199</v>
      </c>
      <c r="G39" s="90" t="s">
        <v>30</v>
      </c>
      <c r="H39" s="90" t="s">
        <v>30</v>
      </c>
      <c r="I39" s="90" t="s">
        <v>30</v>
      </c>
      <c r="J39" s="90" t="s">
        <v>199</v>
      </c>
      <c r="K39" s="90" t="s">
        <v>30</v>
      </c>
      <c r="L39" s="90" t="s">
        <v>30</v>
      </c>
      <c r="M39" s="90" t="s">
        <v>202</v>
      </c>
      <c r="N39" s="90" t="s">
        <v>202</v>
      </c>
      <c r="O39" s="90" t="s">
        <v>199</v>
      </c>
      <c r="P39" s="90" t="s">
        <v>200</v>
      </c>
      <c r="Q39" s="90" t="s">
        <v>30</v>
      </c>
      <c r="R39" s="90" t="s">
        <v>30</v>
      </c>
      <c r="S39" s="90" t="s">
        <v>30</v>
      </c>
      <c r="T39" s="90"/>
      <c r="U39" s="90" t="s">
        <v>198</v>
      </c>
      <c r="V39" s="90" t="s">
        <v>202</v>
      </c>
      <c r="W39" s="90" t="s">
        <v>199</v>
      </c>
      <c r="X39" s="90" t="s">
        <v>30</v>
      </c>
      <c r="Y39" s="90" t="s">
        <v>30</v>
      </c>
      <c r="Z39" s="90" t="s">
        <v>208</v>
      </c>
      <c r="AA39" s="90" t="s">
        <v>30</v>
      </c>
      <c r="AB39" s="90" t="s">
        <v>30</v>
      </c>
      <c r="AC39" s="90" t="s">
        <v>30</v>
      </c>
      <c r="AD39" s="90" t="s">
        <v>30</v>
      </c>
      <c r="AE39" s="90" t="s">
        <v>195</v>
      </c>
      <c r="AF39" s="90" t="s">
        <v>195</v>
      </c>
      <c r="AG39" s="90" t="s">
        <v>195</v>
      </c>
      <c r="AH39" s="90" t="s">
        <v>195</v>
      </c>
      <c r="AI39" s="90" t="s">
        <v>198</v>
      </c>
      <c r="AJ39" s="90" t="s">
        <v>200</v>
      </c>
      <c r="AK39" s="90" t="s">
        <v>30</v>
      </c>
      <c r="AL39" s="90" t="s">
        <v>200</v>
      </c>
      <c r="AM39" s="90"/>
      <c r="AN39" s="90" t="s">
        <v>198</v>
      </c>
      <c r="AO39" s="90" t="s">
        <v>199</v>
      </c>
      <c r="AP39" s="90" t="s">
        <v>199</v>
      </c>
      <c r="AQ39" s="90" t="s">
        <v>199</v>
      </c>
      <c r="AR39" s="90" t="s">
        <v>199</v>
      </c>
      <c r="AS39" s="90" t="s">
        <v>202</v>
      </c>
      <c r="AT39" s="90" t="s">
        <v>200</v>
      </c>
      <c r="AU39" s="90" t="s">
        <v>200</v>
      </c>
      <c r="AV39" s="90" t="s">
        <v>200</v>
      </c>
      <c r="AW39" s="90" t="s">
        <v>200</v>
      </c>
      <c r="AX39" s="90" t="s">
        <v>199</v>
      </c>
      <c r="AY39" s="90"/>
      <c r="AZ39" s="90" t="s">
        <v>198</v>
      </c>
      <c r="BA39" s="90" t="s">
        <v>198</v>
      </c>
      <c r="BB39" s="90" t="s">
        <v>199</v>
      </c>
      <c r="BC39" s="90" t="s">
        <v>30</v>
      </c>
      <c r="BD39" s="90" t="s">
        <v>30</v>
      </c>
      <c r="BE39" s="90" t="s">
        <v>30</v>
      </c>
      <c r="BF39" s="90" t="s">
        <v>202</v>
      </c>
      <c r="BG39" s="90" t="s">
        <v>30</v>
      </c>
      <c r="BH39" s="90" t="s">
        <v>30</v>
      </c>
      <c r="BI39" s="90" t="s">
        <v>30</v>
      </c>
      <c r="BJ39" s="90" t="s">
        <v>30</v>
      </c>
      <c r="BK39" s="90" t="s">
        <v>202</v>
      </c>
      <c r="BL39" s="90" t="s">
        <v>200</v>
      </c>
      <c r="BM39" s="90" t="s">
        <v>200</v>
      </c>
      <c r="BN39" s="90" t="s">
        <v>206</v>
      </c>
      <c r="BO39" s="90" t="s">
        <v>206</v>
      </c>
      <c r="BP39" s="90" t="s">
        <v>199</v>
      </c>
      <c r="BQ39" s="90" t="s">
        <v>206</v>
      </c>
      <c r="BR39" s="90" t="s">
        <v>199</v>
      </c>
      <c r="BS39" s="90" t="s">
        <v>206</v>
      </c>
      <c r="BT39" s="90"/>
      <c r="BU39" s="90" t="s">
        <v>200</v>
      </c>
      <c r="BV39" s="90" t="s">
        <v>200</v>
      </c>
      <c r="BW39" s="90" t="s">
        <v>200</v>
      </c>
      <c r="BX39" s="90" t="s">
        <v>200</v>
      </c>
      <c r="BY39" s="90" t="s">
        <v>200</v>
      </c>
      <c r="BZ39" s="90" t="s">
        <v>200</v>
      </c>
      <c r="CA39" s="90" t="s">
        <v>200</v>
      </c>
      <c r="CB39" s="90"/>
      <c r="CC39" s="90" t="s">
        <v>205</v>
      </c>
      <c r="CD39" s="90"/>
      <c r="CE39" s="90" t="s">
        <v>198</v>
      </c>
      <c r="CF39" s="90"/>
      <c r="CG39" s="90"/>
      <c r="CH39" s="90"/>
      <c r="CI39" s="90" t="s">
        <v>198</v>
      </c>
      <c r="CJ39" s="90" t="s">
        <v>30</v>
      </c>
      <c r="CK39" s="90" t="s">
        <v>199</v>
      </c>
      <c r="CL39" s="90" t="s">
        <v>30</v>
      </c>
      <c r="CM39" s="90" t="s">
        <v>30</v>
      </c>
      <c r="CN39" s="90" t="s">
        <v>30</v>
      </c>
      <c r="CO39" s="90" t="s">
        <v>30</v>
      </c>
      <c r="CP39" s="90" t="s">
        <v>206</v>
      </c>
      <c r="CQ39" s="90" t="s">
        <v>199</v>
      </c>
      <c r="CR39" s="90" t="s">
        <v>202</v>
      </c>
      <c r="CS39" s="90" t="s">
        <v>30</v>
      </c>
      <c r="CT39" s="90" t="s">
        <v>200</v>
      </c>
      <c r="CU39" s="90" t="s">
        <v>200</v>
      </c>
      <c r="CV39" s="90" t="s">
        <v>30</v>
      </c>
      <c r="CW39" s="90" t="s">
        <v>199</v>
      </c>
      <c r="CX39" s="90" t="s">
        <v>202</v>
      </c>
      <c r="CY39" s="90" t="s">
        <v>199</v>
      </c>
      <c r="CZ39" s="90" t="s">
        <v>202</v>
      </c>
      <c r="DA39" s="90" t="s">
        <v>30</v>
      </c>
      <c r="DB39" s="90" t="s">
        <v>199</v>
      </c>
      <c r="DC39" s="90" t="s">
        <v>202</v>
      </c>
      <c r="DD39" s="90" t="s">
        <v>30</v>
      </c>
      <c r="DE39" s="90" t="s">
        <v>202</v>
      </c>
      <c r="DF39" s="90" t="s">
        <v>202</v>
      </c>
      <c r="DG39" s="90" t="s">
        <v>30</v>
      </c>
      <c r="DH39" s="90" t="s">
        <v>30</v>
      </c>
      <c r="DI39" s="90" t="s">
        <v>30</v>
      </c>
      <c r="DJ39" s="90" t="s">
        <v>30</v>
      </c>
      <c r="DK39" s="90"/>
      <c r="DL39" s="90" t="s">
        <v>194</v>
      </c>
      <c r="DM39" s="90" t="s">
        <v>195</v>
      </c>
      <c r="DN39" s="90" t="s">
        <v>195</v>
      </c>
      <c r="DO39" s="90" t="s">
        <v>195</v>
      </c>
      <c r="DP39" s="90" t="s">
        <v>195</v>
      </c>
      <c r="DQ39" s="90" t="s">
        <v>195</v>
      </c>
      <c r="DR39" s="90" t="s">
        <v>195</v>
      </c>
      <c r="DS39" s="90" t="s">
        <v>195</v>
      </c>
      <c r="DT39" s="90" t="s">
        <v>195</v>
      </c>
      <c r="DU39" s="90" t="s">
        <v>195</v>
      </c>
      <c r="DV39" s="90" t="s">
        <v>195</v>
      </c>
      <c r="DW39" s="90" t="s">
        <v>195</v>
      </c>
      <c r="DX39" s="90" t="s">
        <v>195</v>
      </c>
      <c r="DY39" s="90" t="s">
        <v>195</v>
      </c>
      <c r="DZ39" s="90" t="s">
        <v>195</v>
      </c>
      <c r="EA39" s="90"/>
      <c r="EB39" s="90" t="s">
        <v>194</v>
      </c>
      <c r="EC39" s="90" t="s">
        <v>195</v>
      </c>
      <c r="ED39" s="90" t="s">
        <v>195</v>
      </c>
      <c r="EE39" s="90" t="s">
        <v>195</v>
      </c>
      <c r="EF39" s="90" t="s">
        <v>195</v>
      </c>
      <c r="EG39" s="90" t="s">
        <v>195</v>
      </c>
      <c r="EH39" s="102" t="s">
        <v>195</v>
      </c>
    </row>
    <row r="40" spans="1:138" ht="23.25" customHeight="1" x14ac:dyDescent="0.25">
      <c r="A40" s="98" t="s">
        <v>16</v>
      </c>
      <c r="B40" s="99" t="s">
        <v>193</v>
      </c>
      <c r="C40" s="99" t="s">
        <v>194</v>
      </c>
      <c r="D40" s="99" t="s">
        <v>195</v>
      </c>
      <c r="E40" s="99" t="s">
        <v>195</v>
      </c>
      <c r="F40" s="99" t="s">
        <v>195</v>
      </c>
      <c r="G40" s="99" t="s">
        <v>195</v>
      </c>
      <c r="H40" s="99" t="s">
        <v>195</v>
      </c>
      <c r="I40" s="99" t="s">
        <v>195</v>
      </c>
      <c r="J40" s="99" t="s">
        <v>195</v>
      </c>
      <c r="K40" s="99" t="s">
        <v>195</v>
      </c>
      <c r="L40" s="99" t="s">
        <v>195</v>
      </c>
      <c r="M40" s="99" t="s">
        <v>195</v>
      </c>
      <c r="N40" s="99" t="s">
        <v>195</v>
      </c>
      <c r="O40" s="99" t="s">
        <v>195</v>
      </c>
      <c r="P40" s="99" t="s">
        <v>195</v>
      </c>
      <c r="Q40" s="99" t="s">
        <v>195</v>
      </c>
      <c r="R40" s="99" t="s">
        <v>195</v>
      </c>
      <c r="S40" s="99" t="s">
        <v>195</v>
      </c>
      <c r="T40" s="99"/>
      <c r="U40" s="99" t="s">
        <v>194</v>
      </c>
      <c r="V40" s="99" t="s">
        <v>195</v>
      </c>
      <c r="W40" s="99" t="s">
        <v>195</v>
      </c>
      <c r="X40" s="99" t="s">
        <v>195</v>
      </c>
      <c r="Y40" s="99" t="s">
        <v>195</v>
      </c>
      <c r="Z40" s="99" t="s">
        <v>196</v>
      </c>
      <c r="AA40" s="99" t="s">
        <v>195</v>
      </c>
      <c r="AB40" s="99" t="s">
        <v>195</v>
      </c>
      <c r="AC40" s="99" t="s">
        <v>195</v>
      </c>
      <c r="AD40" s="99" t="s">
        <v>195</v>
      </c>
      <c r="AE40" s="99" t="s">
        <v>195</v>
      </c>
      <c r="AF40" s="99" t="s">
        <v>195</v>
      </c>
      <c r="AG40" s="99" t="s">
        <v>195</v>
      </c>
      <c r="AH40" s="99" t="s">
        <v>195</v>
      </c>
      <c r="AI40" s="99" t="s">
        <v>194</v>
      </c>
      <c r="AJ40" s="99" t="s">
        <v>195</v>
      </c>
      <c r="AK40" s="99" t="s">
        <v>195</v>
      </c>
      <c r="AL40" s="99" t="s">
        <v>195</v>
      </c>
      <c r="AM40" s="99"/>
      <c r="AN40" s="99" t="s">
        <v>194</v>
      </c>
      <c r="AO40" s="99" t="s">
        <v>195</v>
      </c>
      <c r="AP40" s="99" t="s">
        <v>195</v>
      </c>
      <c r="AQ40" s="99" t="s">
        <v>195</v>
      </c>
      <c r="AR40" s="99" t="s">
        <v>195</v>
      </c>
      <c r="AS40" s="99" t="s">
        <v>195</v>
      </c>
      <c r="AT40" s="99" t="s">
        <v>195</v>
      </c>
      <c r="AU40" s="99" t="s">
        <v>195</v>
      </c>
      <c r="AV40" s="99" t="s">
        <v>195</v>
      </c>
      <c r="AW40" s="99" t="s">
        <v>195</v>
      </c>
      <c r="AX40" s="99" t="s">
        <v>195</v>
      </c>
      <c r="AY40" s="99"/>
      <c r="AZ40" s="99" t="s">
        <v>194</v>
      </c>
      <c r="BA40" s="99" t="s">
        <v>194</v>
      </c>
      <c r="BB40" s="99" t="s">
        <v>195</v>
      </c>
      <c r="BC40" s="99" t="s">
        <v>195</v>
      </c>
      <c r="BD40" s="99" t="s">
        <v>195</v>
      </c>
      <c r="BE40" s="99" t="s">
        <v>195</v>
      </c>
      <c r="BF40" s="99" t="s">
        <v>195</v>
      </c>
      <c r="BG40" s="99" t="s">
        <v>195</v>
      </c>
      <c r="BH40" s="99" t="s">
        <v>195</v>
      </c>
      <c r="BI40" s="99" t="s">
        <v>195</v>
      </c>
      <c r="BJ40" s="99" t="s">
        <v>195</v>
      </c>
      <c r="BK40" s="99" t="s">
        <v>195</v>
      </c>
      <c r="BL40" s="99" t="s">
        <v>195</v>
      </c>
      <c r="BM40" s="99" t="s">
        <v>195</v>
      </c>
      <c r="BN40" s="99" t="s">
        <v>195</v>
      </c>
      <c r="BO40" s="99" t="s">
        <v>195</v>
      </c>
      <c r="BP40" s="99" t="s">
        <v>195</v>
      </c>
      <c r="BQ40" s="99" t="s">
        <v>195</v>
      </c>
      <c r="BR40" s="99" t="s">
        <v>195</v>
      </c>
      <c r="BS40" s="99" t="s">
        <v>195</v>
      </c>
      <c r="BT40" s="99"/>
      <c r="BU40" s="99" t="s">
        <v>200</v>
      </c>
      <c r="BV40" s="99" t="s">
        <v>200</v>
      </c>
      <c r="BW40" s="99" t="s">
        <v>200</v>
      </c>
      <c r="BX40" s="99" t="s">
        <v>200</v>
      </c>
      <c r="BY40" s="99" t="s">
        <v>200</v>
      </c>
      <c r="BZ40" s="99" t="s">
        <v>200</v>
      </c>
      <c r="CA40" s="99" t="s">
        <v>200</v>
      </c>
      <c r="CB40" s="99"/>
      <c r="CC40" s="99" t="s">
        <v>205</v>
      </c>
      <c r="CD40" s="99"/>
      <c r="CE40" s="99" t="s">
        <v>198</v>
      </c>
      <c r="CF40" s="99"/>
      <c r="CG40" s="99"/>
      <c r="CH40" s="99"/>
      <c r="CI40" s="99" t="s">
        <v>194</v>
      </c>
      <c r="CJ40" s="99" t="s">
        <v>195</v>
      </c>
      <c r="CK40" s="99" t="s">
        <v>195</v>
      </c>
      <c r="CL40" s="99" t="s">
        <v>195</v>
      </c>
      <c r="CM40" s="99" t="s">
        <v>195</v>
      </c>
      <c r="CN40" s="99" t="s">
        <v>195</v>
      </c>
      <c r="CO40" s="99" t="s">
        <v>195</v>
      </c>
      <c r="CP40" s="99" t="s">
        <v>195</v>
      </c>
      <c r="CQ40" s="99" t="s">
        <v>195</v>
      </c>
      <c r="CR40" s="99" t="s">
        <v>195</v>
      </c>
      <c r="CS40" s="99" t="s">
        <v>195</v>
      </c>
      <c r="CT40" s="99" t="s">
        <v>195</v>
      </c>
      <c r="CU40" s="99" t="s">
        <v>195</v>
      </c>
      <c r="CV40" s="99" t="s">
        <v>195</v>
      </c>
      <c r="CW40" s="99" t="s">
        <v>195</v>
      </c>
      <c r="CX40" s="99" t="s">
        <v>195</v>
      </c>
      <c r="CY40" s="99" t="s">
        <v>195</v>
      </c>
      <c r="CZ40" s="99" t="s">
        <v>195</v>
      </c>
      <c r="DA40" s="99" t="s">
        <v>195</v>
      </c>
      <c r="DB40" s="99" t="s">
        <v>195</v>
      </c>
      <c r="DC40" s="99" t="s">
        <v>195</v>
      </c>
      <c r="DD40" s="99" t="s">
        <v>195</v>
      </c>
      <c r="DE40" s="99" t="s">
        <v>195</v>
      </c>
      <c r="DF40" s="99" t="s">
        <v>195</v>
      </c>
      <c r="DG40" s="99" t="s">
        <v>195</v>
      </c>
      <c r="DH40" s="99" t="s">
        <v>195</v>
      </c>
      <c r="DI40" s="99" t="s">
        <v>195</v>
      </c>
      <c r="DJ40" s="99" t="s">
        <v>195</v>
      </c>
      <c r="DK40" s="99"/>
      <c r="DL40" s="99" t="s">
        <v>194</v>
      </c>
      <c r="DM40" s="99" t="s">
        <v>195</v>
      </c>
      <c r="DN40" s="99" t="s">
        <v>195</v>
      </c>
      <c r="DO40" s="99" t="s">
        <v>195</v>
      </c>
      <c r="DP40" s="99" t="s">
        <v>195</v>
      </c>
      <c r="DQ40" s="99" t="s">
        <v>195</v>
      </c>
      <c r="DR40" s="99" t="s">
        <v>195</v>
      </c>
      <c r="DS40" s="99" t="s">
        <v>195</v>
      </c>
      <c r="DT40" s="99" t="s">
        <v>195</v>
      </c>
      <c r="DU40" s="99" t="s">
        <v>195</v>
      </c>
      <c r="DV40" s="99" t="s">
        <v>195</v>
      </c>
      <c r="DW40" s="99" t="s">
        <v>195</v>
      </c>
      <c r="DX40" s="99" t="s">
        <v>195</v>
      </c>
      <c r="DY40" s="99" t="s">
        <v>195</v>
      </c>
      <c r="DZ40" s="99" t="s">
        <v>195</v>
      </c>
      <c r="EA40" s="99"/>
      <c r="EB40" s="99" t="s">
        <v>194</v>
      </c>
      <c r="EC40" s="99" t="s">
        <v>195</v>
      </c>
      <c r="ED40" s="99" t="s">
        <v>195</v>
      </c>
      <c r="EE40" s="99" t="s">
        <v>195</v>
      </c>
      <c r="EF40" s="99" t="s">
        <v>195</v>
      </c>
      <c r="EG40" s="99" t="s">
        <v>195</v>
      </c>
      <c r="EH40" s="100" t="s">
        <v>195</v>
      </c>
    </row>
    <row r="41" spans="1:138" ht="23.25" customHeight="1" x14ac:dyDescent="0.25">
      <c r="A41" s="101" t="s">
        <v>16</v>
      </c>
      <c r="B41" s="90" t="s">
        <v>193</v>
      </c>
      <c r="C41" s="90" t="s">
        <v>194</v>
      </c>
      <c r="D41" s="90" t="s">
        <v>195</v>
      </c>
      <c r="E41" s="90" t="s">
        <v>195</v>
      </c>
      <c r="F41" s="90" t="s">
        <v>195</v>
      </c>
      <c r="G41" s="90" t="s">
        <v>195</v>
      </c>
      <c r="H41" s="90" t="s">
        <v>195</v>
      </c>
      <c r="I41" s="90" t="s">
        <v>195</v>
      </c>
      <c r="J41" s="90" t="s">
        <v>195</v>
      </c>
      <c r="K41" s="90" t="s">
        <v>195</v>
      </c>
      <c r="L41" s="90" t="s">
        <v>195</v>
      </c>
      <c r="M41" s="90" t="s">
        <v>195</v>
      </c>
      <c r="N41" s="90" t="s">
        <v>195</v>
      </c>
      <c r="O41" s="90" t="s">
        <v>195</v>
      </c>
      <c r="P41" s="90" t="s">
        <v>195</v>
      </c>
      <c r="Q41" s="90" t="s">
        <v>195</v>
      </c>
      <c r="R41" s="90" t="s">
        <v>195</v>
      </c>
      <c r="S41" s="90" t="s">
        <v>195</v>
      </c>
      <c r="T41" s="90"/>
      <c r="U41" s="90" t="s">
        <v>194</v>
      </c>
      <c r="V41" s="90" t="s">
        <v>195</v>
      </c>
      <c r="W41" s="90" t="s">
        <v>195</v>
      </c>
      <c r="X41" s="90" t="s">
        <v>195</v>
      </c>
      <c r="Y41" s="90" t="s">
        <v>195</v>
      </c>
      <c r="Z41" s="90" t="s">
        <v>196</v>
      </c>
      <c r="AA41" s="90" t="s">
        <v>195</v>
      </c>
      <c r="AB41" s="90" t="s">
        <v>195</v>
      </c>
      <c r="AC41" s="90" t="s">
        <v>195</v>
      </c>
      <c r="AD41" s="90" t="s">
        <v>195</v>
      </c>
      <c r="AE41" s="90" t="s">
        <v>195</v>
      </c>
      <c r="AF41" s="90" t="s">
        <v>195</v>
      </c>
      <c r="AG41" s="90" t="s">
        <v>195</v>
      </c>
      <c r="AH41" s="90" t="s">
        <v>195</v>
      </c>
      <c r="AI41" s="90" t="s">
        <v>194</v>
      </c>
      <c r="AJ41" s="90" t="s">
        <v>195</v>
      </c>
      <c r="AK41" s="90" t="s">
        <v>195</v>
      </c>
      <c r="AL41" s="90" t="s">
        <v>195</v>
      </c>
      <c r="AM41" s="90"/>
      <c r="AN41" s="90" t="s">
        <v>194</v>
      </c>
      <c r="AO41" s="90" t="s">
        <v>195</v>
      </c>
      <c r="AP41" s="90" t="s">
        <v>195</v>
      </c>
      <c r="AQ41" s="90" t="s">
        <v>195</v>
      </c>
      <c r="AR41" s="90" t="s">
        <v>195</v>
      </c>
      <c r="AS41" s="90" t="s">
        <v>195</v>
      </c>
      <c r="AT41" s="90" t="s">
        <v>195</v>
      </c>
      <c r="AU41" s="90" t="s">
        <v>195</v>
      </c>
      <c r="AV41" s="90" t="s">
        <v>195</v>
      </c>
      <c r="AW41" s="90" t="s">
        <v>195</v>
      </c>
      <c r="AX41" s="90" t="s">
        <v>195</v>
      </c>
      <c r="AY41" s="90"/>
      <c r="AZ41" s="90" t="s">
        <v>194</v>
      </c>
      <c r="BA41" s="90" t="s">
        <v>194</v>
      </c>
      <c r="BB41" s="90" t="s">
        <v>195</v>
      </c>
      <c r="BC41" s="90" t="s">
        <v>195</v>
      </c>
      <c r="BD41" s="90" t="s">
        <v>195</v>
      </c>
      <c r="BE41" s="90" t="s">
        <v>195</v>
      </c>
      <c r="BF41" s="90" t="s">
        <v>195</v>
      </c>
      <c r="BG41" s="90" t="s">
        <v>195</v>
      </c>
      <c r="BH41" s="90" t="s">
        <v>195</v>
      </c>
      <c r="BI41" s="90" t="s">
        <v>195</v>
      </c>
      <c r="BJ41" s="90" t="s">
        <v>195</v>
      </c>
      <c r="BK41" s="90" t="s">
        <v>195</v>
      </c>
      <c r="BL41" s="90" t="s">
        <v>195</v>
      </c>
      <c r="BM41" s="90" t="s">
        <v>195</v>
      </c>
      <c r="BN41" s="90" t="s">
        <v>195</v>
      </c>
      <c r="BO41" s="90" t="s">
        <v>195</v>
      </c>
      <c r="BP41" s="90" t="s">
        <v>195</v>
      </c>
      <c r="BQ41" s="90" t="s">
        <v>195</v>
      </c>
      <c r="BR41" s="90" t="s">
        <v>195</v>
      </c>
      <c r="BS41" s="90" t="s">
        <v>195</v>
      </c>
      <c r="BT41" s="90"/>
      <c r="BU41" s="90" t="s">
        <v>200</v>
      </c>
      <c r="BV41" s="90" t="s">
        <v>200</v>
      </c>
      <c r="BW41" s="90" t="s">
        <v>200</v>
      </c>
      <c r="BX41" s="90" t="s">
        <v>200</v>
      </c>
      <c r="BY41" s="90" t="s">
        <v>200</v>
      </c>
      <c r="BZ41" s="90" t="s">
        <v>200</v>
      </c>
      <c r="CA41" s="90" t="s">
        <v>200</v>
      </c>
      <c r="CB41" s="90"/>
      <c r="CC41" s="90" t="s">
        <v>197</v>
      </c>
      <c r="CD41" s="90"/>
      <c r="CE41" s="90" t="s">
        <v>198</v>
      </c>
      <c r="CF41" s="90"/>
      <c r="CG41" s="90"/>
      <c r="CH41" s="90"/>
      <c r="CI41" s="90" t="s">
        <v>194</v>
      </c>
      <c r="CJ41" s="90" t="s">
        <v>195</v>
      </c>
      <c r="CK41" s="90" t="s">
        <v>195</v>
      </c>
      <c r="CL41" s="90" t="s">
        <v>195</v>
      </c>
      <c r="CM41" s="90" t="s">
        <v>195</v>
      </c>
      <c r="CN41" s="90" t="s">
        <v>195</v>
      </c>
      <c r="CO41" s="90" t="s">
        <v>195</v>
      </c>
      <c r="CP41" s="90" t="s">
        <v>195</v>
      </c>
      <c r="CQ41" s="90" t="s">
        <v>195</v>
      </c>
      <c r="CR41" s="90" t="s">
        <v>195</v>
      </c>
      <c r="CS41" s="90" t="s">
        <v>195</v>
      </c>
      <c r="CT41" s="90" t="s">
        <v>195</v>
      </c>
      <c r="CU41" s="90" t="s">
        <v>195</v>
      </c>
      <c r="CV41" s="90" t="s">
        <v>195</v>
      </c>
      <c r="CW41" s="90" t="s">
        <v>195</v>
      </c>
      <c r="CX41" s="90" t="s">
        <v>195</v>
      </c>
      <c r="CY41" s="90" t="s">
        <v>195</v>
      </c>
      <c r="CZ41" s="90" t="s">
        <v>195</v>
      </c>
      <c r="DA41" s="90" t="s">
        <v>195</v>
      </c>
      <c r="DB41" s="90" t="s">
        <v>195</v>
      </c>
      <c r="DC41" s="90" t="s">
        <v>195</v>
      </c>
      <c r="DD41" s="90" t="s">
        <v>195</v>
      </c>
      <c r="DE41" s="90" t="s">
        <v>195</v>
      </c>
      <c r="DF41" s="90" t="s">
        <v>195</v>
      </c>
      <c r="DG41" s="90" t="s">
        <v>195</v>
      </c>
      <c r="DH41" s="90" t="s">
        <v>195</v>
      </c>
      <c r="DI41" s="90" t="s">
        <v>195</v>
      </c>
      <c r="DJ41" s="90" t="s">
        <v>195</v>
      </c>
      <c r="DK41" s="90"/>
      <c r="DL41" s="90" t="s">
        <v>194</v>
      </c>
      <c r="DM41" s="90" t="s">
        <v>195</v>
      </c>
      <c r="DN41" s="90" t="s">
        <v>195</v>
      </c>
      <c r="DO41" s="90" t="s">
        <v>195</v>
      </c>
      <c r="DP41" s="90" t="s">
        <v>195</v>
      </c>
      <c r="DQ41" s="90" t="s">
        <v>195</v>
      </c>
      <c r="DR41" s="90" t="s">
        <v>195</v>
      </c>
      <c r="DS41" s="90" t="s">
        <v>195</v>
      </c>
      <c r="DT41" s="90" t="s">
        <v>195</v>
      </c>
      <c r="DU41" s="90" t="s">
        <v>195</v>
      </c>
      <c r="DV41" s="90" t="s">
        <v>195</v>
      </c>
      <c r="DW41" s="90" t="s">
        <v>195</v>
      </c>
      <c r="DX41" s="90" t="s">
        <v>195</v>
      </c>
      <c r="DY41" s="90" t="s">
        <v>195</v>
      </c>
      <c r="DZ41" s="90" t="s">
        <v>195</v>
      </c>
      <c r="EA41" s="90"/>
      <c r="EB41" s="90" t="s">
        <v>194</v>
      </c>
      <c r="EC41" s="90" t="s">
        <v>195</v>
      </c>
      <c r="ED41" s="90" t="s">
        <v>195</v>
      </c>
      <c r="EE41" s="90" t="s">
        <v>195</v>
      </c>
      <c r="EF41" s="90" t="s">
        <v>195</v>
      </c>
      <c r="EG41" s="90" t="s">
        <v>195</v>
      </c>
      <c r="EH41" s="102" t="s">
        <v>195</v>
      </c>
    </row>
    <row r="42" spans="1:138" ht="23.25" customHeight="1" x14ac:dyDescent="0.25">
      <c r="A42" s="98" t="s">
        <v>17</v>
      </c>
      <c r="B42" s="99" t="s">
        <v>193</v>
      </c>
      <c r="C42" s="99" t="s">
        <v>198</v>
      </c>
      <c r="D42" s="99" t="s">
        <v>199</v>
      </c>
      <c r="E42" s="99" t="s">
        <v>199</v>
      </c>
      <c r="F42" s="99" t="s">
        <v>199</v>
      </c>
      <c r="G42" s="99" t="s">
        <v>201</v>
      </c>
      <c r="H42" s="99" t="s">
        <v>199</v>
      </c>
      <c r="I42" s="99" t="s">
        <v>199</v>
      </c>
      <c r="J42" s="99" t="s">
        <v>201</v>
      </c>
      <c r="K42" s="99" t="s">
        <v>201</v>
      </c>
      <c r="L42" s="99" t="s">
        <v>201</v>
      </c>
      <c r="M42" s="99" t="s">
        <v>30</v>
      </c>
      <c r="N42" s="99" t="s">
        <v>30</v>
      </c>
      <c r="O42" s="99" t="s">
        <v>199</v>
      </c>
      <c r="P42" s="99" t="s">
        <v>200</v>
      </c>
      <c r="Q42" s="99" t="s">
        <v>201</v>
      </c>
      <c r="R42" s="99" t="s">
        <v>201</v>
      </c>
      <c r="S42" s="99" t="s">
        <v>199</v>
      </c>
      <c r="T42" s="99"/>
      <c r="U42" s="99" t="s">
        <v>198</v>
      </c>
      <c r="V42" s="99" t="s">
        <v>201</v>
      </c>
      <c r="W42" s="99" t="s">
        <v>200</v>
      </c>
      <c r="X42" s="99" t="s">
        <v>201</v>
      </c>
      <c r="Y42" s="99" t="s">
        <v>200</v>
      </c>
      <c r="Z42" s="99" t="s">
        <v>208</v>
      </c>
      <c r="AA42" s="99" t="s">
        <v>199</v>
      </c>
      <c r="AB42" s="99" t="s">
        <v>199</v>
      </c>
      <c r="AC42" s="99" t="s">
        <v>201</v>
      </c>
      <c r="AD42" s="99" t="s">
        <v>199</v>
      </c>
      <c r="AE42" s="99" t="s">
        <v>195</v>
      </c>
      <c r="AF42" s="99" t="s">
        <v>195</v>
      </c>
      <c r="AG42" s="99" t="s">
        <v>195</v>
      </c>
      <c r="AH42" s="99" t="s">
        <v>195</v>
      </c>
      <c r="AI42" s="99" t="s">
        <v>198</v>
      </c>
      <c r="AJ42" s="99" t="s">
        <v>200</v>
      </c>
      <c r="AK42" s="99" t="s">
        <v>30</v>
      </c>
      <c r="AL42" s="99" t="s">
        <v>200</v>
      </c>
      <c r="AM42" s="99"/>
      <c r="AN42" s="99" t="s">
        <v>198</v>
      </c>
      <c r="AO42" s="99" t="s">
        <v>199</v>
      </c>
      <c r="AP42" s="99" t="s">
        <v>200</v>
      </c>
      <c r="AQ42" s="99" t="s">
        <v>199</v>
      </c>
      <c r="AR42" s="99" t="s">
        <v>199</v>
      </c>
      <c r="AS42" s="99" t="s">
        <v>30</v>
      </c>
      <c r="AT42" s="99" t="s">
        <v>199</v>
      </c>
      <c r="AU42" s="99" t="s">
        <v>199</v>
      </c>
      <c r="AV42" s="99" t="s">
        <v>199</v>
      </c>
      <c r="AW42" s="99" t="s">
        <v>199</v>
      </c>
      <c r="AX42" s="99" t="s">
        <v>199</v>
      </c>
      <c r="AY42" s="99"/>
      <c r="AZ42" s="99" t="s">
        <v>194</v>
      </c>
      <c r="BA42" s="99" t="s">
        <v>194</v>
      </c>
      <c r="BB42" s="99" t="s">
        <v>195</v>
      </c>
      <c r="BC42" s="99" t="s">
        <v>195</v>
      </c>
      <c r="BD42" s="99" t="s">
        <v>195</v>
      </c>
      <c r="BE42" s="99" t="s">
        <v>195</v>
      </c>
      <c r="BF42" s="99" t="s">
        <v>195</v>
      </c>
      <c r="BG42" s="99" t="s">
        <v>195</v>
      </c>
      <c r="BH42" s="99" t="s">
        <v>195</v>
      </c>
      <c r="BI42" s="99" t="s">
        <v>195</v>
      </c>
      <c r="BJ42" s="99" t="s">
        <v>195</v>
      </c>
      <c r="BK42" s="99" t="s">
        <v>195</v>
      </c>
      <c r="BL42" s="99" t="s">
        <v>195</v>
      </c>
      <c r="BM42" s="99" t="s">
        <v>195</v>
      </c>
      <c r="BN42" s="99" t="s">
        <v>195</v>
      </c>
      <c r="BO42" s="99" t="s">
        <v>195</v>
      </c>
      <c r="BP42" s="99" t="s">
        <v>195</v>
      </c>
      <c r="BQ42" s="99" t="s">
        <v>195</v>
      </c>
      <c r="BR42" s="99" t="s">
        <v>195</v>
      </c>
      <c r="BS42" s="99" t="s">
        <v>195</v>
      </c>
      <c r="BT42" s="99"/>
      <c r="BU42" s="99" t="s">
        <v>203</v>
      </c>
      <c r="BV42" s="99" t="s">
        <v>203</v>
      </c>
      <c r="BW42" s="99" t="s">
        <v>203</v>
      </c>
      <c r="BX42" s="99" t="s">
        <v>203</v>
      </c>
      <c r="BY42" s="99" t="s">
        <v>203</v>
      </c>
      <c r="BZ42" s="99" t="s">
        <v>203</v>
      </c>
      <c r="CA42" s="99" t="s">
        <v>203</v>
      </c>
      <c r="CB42" s="99"/>
      <c r="CC42" s="99" t="s">
        <v>207</v>
      </c>
      <c r="CD42" s="99"/>
      <c r="CE42" s="99" t="s">
        <v>198</v>
      </c>
      <c r="CF42" s="99"/>
      <c r="CG42" s="99"/>
      <c r="CH42" s="99"/>
      <c r="CI42" s="99" t="s">
        <v>198</v>
      </c>
      <c r="CJ42" s="99" t="s">
        <v>200</v>
      </c>
      <c r="CK42" s="99" t="s">
        <v>199</v>
      </c>
      <c r="CL42" s="99" t="s">
        <v>199</v>
      </c>
      <c r="CM42" s="99" t="s">
        <v>199</v>
      </c>
      <c r="CN42" s="99" t="s">
        <v>199</v>
      </c>
      <c r="CO42" s="99" t="s">
        <v>199</v>
      </c>
      <c r="CP42" s="99" t="s">
        <v>200</v>
      </c>
      <c r="CQ42" s="99" t="s">
        <v>200</v>
      </c>
      <c r="CR42" s="99" t="s">
        <v>199</v>
      </c>
      <c r="CS42" s="99" t="s">
        <v>199</v>
      </c>
      <c r="CT42" s="99" t="s">
        <v>200</v>
      </c>
      <c r="CU42" s="99" t="s">
        <v>200</v>
      </c>
      <c r="CV42" s="99" t="s">
        <v>199</v>
      </c>
      <c r="CW42" s="99" t="s">
        <v>200</v>
      </c>
      <c r="CX42" s="99" t="s">
        <v>201</v>
      </c>
      <c r="CY42" s="99" t="s">
        <v>200</v>
      </c>
      <c r="CZ42" s="99" t="s">
        <v>200</v>
      </c>
      <c r="DA42" s="99" t="s">
        <v>200</v>
      </c>
      <c r="DB42" s="99" t="s">
        <v>200</v>
      </c>
      <c r="DC42" s="99" t="s">
        <v>200</v>
      </c>
      <c r="DD42" s="99" t="s">
        <v>199</v>
      </c>
      <c r="DE42" s="99" t="s">
        <v>200</v>
      </c>
      <c r="DF42" s="99" t="s">
        <v>200</v>
      </c>
      <c r="DG42" s="99" t="s">
        <v>199</v>
      </c>
      <c r="DH42" s="99" t="s">
        <v>199</v>
      </c>
      <c r="DI42" s="99" t="s">
        <v>199</v>
      </c>
      <c r="DJ42" s="99" t="s">
        <v>201</v>
      </c>
      <c r="DK42" s="99"/>
      <c r="DL42" s="99" t="s">
        <v>194</v>
      </c>
      <c r="DM42" s="99" t="s">
        <v>195</v>
      </c>
      <c r="DN42" s="99" t="s">
        <v>195</v>
      </c>
      <c r="DO42" s="99" t="s">
        <v>195</v>
      </c>
      <c r="DP42" s="99" t="s">
        <v>195</v>
      </c>
      <c r="DQ42" s="99" t="s">
        <v>195</v>
      </c>
      <c r="DR42" s="99" t="s">
        <v>195</v>
      </c>
      <c r="DS42" s="99" t="s">
        <v>195</v>
      </c>
      <c r="DT42" s="99" t="s">
        <v>195</v>
      </c>
      <c r="DU42" s="99" t="s">
        <v>195</v>
      </c>
      <c r="DV42" s="99" t="s">
        <v>195</v>
      </c>
      <c r="DW42" s="99" t="s">
        <v>195</v>
      </c>
      <c r="DX42" s="99" t="s">
        <v>195</v>
      </c>
      <c r="DY42" s="99" t="s">
        <v>195</v>
      </c>
      <c r="DZ42" s="99" t="s">
        <v>195</v>
      </c>
      <c r="EA42" s="99"/>
      <c r="EB42" s="99" t="s">
        <v>194</v>
      </c>
      <c r="EC42" s="99" t="s">
        <v>195</v>
      </c>
      <c r="ED42" s="99" t="s">
        <v>195</v>
      </c>
      <c r="EE42" s="99" t="s">
        <v>195</v>
      </c>
      <c r="EF42" s="99" t="s">
        <v>195</v>
      </c>
      <c r="EG42" s="99" t="s">
        <v>195</v>
      </c>
      <c r="EH42" s="100" t="s">
        <v>195</v>
      </c>
    </row>
    <row r="43" spans="1:138" ht="23.25" customHeight="1" x14ac:dyDescent="0.25">
      <c r="A43" s="101" t="s">
        <v>16</v>
      </c>
      <c r="B43" s="90" t="s">
        <v>193</v>
      </c>
      <c r="C43" s="90" t="s">
        <v>198</v>
      </c>
      <c r="D43" s="90" t="s">
        <v>200</v>
      </c>
      <c r="E43" s="90" t="s">
        <v>200</v>
      </c>
      <c r="F43" s="90" t="s">
        <v>200</v>
      </c>
      <c r="G43" s="90" t="s">
        <v>200</v>
      </c>
      <c r="H43" s="90" t="s">
        <v>200</v>
      </c>
      <c r="I43" s="90" t="s">
        <v>200</v>
      </c>
      <c r="J43" s="90" t="s">
        <v>200</v>
      </c>
      <c r="K43" s="90" t="s">
        <v>200</v>
      </c>
      <c r="L43" s="90" t="s">
        <v>200</v>
      </c>
      <c r="M43" s="90" t="s">
        <v>200</v>
      </c>
      <c r="N43" s="90" t="s">
        <v>200</v>
      </c>
      <c r="O43" s="90" t="s">
        <v>200</v>
      </c>
      <c r="P43" s="90" t="s">
        <v>200</v>
      </c>
      <c r="Q43" s="90" t="s">
        <v>200</v>
      </c>
      <c r="R43" s="90" t="s">
        <v>200</v>
      </c>
      <c r="S43" s="90" t="s">
        <v>200</v>
      </c>
      <c r="T43" s="90"/>
      <c r="U43" s="90" t="s">
        <v>198</v>
      </c>
      <c r="V43" s="90" t="s">
        <v>200</v>
      </c>
      <c r="W43" s="90" t="s">
        <v>200</v>
      </c>
      <c r="X43" s="90" t="s">
        <v>200</v>
      </c>
      <c r="Y43" s="90" t="s">
        <v>200</v>
      </c>
      <c r="Z43" s="90" t="s">
        <v>196</v>
      </c>
      <c r="AA43" s="90" t="s">
        <v>195</v>
      </c>
      <c r="AB43" s="90" t="s">
        <v>195</v>
      </c>
      <c r="AC43" s="90" t="s">
        <v>195</v>
      </c>
      <c r="AD43" s="90" t="s">
        <v>195</v>
      </c>
      <c r="AE43" s="90" t="s">
        <v>200</v>
      </c>
      <c r="AF43" s="90" t="s">
        <v>200</v>
      </c>
      <c r="AG43" s="90" t="s">
        <v>200</v>
      </c>
      <c r="AH43" s="90" t="s">
        <v>200</v>
      </c>
      <c r="AI43" s="90" t="s">
        <v>194</v>
      </c>
      <c r="AJ43" s="90" t="s">
        <v>195</v>
      </c>
      <c r="AK43" s="90" t="s">
        <v>195</v>
      </c>
      <c r="AL43" s="90" t="s">
        <v>195</v>
      </c>
      <c r="AM43" s="90"/>
      <c r="AN43" s="90" t="s">
        <v>198</v>
      </c>
      <c r="AO43" s="90" t="s">
        <v>200</v>
      </c>
      <c r="AP43" s="90" t="s">
        <v>200</v>
      </c>
      <c r="AQ43" s="90" t="s">
        <v>200</v>
      </c>
      <c r="AR43" s="90" t="s">
        <v>200</v>
      </c>
      <c r="AS43" s="90" t="s">
        <v>200</v>
      </c>
      <c r="AT43" s="90" t="s">
        <v>200</v>
      </c>
      <c r="AU43" s="90" t="s">
        <v>200</v>
      </c>
      <c r="AV43" s="90" t="s">
        <v>200</v>
      </c>
      <c r="AW43" s="90" t="s">
        <v>200</v>
      </c>
      <c r="AX43" s="90" t="s">
        <v>200</v>
      </c>
      <c r="AY43" s="90"/>
      <c r="AZ43" s="90" t="s">
        <v>194</v>
      </c>
      <c r="BA43" s="90" t="s">
        <v>194</v>
      </c>
      <c r="BB43" s="90" t="s">
        <v>195</v>
      </c>
      <c r="BC43" s="90" t="s">
        <v>195</v>
      </c>
      <c r="BD43" s="90" t="s">
        <v>195</v>
      </c>
      <c r="BE43" s="90" t="s">
        <v>195</v>
      </c>
      <c r="BF43" s="90" t="s">
        <v>195</v>
      </c>
      <c r="BG43" s="90" t="s">
        <v>195</v>
      </c>
      <c r="BH43" s="90" t="s">
        <v>195</v>
      </c>
      <c r="BI43" s="90" t="s">
        <v>195</v>
      </c>
      <c r="BJ43" s="90" t="s">
        <v>195</v>
      </c>
      <c r="BK43" s="90" t="s">
        <v>195</v>
      </c>
      <c r="BL43" s="90" t="s">
        <v>195</v>
      </c>
      <c r="BM43" s="90" t="s">
        <v>195</v>
      </c>
      <c r="BN43" s="90" t="s">
        <v>195</v>
      </c>
      <c r="BO43" s="90" t="s">
        <v>195</v>
      </c>
      <c r="BP43" s="90" t="s">
        <v>195</v>
      </c>
      <c r="BQ43" s="90" t="s">
        <v>195</v>
      </c>
      <c r="BR43" s="90" t="s">
        <v>195</v>
      </c>
      <c r="BS43" s="90" t="s">
        <v>195</v>
      </c>
      <c r="BT43" s="90"/>
      <c r="BU43" s="90" t="s">
        <v>200</v>
      </c>
      <c r="BV43" s="90" t="s">
        <v>200</v>
      </c>
      <c r="BW43" s="90" t="s">
        <v>200</v>
      </c>
      <c r="BX43" s="90" t="s">
        <v>200</v>
      </c>
      <c r="BY43" s="90" t="s">
        <v>200</v>
      </c>
      <c r="BZ43" s="90" t="s">
        <v>200</v>
      </c>
      <c r="CA43" s="90" t="s">
        <v>200</v>
      </c>
      <c r="CB43" s="90"/>
      <c r="CC43" s="90" t="s">
        <v>204</v>
      </c>
      <c r="CD43" s="90"/>
      <c r="CE43" s="90" t="s">
        <v>198</v>
      </c>
      <c r="CF43" s="90"/>
      <c r="CG43" s="90"/>
      <c r="CH43" s="90"/>
      <c r="CI43" s="90" t="s">
        <v>194</v>
      </c>
      <c r="CJ43" s="90" t="s">
        <v>195</v>
      </c>
      <c r="CK43" s="90" t="s">
        <v>195</v>
      </c>
      <c r="CL43" s="90" t="s">
        <v>195</v>
      </c>
      <c r="CM43" s="90" t="s">
        <v>195</v>
      </c>
      <c r="CN43" s="90" t="s">
        <v>195</v>
      </c>
      <c r="CO43" s="90" t="s">
        <v>195</v>
      </c>
      <c r="CP43" s="90" t="s">
        <v>195</v>
      </c>
      <c r="CQ43" s="90" t="s">
        <v>195</v>
      </c>
      <c r="CR43" s="90" t="s">
        <v>195</v>
      </c>
      <c r="CS43" s="90" t="s">
        <v>195</v>
      </c>
      <c r="CT43" s="90" t="s">
        <v>195</v>
      </c>
      <c r="CU43" s="90" t="s">
        <v>195</v>
      </c>
      <c r="CV43" s="90" t="s">
        <v>195</v>
      </c>
      <c r="CW43" s="90" t="s">
        <v>195</v>
      </c>
      <c r="CX43" s="90" t="s">
        <v>195</v>
      </c>
      <c r="CY43" s="90" t="s">
        <v>195</v>
      </c>
      <c r="CZ43" s="90" t="s">
        <v>195</v>
      </c>
      <c r="DA43" s="90" t="s">
        <v>195</v>
      </c>
      <c r="DB43" s="90" t="s">
        <v>195</v>
      </c>
      <c r="DC43" s="90" t="s">
        <v>195</v>
      </c>
      <c r="DD43" s="90" t="s">
        <v>195</v>
      </c>
      <c r="DE43" s="90" t="s">
        <v>195</v>
      </c>
      <c r="DF43" s="90" t="s">
        <v>195</v>
      </c>
      <c r="DG43" s="90" t="s">
        <v>195</v>
      </c>
      <c r="DH43" s="90" t="s">
        <v>195</v>
      </c>
      <c r="DI43" s="90" t="s">
        <v>195</v>
      </c>
      <c r="DJ43" s="90" t="s">
        <v>195</v>
      </c>
      <c r="DK43" s="90"/>
      <c r="DL43" s="90" t="s">
        <v>194</v>
      </c>
      <c r="DM43" s="90" t="s">
        <v>195</v>
      </c>
      <c r="DN43" s="90" t="s">
        <v>195</v>
      </c>
      <c r="DO43" s="90" t="s">
        <v>195</v>
      </c>
      <c r="DP43" s="90" t="s">
        <v>195</v>
      </c>
      <c r="DQ43" s="90" t="s">
        <v>195</v>
      </c>
      <c r="DR43" s="90" t="s">
        <v>195</v>
      </c>
      <c r="DS43" s="90" t="s">
        <v>195</v>
      </c>
      <c r="DT43" s="90" t="s">
        <v>195</v>
      </c>
      <c r="DU43" s="90" t="s">
        <v>195</v>
      </c>
      <c r="DV43" s="90" t="s">
        <v>195</v>
      </c>
      <c r="DW43" s="90" t="s">
        <v>195</v>
      </c>
      <c r="DX43" s="90" t="s">
        <v>195</v>
      </c>
      <c r="DY43" s="90" t="s">
        <v>195</v>
      </c>
      <c r="DZ43" s="90" t="s">
        <v>195</v>
      </c>
      <c r="EA43" s="90"/>
      <c r="EB43" s="90" t="s">
        <v>194</v>
      </c>
      <c r="EC43" s="90" t="s">
        <v>195</v>
      </c>
      <c r="ED43" s="90" t="s">
        <v>195</v>
      </c>
      <c r="EE43" s="90" t="s">
        <v>195</v>
      </c>
      <c r="EF43" s="90" t="s">
        <v>195</v>
      </c>
      <c r="EG43" s="90" t="s">
        <v>195</v>
      </c>
      <c r="EH43" s="102" t="s">
        <v>195</v>
      </c>
    </row>
    <row r="44" spans="1:138" ht="23.25" customHeight="1" x14ac:dyDescent="0.25">
      <c r="A44" s="98" t="s">
        <v>17</v>
      </c>
      <c r="B44" s="99" t="s">
        <v>193</v>
      </c>
      <c r="C44" s="99" t="s">
        <v>198</v>
      </c>
      <c r="D44" s="99" t="s">
        <v>199</v>
      </c>
      <c r="E44" s="99" t="s">
        <v>199</v>
      </c>
      <c r="F44" s="99" t="s">
        <v>30</v>
      </c>
      <c r="G44" s="99" t="s">
        <v>199</v>
      </c>
      <c r="H44" s="99" t="s">
        <v>199</v>
      </c>
      <c r="I44" s="99" t="s">
        <v>199</v>
      </c>
      <c r="J44" s="99" t="s">
        <v>199</v>
      </c>
      <c r="K44" s="99" t="s">
        <v>30</v>
      </c>
      <c r="L44" s="99" t="s">
        <v>199</v>
      </c>
      <c r="M44" s="99" t="s">
        <v>199</v>
      </c>
      <c r="N44" s="99" t="s">
        <v>30</v>
      </c>
      <c r="O44" s="99" t="s">
        <v>199</v>
      </c>
      <c r="P44" s="99" t="s">
        <v>200</v>
      </c>
      <c r="Q44" s="99" t="s">
        <v>199</v>
      </c>
      <c r="R44" s="99" t="s">
        <v>199</v>
      </c>
      <c r="S44" s="99" t="s">
        <v>199</v>
      </c>
      <c r="T44" s="99"/>
      <c r="U44" s="99" t="s">
        <v>198</v>
      </c>
      <c r="V44" s="99" t="s">
        <v>199</v>
      </c>
      <c r="W44" s="99" t="s">
        <v>200</v>
      </c>
      <c r="X44" s="99" t="s">
        <v>200</v>
      </c>
      <c r="Y44" s="99" t="s">
        <v>200</v>
      </c>
      <c r="Z44" s="99" t="s">
        <v>208</v>
      </c>
      <c r="AA44" s="99" t="s">
        <v>199</v>
      </c>
      <c r="AB44" s="99" t="s">
        <v>199</v>
      </c>
      <c r="AC44" s="99" t="s">
        <v>199</v>
      </c>
      <c r="AD44" s="99" t="s">
        <v>30</v>
      </c>
      <c r="AE44" s="99" t="s">
        <v>195</v>
      </c>
      <c r="AF44" s="99" t="s">
        <v>195</v>
      </c>
      <c r="AG44" s="99" t="s">
        <v>195</v>
      </c>
      <c r="AH44" s="99" t="s">
        <v>195</v>
      </c>
      <c r="AI44" s="99" t="s">
        <v>198</v>
      </c>
      <c r="AJ44" s="99" t="s">
        <v>199</v>
      </c>
      <c r="AK44" s="99" t="s">
        <v>30</v>
      </c>
      <c r="AL44" s="99" t="s">
        <v>30</v>
      </c>
      <c r="AM44" s="99"/>
      <c r="AN44" s="99" t="s">
        <v>194</v>
      </c>
      <c r="AO44" s="99" t="s">
        <v>195</v>
      </c>
      <c r="AP44" s="99" t="s">
        <v>195</v>
      </c>
      <c r="AQ44" s="99" t="s">
        <v>195</v>
      </c>
      <c r="AR44" s="99" t="s">
        <v>195</v>
      </c>
      <c r="AS44" s="99" t="s">
        <v>195</v>
      </c>
      <c r="AT44" s="99" t="s">
        <v>195</v>
      </c>
      <c r="AU44" s="99" t="s">
        <v>195</v>
      </c>
      <c r="AV44" s="99" t="s">
        <v>195</v>
      </c>
      <c r="AW44" s="99" t="s">
        <v>195</v>
      </c>
      <c r="AX44" s="99" t="s">
        <v>195</v>
      </c>
      <c r="AY44" s="99"/>
      <c r="AZ44" s="99" t="s">
        <v>194</v>
      </c>
      <c r="BA44" s="99" t="s">
        <v>194</v>
      </c>
      <c r="BB44" s="99" t="s">
        <v>195</v>
      </c>
      <c r="BC44" s="99" t="s">
        <v>195</v>
      </c>
      <c r="BD44" s="99" t="s">
        <v>195</v>
      </c>
      <c r="BE44" s="99" t="s">
        <v>195</v>
      </c>
      <c r="BF44" s="99" t="s">
        <v>195</v>
      </c>
      <c r="BG44" s="99" t="s">
        <v>195</v>
      </c>
      <c r="BH44" s="99" t="s">
        <v>195</v>
      </c>
      <c r="BI44" s="99" t="s">
        <v>195</v>
      </c>
      <c r="BJ44" s="99" t="s">
        <v>195</v>
      </c>
      <c r="BK44" s="99" t="s">
        <v>195</v>
      </c>
      <c r="BL44" s="99" t="s">
        <v>195</v>
      </c>
      <c r="BM44" s="99" t="s">
        <v>195</v>
      </c>
      <c r="BN44" s="99" t="s">
        <v>195</v>
      </c>
      <c r="BO44" s="99" t="s">
        <v>195</v>
      </c>
      <c r="BP44" s="99" t="s">
        <v>195</v>
      </c>
      <c r="BQ44" s="99" t="s">
        <v>195</v>
      </c>
      <c r="BR44" s="99" t="s">
        <v>195</v>
      </c>
      <c r="BS44" s="99" t="s">
        <v>195</v>
      </c>
      <c r="BT44" s="99"/>
      <c r="BU44" s="99" t="s">
        <v>203</v>
      </c>
      <c r="BV44" s="99" t="s">
        <v>203</v>
      </c>
      <c r="BW44" s="99" t="s">
        <v>203</v>
      </c>
      <c r="BX44" s="99" t="s">
        <v>203</v>
      </c>
      <c r="BY44" s="99" t="s">
        <v>203</v>
      </c>
      <c r="BZ44" s="99" t="s">
        <v>203</v>
      </c>
      <c r="CA44" s="99" t="s">
        <v>203</v>
      </c>
      <c r="CB44" s="99"/>
      <c r="CC44" s="99" t="s">
        <v>204</v>
      </c>
      <c r="CD44" s="99"/>
      <c r="CE44" s="99" t="s">
        <v>198</v>
      </c>
      <c r="CF44" s="99"/>
      <c r="CG44" s="99"/>
      <c r="CH44" s="99"/>
      <c r="CI44" s="99" t="s">
        <v>198</v>
      </c>
      <c r="CJ44" s="99" t="s">
        <v>199</v>
      </c>
      <c r="CK44" s="99" t="s">
        <v>200</v>
      </c>
      <c r="CL44" s="99" t="s">
        <v>199</v>
      </c>
      <c r="CM44" s="99" t="s">
        <v>199</v>
      </c>
      <c r="CN44" s="99" t="s">
        <v>199</v>
      </c>
      <c r="CO44" s="99" t="s">
        <v>199</v>
      </c>
      <c r="CP44" s="99" t="s">
        <v>200</v>
      </c>
      <c r="CQ44" s="99" t="s">
        <v>200</v>
      </c>
      <c r="CR44" s="99" t="s">
        <v>30</v>
      </c>
      <c r="CS44" s="99" t="s">
        <v>199</v>
      </c>
      <c r="CT44" s="99" t="s">
        <v>199</v>
      </c>
      <c r="CU44" s="99" t="s">
        <v>199</v>
      </c>
      <c r="CV44" s="99" t="s">
        <v>199</v>
      </c>
      <c r="CW44" s="99" t="s">
        <v>201</v>
      </c>
      <c r="CX44" s="99" t="s">
        <v>201</v>
      </c>
      <c r="CY44" s="99" t="s">
        <v>199</v>
      </c>
      <c r="CZ44" s="99" t="s">
        <v>199</v>
      </c>
      <c r="DA44" s="99" t="s">
        <v>199</v>
      </c>
      <c r="DB44" s="99" t="s">
        <v>199</v>
      </c>
      <c r="DC44" s="99" t="s">
        <v>199</v>
      </c>
      <c r="DD44" s="99" t="s">
        <v>199</v>
      </c>
      <c r="DE44" s="99" t="s">
        <v>199</v>
      </c>
      <c r="DF44" s="99" t="s">
        <v>199</v>
      </c>
      <c r="DG44" s="99" t="s">
        <v>201</v>
      </c>
      <c r="DH44" s="99" t="s">
        <v>201</v>
      </c>
      <c r="DI44" s="99" t="s">
        <v>201</v>
      </c>
      <c r="DJ44" s="99" t="s">
        <v>201</v>
      </c>
      <c r="DK44" s="99"/>
      <c r="DL44" s="99" t="s">
        <v>198</v>
      </c>
      <c r="DM44" s="99" t="s">
        <v>30</v>
      </c>
      <c r="DN44" s="99" t="s">
        <v>30</v>
      </c>
      <c r="DO44" s="99" t="s">
        <v>30</v>
      </c>
      <c r="DP44" s="99" t="s">
        <v>30</v>
      </c>
      <c r="DQ44" s="99" t="s">
        <v>199</v>
      </c>
      <c r="DR44" s="99" t="s">
        <v>199</v>
      </c>
      <c r="DS44" s="99" t="s">
        <v>199</v>
      </c>
      <c r="DT44" s="99" t="s">
        <v>199</v>
      </c>
      <c r="DU44" s="99" t="s">
        <v>199</v>
      </c>
      <c r="DV44" s="99" t="s">
        <v>199</v>
      </c>
      <c r="DW44" s="99" t="s">
        <v>199</v>
      </c>
      <c r="DX44" s="99" t="s">
        <v>199</v>
      </c>
      <c r="DY44" s="99" t="s">
        <v>199</v>
      </c>
      <c r="DZ44" s="99" t="s">
        <v>199</v>
      </c>
      <c r="EA44" s="99"/>
      <c r="EB44" s="99" t="s">
        <v>194</v>
      </c>
      <c r="EC44" s="99" t="s">
        <v>195</v>
      </c>
      <c r="ED44" s="99" t="s">
        <v>195</v>
      </c>
      <c r="EE44" s="99" t="s">
        <v>195</v>
      </c>
      <c r="EF44" s="99" t="s">
        <v>195</v>
      </c>
      <c r="EG44" s="99" t="s">
        <v>195</v>
      </c>
      <c r="EH44" s="100" t="s">
        <v>195</v>
      </c>
    </row>
    <row r="45" spans="1:138" ht="23.25" customHeight="1" x14ac:dyDescent="0.25">
      <c r="A45" s="101" t="s">
        <v>17</v>
      </c>
      <c r="B45" s="90" t="s">
        <v>193</v>
      </c>
      <c r="C45" s="90" t="s">
        <v>194</v>
      </c>
      <c r="D45" s="90" t="s">
        <v>195</v>
      </c>
      <c r="E45" s="90" t="s">
        <v>195</v>
      </c>
      <c r="F45" s="90" t="s">
        <v>195</v>
      </c>
      <c r="G45" s="90" t="s">
        <v>195</v>
      </c>
      <c r="H45" s="90" t="s">
        <v>195</v>
      </c>
      <c r="I45" s="90" t="s">
        <v>195</v>
      </c>
      <c r="J45" s="90" t="s">
        <v>195</v>
      </c>
      <c r="K45" s="90" t="s">
        <v>195</v>
      </c>
      <c r="L45" s="90" t="s">
        <v>195</v>
      </c>
      <c r="M45" s="90" t="s">
        <v>195</v>
      </c>
      <c r="N45" s="90" t="s">
        <v>195</v>
      </c>
      <c r="O45" s="90" t="s">
        <v>195</v>
      </c>
      <c r="P45" s="90" t="s">
        <v>195</v>
      </c>
      <c r="Q45" s="90" t="s">
        <v>195</v>
      </c>
      <c r="R45" s="90" t="s">
        <v>195</v>
      </c>
      <c r="S45" s="90" t="s">
        <v>195</v>
      </c>
      <c r="T45" s="90"/>
      <c r="U45" s="90" t="s">
        <v>194</v>
      </c>
      <c r="V45" s="90" t="s">
        <v>195</v>
      </c>
      <c r="W45" s="90" t="s">
        <v>195</v>
      </c>
      <c r="X45" s="90" t="s">
        <v>195</v>
      </c>
      <c r="Y45" s="90" t="s">
        <v>195</v>
      </c>
      <c r="Z45" s="90" t="s">
        <v>17</v>
      </c>
      <c r="AA45" s="90" t="s">
        <v>195</v>
      </c>
      <c r="AB45" s="90" t="s">
        <v>195</v>
      </c>
      <c r="AC45" s="90" t="s">
        <v>195</v>
      </c>
      <c r="AD45" s="90" t="s">
        <v>195</v>
      </c>
      <c r="AE45" s="90" t="s">
        <v>195</v>
      </c>
      <c r="AF45" s="90" t="s">
        <v>195</v>
      </c>
      <c r="AG45" s="90" t="s">
        <v>195</v>
      </c>
      <c r="AH45" s="90" t="s">
        <v>195</v>
      </c>
      <c r="AI45" s="90" t="s">
        <v>194</v>
      </c>
      <c r="AJ45" s="90" t="s">
        <v>195</v>
      </c>
      <c r="AK45" s="90" t="s">
        <v>195</v>
      </c>
      <c r="AL45" s="90" t="s">
        <v>195</v>
      </c>
      <c r="AM45" s="90"/>
      <c r="AN45" s="90" t="s">
        <v>194</v>
      </c>
      <c r="AO45" s="90" t="s">
        <v>195</v>
      </c>
      <c r="AP45" s="90" t="s">
        <v>195</v>
      </c>
      <c r="AQ45" s="90" t="s">
        <v>195</v>
      </c>
      <c r="AR45" s="90" t="s">
        <v>195</v>
      </c>
      <c r="AS45" s="90" t="s">
        <v>195</v>
      </c>
      <c r="AT45" s="90" t="s">
        <v>195</v>
      </c>
      <c r="AU45" s="90" t="s">
        <v>195</v>
      </c>
      <c r="AV45" s="90" t="s">
        <v>195</v>
      </c>
      <c r="AW45" s="90" t="s">
        <v>195</v>
      </c>
      <c r="AX45" s="90" t="s">
        <v>195</v>
      </c>
      <c r="AY45" s="90"/>
      <c r="AZ45" s="90" t="s">
        <v>194</v>
      </c>
      <c r="BA45" s="90" t="s">
        <v>194</v>
      </c>
      <c r="BB45" s="90" t="s">
        <v>195</v>
      </c>
      <c r="BC45" s="90" t="s">
        <v>195</v>
      </c>
      <c r="BD45" s="90" t="s">
        <v>195</v>
      </c>
      <c r="BE45" s="90" t="s">
        <v>195</v>
      </c>
      <c r="BF45" s="90" t="s">
        <v>195</v>
      </c>
      <c r="BG45" s="90" t="s">
        <v>195</v>
      </c>
      <c r="BH45" s="90" t="s">
        <v>195</v>
      </c>
      <c r="BI45" s="90" t="s">
        <v>195</v>
      </c>
      <c r="BJ45" s="90" t="s">
        <v>195</v>
      </c>
      <c r="BK45" s="90" t="s">
        <v>195</v>
      </c>
      <c r="BL45" s="90" t="s">
        <v>195</v>
      </c>
      <c r="BM45" s="90" t="s">
        <v>195</v>
      </c>
      <c r="BN45" s="90" t="s">
        <v>195</v>
      </c>
      <c r="BO45" s="90" t="s">
        <v>195</v>
      </c>
      <c r="BP45" s="90" t="s">
        <v>195</v>
      </c>
      <c r="BQ45" s="90" t="s">
        <v>195</v>
      </c>
      <c r="BR45" s="90" t="s">
        <v>195</v>
      </c>
      <c r="BS45" s="90" t="s">
        <v>195</v>
      </c>
      <c r="BT45" s="90"/>
      <c r="BU45" s="90" t="s">
        <v>199</v>
      </c>
      <c r="BV45" s="90" t="s">
        <v>30</v>
      </c>
      <c r="BW45" s="90" t="s">
        <v>30</v>
      </c>
      <c r="BX45" s="90" t="s">
        <v>195</v>
      </c>
      <c r="BY45" s="90" t="s">
        <v>195</v>
      </c>
      <c r="BZ45" s="90" t="s">
        <v>195</v>
      </c>
      <c r="CA45" s="90" t="s">
        <v>199</v>
      </c>
      <c r="CB45" s="90"/>
      <c r="CC45" s="90" t="s">
        <v>197</v>
      </c>
      <c r="CD45" s="90"/>
      <c r="CE45" s="90" t="s">
        <v>198</v>
      </c>
      <c r="CF45" s="90"/>
      <c r="CG45" s="90"/>
      <c r="CH45" s="90"/>
      <c r="CI45" s="90" t="s">
        <v>194</v>
      </c>
      <c r="CJ45" s="90" t="s">
        <v>195</v>
      </c>
      <c r="CK45" s="90" t="s">
        <v>195</v>
      </c>
      <c r="CL45" s="90" t="s">
        <v>195</v>
      </c>
      <c r="CM45" s="90" t="s">
        <v>195</v>
      </c>
      <c r="CN45" s="90" t="s">
        <v>195</v>
      </c>
      <c r="CO45" s="90" t="s">
        <v>195</v>
      </c>
      <c r="CP45" s="90" t="s">
        <v>195</v>
      </c>
      <c r="CQ45" s="90" t="s">
        <v>195</v>
      </c>
      <c r="CR45" s="90" t="s">
        <v>195</v>
      </c>
      <c r="CS45" s="90" t="s">
        <v>195</v>
      </c>
      <c r="CT45" s="90" t="s">
        <v>195</v>
      </c>
      <c r="CU45" s="90" t="s">
        <v>195</v>
      </c>
      <c r="CV45" s="90" t="s">
        <v>195</v>
      </c>
      <c r="CW45" s="90" t="s">
        <v>195</v>
      </c>
      <c r="CX45" s="90" t="s">
        <v>195</v>
      </c>
      <c r="CY45" s="90" t="s">
        <v>195</v>
      </c>
      <c r="CZ45" s="90" t="s">
        <v>195</v>
      </c>
      <c r="DA45" s="90" t="s">
        <v>195</v>
      </c>
      <c r="DB45" s="90" t="s">
        <v>195</v>
      </c>
      <c r="DC45" s="90" t="s">
        <v>195</v>
      </c>
      <c r="DD45" s="90" t="s">
        <v>195</v>
      </c>
      <c r="DE45" s="90" t="s">
        <v>195</v>
      </c>
      <c r="DF45" s="90" t="s">
        <v>195</v>
      </c>
      <c r="DG45" s="90" t="s">
        <v>195</v>
      </c>
      <c r="DH45" s="90" t="s">
        <v>195</v>
      </c>
      <c r="DI45" s="90" t="s">
        <v>195</v>
      </c>
      <c r="DJ45" s="90" t="s">
        <v>195</v>
      </c>
      <c r="DK45" s="90"/>
      <c r="DL45" s="90" t="s">
        <v>194</v>
      </c>
      <c r="DM45" s="90" t="s">
        <v>195</v>
      </c>
      <c r="DN45" s="90" t="s">
        <v>195</v>
      </c>
      <c r="DO45" s="90" t="s">
        <v>195</v>
      </c>
      <c r="DP45" s="90" t="s">
        <v>195</v>
      </c>
      <c r="DQ45" s="90" t="s">
        <v>195</v>
      </c>
      <c r="DR45" s="90" t="s">
        <v>195</v>
      </c>
      <c r="DS45" s="90" t="s">
        <v>195</v>
      </c>
      <c r="DT45" s="90" t="s">
        <v>195</v>
      </c>
      <c r="DU45" s="90" t="s">
        <v>195</v>
      </c>
      <c r="DV45" s="90" t="s">
        <v>195</v>
      </c>
      <c r="DW45" s="90" t="s">
        <v>195</v>
      </c>
      <c r="DX45" s="90" t="s">
        <v>195</v>
      </c>
      <c r="DY45" s="90" t="s">
        <v>195</v>
      </c>
      <c r="DZ45" s="90" t="s">
        <v>195</v>
      </c>
      <c r="EA45" s="90"/>
      <c r="EB45" s="90" t="s">
        <v>194</v>
      </c>
      <c r="EC45" s="90" t="s">
        <v>195</v>
      </c>
      <c r="ED45" s="90" t="s">
        <v>195</v>
      </c>
      <c r="EE45" s="90" t="s">
        <v>195</v>
      </c>
      <c r="EF45" s="90" t="s">
        <v>195</v>
      </c>
      <c r="EG45" s="90" t="s">
        <v>195</v>
      </c>
      <c r="EH45" s="102" t="s">
        <v>195</v>
      </c>
    </row>
    <row r="46" spans="1:138" ht="23.25" customHeight="1" x14ac:dyDescent="0.25">
      <c r="A46" s="98" t="s">
        <v>16</v>
      </c>
      <c r="B46" s="99" t="s">
        <v>193</v>
      </c>
      <c r="C46" s="99" t="s">
        <v>194</v>
      </c>
      <c r="D46" s="99" t="s">
        <v>195</v>
      </c>
      <c r="E46" s="99" t="s">
        <v>195</v>
      </c>
      <c r="F46" s="99" t="s">
        <v>195</v>
      </c>
      <c r="G46" s="99" t="s">
        <v>195</v>
      </c>
      <c r="H46" s="99" t="s">
        <v>195</v>
      </c>
      <c r="I46" s="99" t="s">
        <v>195</v>
      </c>
      <c r="J46" s="99" t="s">
        <v>195</v>
      </c>
      <c r="K46" s="99" t="s">
        <v>195</v>
      </c>
      <c r="L46" s="99" t="s">
        <v>195</v>
      </c>
      <c r="M46" s="99" t="s">
        <v>195</v>
      </c>
      <c r="N46" s="99" t="s">
        <v>195</v>
      </c>
      <c r="O46" s="99" t="s">
        <v>195</v>
      </c>
      <c r="P46" s="99" t="s">
        <v>195</v>
      </c>
      <c r="Q46" s="99" t="s">
        <v>195</v>
      </c>
      <c r="R46" s="99" t="s">
        <v>195</v>
      </c>
      <c r="S46" s="99" t="s">
        <v>195</v>
      </c>
      <c r="T46" s="99"/>
      <c r="U46" s="99" t="s">
        <v>194</v>
      </c>
      <c r="V46" s="99" t="s">
        <v>195</v>
      </c>
      <c r="W46" s="99" t="s">
        <v>195</v>
      </c>
      <c r="X46" s="99" t="s">
        <v>195</v>
      </c>
      <c r="Y46" s="99" t="s">
        <v>195</v>
      </c>
      <c r="Z46" s="99" t="s">
        <v>196</v>
      </c>
      <c r="AA46" s="99" t="s">
        <v>195</v>
      </c>
      <c r="AB46" s="99" t="s">
        <v>195</v>
      </c>
      <c r="AC46" s="99" t="s">
        <v>195</v>
      </c>
      <c r="AD46" s="99" t="s">
        <v>195</v>
      </c>
      <c r="AE46" s="99" t="s">
        <v>195</v>
      </c>
      <c r="AF46" s="99" t="s">
        <v>195</v>
      </c>
      <c r="AG46" s="99" t="s">
        <v>195</v>
      </c>
      <c r="AH46" s="99" t="s">
        <v>195</v>
      </c>
      <c r="AI46" s="99" t="s">
        <v>194</v>
      </c>
      <c r="AJ46" s="99" t="s">
        <v>195</v>
      </c>
      <c r="AK46" s="99" t="s">
        <v>195</v>
      </c>
      <c r="AL46" s="99" t="s">
        <v>195</v>
      </c>
      <c r="AM46" s="99"/>
      <c r="AN46" s="99" t="s">
        <v>194</v>
      </c>
      <c r="AO46" s="99" t="s">
        <v>195</v>
      </c>
      <c r="AP46" s="99" t="s">
        <v>195</v>
      </c>
      <c r="AQ46" s="99" t="s">
        <v>195</v>
      </c>
      <c r="AR46" s="99" t="s">
        <v>195</v>
      </c>
      <c r="AS46" s="99" t="s">
        <v>195</v>
      </c>
      <c r="AT46" s="99" t="s">
        <v>195</v>
      </c>
      <c r="AU46" s="99" t="s">
        <v>195</v>
      </c>
      <c r="AV46" s="99" t="s">
        <v>195</v>
      </c>
      <c r="AW46" s="99" t="s">
        <v>195</v>
      </c>
      <c r="AX46" s="99" t="s">
        <v>195</v>
      </c>
      <c r="AY46" s="99"/>
      <c r="AZ46" s="99" t="s">
        <v>194</v>
      </c>
      <c r="BA46" s="99" t="s">
        <v>194</v>
      </c>
      <c r="BB46" s="99" t="s">
        <v>195</v>
      </c>
      <c r="BC46" s="99" t="s">
        <v>195</v>
      </c>
      <c r="BD46" s="99" t="s">
        <v>195</v>
      </c>
      <c r="BE46" s="99" t="s">
        <v>195</v>
      </c>
      <c r="BF46" s="99" t="s">
        <v>195</v>
      </c>
      <c r="BG46" s="99" t="s">
        <v>195</v>
      </c>
      <c r="BH46" s="99" t="s">
        <v>195</v>
      </c>
      <c r="BI46" s="99" t="s">
        <v>195</v>
      </c>
      <c r="BJ46" s="99" t="s">
        <v>195</v>
      </c>
      <c r="BK46" s="99" t="s">
        <v>195</v>
      </c>
      <c r="BL46" s="99" t="s">
        <v>195</v>
      </c>
      <c r="BM46" s="99" t="s">
        <v>195</v>
      </c>
      <c r="BN46" s="99" t="s">
        <v>195</v>
      </c>
      <c r="BO46" s="99" t="s">
        <v>195</v>
      </c>
      <c r="BP46" s="99" t="s">
        <v>195</v>
      </c>
      <c r="BQ46" s="99" t="s">
        <v>195</v>
      </c>
      <c r="BR46" s="99" t="s">
        <v>195</v>
      </c>
      <c r="BS46" s="99" t="s">
        <v>195</v>
      </c>
      <c r="BT46" s="99"/>
      <c r="BU46" s="99" t="s">
        <v>195</v>
      </c>
      <c r="BV46" s="99" t="s">
        <v>199</v>
      </c>
      <c r="BW46" s="99" t="s">
        <v>195</v>
      </c>
      <c r="BX46" s="99" t="s">
        <v>195</v>
      </c>
      <c r="BY46" s="99" t="s">
        <v>195</v>
      </c>
      <c r="BZ46" s="99" t="s">
        <v>195</v>
      </c>
      <c r="CA46" s="99" t="s">
        <v>200</v>
      </c>
      <c r="CB46" s="99"/>
      <c r="CC46" s="99" t="s">
        <v>205</v>
      </c>
      <c r="CD46" s="99"/>
      <c r="CE46" s="99" t="s">
        <v>198</v>
      </c>
      <c r="CF46" s="99"/>
      <c r="CG46" s="99"/>
      <c r="CH46" s="99"/>
      <c r="CI46" s="99" t="s">
        <v>194</v>
      </c>
      <c r="CJ46" s="99" t="s">
        <v>195</v>
      </c>
      <c r="CK46" s="99" t="s">
        <v>195</v>
      </c>
      <c r="CL46" s="99" t="s">
        <v>195</v>
      </c>
      <c r="CM46" s="99" t="s">
        <v>195</v>
      </c>
      <c r="CN46" s="99" t="s">
        <v>195</v>
      </c>
      <c r="CO46" s="99" t="s">
        <v>195</v>
      </c>
      <c r="CP46" s="99" t="s">
        <v>195</v>
      </c>
      <c r="CQ46" s="99" t="s">
        <v>195</v>
      </c>
      <c r="CR46" s="99" t="s">
        <v>195</v>
      </c>
      <c r="CS46" s="99" t="s">
        <v>195</v>
      </c>
      <c r="CT46" s="99" t="s">
        <v>195</v>
      </c>
      <c r="CU46" s="99" t="s">
        <v>195</v>
      </c>
      <c r="CV46" s="99" t="s">
        <v>195</v>
      </c>
      <c r="CW46" s="99" t="s">
        <v>195</v>
      </c>
      <c r="CX46" s="99" t="s">
        <v>195</v>
      </c>
      <c r="CY46" s="99" t="s">
        <v>195</v>
      </c>
      <c r="CZ46" s="99" t="s">
        <v>195</v>
      </c>
      <c r="DA46" s="99" t="s">
        <v>195</v>
      </c>
      <c r="DB46" s="99" t="s">
        <v>195</v>
      </c>
      <c r="DC46" s="99" t="s">
        <v>195</v>
      </c>
      <c r="DD46" s="99" t="s">
        <v>195</v>
      </c>
      <c r="DE46" s="99" t="s">
        <v>195</v>
      </c>
      <c r="DF46" s="99" t="s">
        <v>195</v>
      </c>
      <c r="DG46" s="99" t="s">
        <v>195</v>
      </c>
      <c r="DH46" s="99" t="s">
        <v>195</v>
      </c>
      <c r="DI46" s="99" t="s">
        <v>195</v>
      </c>
      <c r="DJ46" s="99" t="s">
        <v>195</v>
      </c>
      <c r="DK46" s="99"/>
      <c r="DL46" s="99" t="s">
        <v>194</v>
      </c>
      <c r="DM46" s="99" t="s">
        <v>195</v>
      </c>
      <c r="DN46" s="99" t="s">
        <v>195</v>
      </c>
      <c r="DO46" s="99" t="s">
        <v>195</v>
      </c>
      <c r="DP46" s="99" t="s">
        <v>195</v>
      </c>
      <c r="DQ46" s="99" t="s">
        <v>195</v>
      </c>
      <c r="DR46" s="99" t="s">
        <v>195</v>
      </c>
      <c r="DS46" s="99" t="s">
        <v>195</v>
      </c>
      <c r="DT46" s="99" t="s">
        <v>195</v>
      </c>
      <c r="DU46" s="99" t="s">
        <v>195</v>
      </c>
      <c r="DV46" s="99" t="s">
        <v>195</v>
      </c>
      <c r="DW46" s="99" t="s">
        <v>195</v>
      </c>
      <c r="DX46" s="99" t="s">
        <v>195</v>
      </c>
      <c r="DY46" s="99" t="s">
        <v>195</v>
      </c>
      <c r="DZ46" s="99" t="s">
        <v>195</v>
      </c>
      <c r="EA46" s="99"/>
      <c r="EB46" s="99" t="s">
        <v>194</v>
      </c>
      <c r="EC46" s="99" t="s">
        <v>195</v>
      </c>
      <c r="ED46" s="99" t="s">
        <v>195</v>
      </c>
      <c r="EE46" s="99" t="s">
        <v>195</v>
      </c>
      <c r="EF46" s="99" t="s">
        <v>195</v>
      </c>
      <c r="EG46" s="99" t="s">
        <v>195</v>
      </c>
      <c r="EH46" s="100" t="s">
        <v>195</v>
      </c>
    </row>
    <row r="47" spans="1:138" ht="23.25" customHeight="1" x14ac:dyDescent="0.25">
      <c r="A47" s="101" t="s">
        <v>17</v>
      </c>
      <c r="B47" s="90" t="s">
        <v>193</v>
      </c>
      <c r="C47" s="90" t="s">
        <v>198</v>
      </c>
      <c r="D47" s="90" t="s">
        <v>199</v>
      </c>
      <c r="E47" s="90" t="s">
        <v>199</v>
      </c>
      <c r="F47" s="90" t="s">
        <v>199</v>
      </c>
      <c r="G47" s="90" t="s">
        <v>199</v>
      </c>
      <c r="H47" s="90" t="s">
        <v>30</v>
      </c>
      <c r="I47" s="90" t="s">
        <v>30</v>
      </c>
      <c r="J47" s="90" t="s">
        <v>200</v>
      </c>
      <c r="K47" s="90" t="s">
        <v>30</v>
      </c>
      <c r="L47" s="90" t="s">
        <v>30</v>
      </c>
      <c r="M47" s="90" t="s">
        <v>30</v>
      </c>
      <c r="N47" s="90" t="s">
        <v>30</v>
      </c>
      <c r="O47" s="90" t="s">
        <v>199</v>
      </c>
      <c r="P47" s="90" t="s">
        <v>199</v>
      </c>
      <c r="Q47" s="90" t="s">
        <v>199</v>
      </c>
      <c r="R47" s="90" t="s">
        <v>30</v>
      </c>
      <c r="S47" s="90" t="s">
        <v>200</v>
      </c>
      <c r="T47" s="90"/>
      <c r="U47" s="90" t="s">
        <v>198</v>
      </c>
      <c r="V47" s="90" t="s">
        <v>202</v>
      </c>
      <c r="W47" s="90" t="s">
        <v>202</v>
      </c>
      <c r="X47" s="90" t="s">
        <v>199</v>
      </c>
      <c r="Y47" s="90" t="s">
        <v>199</v>
      </c>
      <c r="Z47" s="90" t="s">
        <v>208</v>
      </c>
      <c r="AA47" s="90" t="s">
        <v>199</v>
      </c>
      <c r="AB47" s="90" t="s">
        <v>199</v>
      </c>
      <c r="AC47" s="90" t="s">
        <v>199</v>
      </c>
      <c r="AD47" s="90" t="s">
        <v>199</v>
      </c>
      <c r="AE47" s="90" t="s">
        <v>195</v>
      </c>
      <c r="AF47" s="90" t="s">
        <v>195</v>
      </c>
      <c r="AG47" s="90" t="s">
        <v>195</v>
      </c>
      <c r="AH47" s="90" t="s">
        <v>195</v>
      </c>
      <c r="AI47" s="90" t="s">
        <v>194</v>
      </c>
      <c r="AJ47" s="90" t="s">
        <v>195</v>
      </c>
      <c r="AK47" s="90" t="s">
        <v>195</v>
      </c>
      <c r="AL47" s="90" t="s">
        <v>195</v>
      </c>
      <c r="AM47" s="90"/>
      <c r="AN47" s="90" t="s">
        <v>194</v>
      </c>
      <c r="AO47" s="90" t="s">
        <v>195</v>
      </c>
      <c r="AP47" s="90" t="s">
        <v>195</v>
      </c>
      <c r="AQ47" s="90" t="s">
        <v>195</v>
      </c>
      <c r="AR47" s="90" t="s">
        <v>195</v>
      </c>
      <c r="AS47" s="90" t="s">
        <v>195</v>
      </c>
      <c r="AT47" s="90" t="s">
        <v>195</v>
      </c>
      <c r="AU47" s="90" t="s">
        <v>195</v>
      </c>
      <c r="AV47" s="90" t="s">
        <v>195</v>
      </c>
      <c r="AW47" s="90" t="s">
        <v>195</v>
      </c>
      <c r="AX47" s="90" t="s">
        <v>195</v>
      </c>
      <c r="AY47" s="90"/>
      <c r="AZ47" s="90" t="s">
        <v>194</v>
      </c>
      <c r="BA47" s="90" t="s">
        <v>194</v>
      </c>
      <c r="BB47" s="90" t="s">
        <v>195</v>
      </c>
      <c r="BC47" s="90" t="s">
        <v>195</v>
      </c>
      <c r="BD47" s="90" t="s">
        <v>195</v>
      </c>
      <c r="BE47" s="90" t="s">
        <v>195</v>
      </c>
      <c r="BF47" s="90" t="s">
        <v>195</v>
      </c>
      <c r="BG47" s="90" t="s">
        <v>195</v>
      </c>
      <c r="BH47" s="90" t="s">
        <v>195</v>
      </c>
      <c r="BI47" s="90" t="s">
        <v>195</v>
      </c>
      <c r="BJ47" s="90" t="s">
        <v>195</v>
      </c>
      <c r="BK47" s="90" t="s">
        <v>195</v>
      </c>
      <c r="BL47" s="90" t="s">
        <v>195</v>
      </c>
      <c r="BM47" s="90" t="s">
        <v>195</v>
      </c>
      <c r="BN47" s="90" t="s">
        <v>195</v>
      </c>
      <c r="BO47" s="90" t="s">
        <v>195</v>
      </c>
      <c r="BP47" s="90" t="s">
        <v>195</v>
      </c>
      <c r="BQ47" s="90" t="s">
        <v>195</v>
      </c>
      <c r="BR47" s="90" t="s">
        <v>195</v>
      </c>
      <c r="BS47" s="90" t="s">
        <v>195</v>
      </c>
      <c r="BT47" s="90"/>
      <c r="BU47" s="90" t="s">
        <v>199</v>
      </c>
      <c r="BV47" s="90" t="s">
        <v>199</v>
      </c>
      <c r="BW47" s="90" t="s">
        <v>199</v>
      </c>
      <c r="BX47" s="90" t="s">
        <v>199</v>
      </c>
      <c r="BY47" s="90" t="s">
        <v>199</v>
      </c>
      <c r="BZ47" s="90" t="s">
        <v>199</v>
      </c>
      <c r="CA47" s="90" t="s">
        <v>199</v>
      </c>
      <c r="CB47" s="90"/>
      <c r="CC47" s="90" t="s">
        <v>197</v>
      </c>
      <c r="CD47" s="90"/>
      <c r="CE47" s="90" t="s">
        <v>194</v>
      </c>
      <c r="CF47" s="90"/>
      <c r="CG47" s="90"/>
      <c r="CH47" s="90"/>
      <c r="CI47" s="90" t="s">
        <v>194</v>
      </c>
      <c r="CJ47" s="90" t="s">
        <v>195</v>
      </c>
      <c r="CK47" s="90" t="s">
        <v>195</v>
      </c>
      <c r="CL47" s="90" t="s">
        <v>195</v>
      </c>
      <c r="CM47" s="90" t="s">
        <v>195</v>
      </c>
      <c r="CN47" s="90" t="s">
        <v>195</v>
      </c>
      <c r="CO47" s="90" t="s">
        <v>195</v>
      </c>
      <c r="CP47" s="90" t="s">
        <v>195</v>
      </c>
      <c r="CQ47" s="90" t="s">
        <v>195</v>
      </c>
      <c r="CR47" s="90" t="s">
        <v>195</v>
      </c>
      <c r="CS47" s="90" t="s">
        <v>195</v>
      </c>
      <c r="CT47" s="90" t="s">
        <v>195</v>
      </c>
      <c r="CU47" s="90" t="s">
        <v>195</v>
      </c>
      <c r="CV47" s="90" t="s">
        <v>195</v>
      </c>
      <c r="CW47" s="90" t="s">
        <v>195</v>
      </c>
      <c r="CX47" s="90" t="s">
        <v>195</v>
      </c>
      <c r="CY47" s="90" t="s">
        <v>195</v>
      </c>
      <c r="CZ47" s="90" t="s">
        <v>195</v>
      </c>
      <c r="DA47" s="90" t="s">
        <v>195</v>
      </c>
      <c r="DB47" s="90" t="s">
        <v>195</v>
      </c>
      <c r="DC47" s="90" t="s">
        <v>195</v>
      </c>
      <c r="DD47" s="90" t="s">
        <v>195</v>
      </c>
      <c r="DE47" s="90" t="s">
        <v>195</v>
      </c>
      <c r="DF47" s="90" t="s">
        <v>195</v>
      </c>
      <c r="DG47" s="90" t="s">
        <v>195</v>
      </c>
      <c r="DH47" s="90" t="s">
        <v>195</v>
      </c>
      <c r="DI47" s="90" t="s">
        <v>195</v>
      </c>
      <c r="DJ47" s="90" t="s">
        <v>195</v>
      </c>
      <c r="DK47" s="90"/>
      <c r="DL47" s="90" t="s">
        <v>194</v>
      </c>
      <c r="DM47" s="90" t="s">
        <v>195</v>
      </c>
      <c r="DN47" s="90" t="s">
        <v>195</v>
      </c>
      <c r="DO47" s="90" t="s">
        <v>195</v>
      </c>
      <c r="DP47" s="90" t="s">
        <v>195</v>
      </c>
      <c r="DQ47" s="90" t="s">
        <v>195</v>
      </c>
      <c r="DR47" s="90" t="s">
        <v>195</v>
      </c>
      <c r="DS47" s="90" t="s">
        <v>195</v>
      </c>
      <c r="DT47" s="90" t="s">
        <v>195</v>
      </c>
      <c r="DU47" s="90" t="s">
        <v>195</v>
      </c>
      <c r="DV47" s="90" t="s">
        <v>195</v>
      </c>
      <c r="DW47" s="90" t="s">
        <v>195</v>
      </c>
      <c r="DX47" s="90" t="s">
        <v>195</v>
      </c>
      <c r="DY47" s="90" t="s">
        <v>195</v>
      </c>
      <c r="DZ47" s="90" t="s">
        <v>195</v>
      </c>
      <c r="EA47" s="90"/>
      <c r="EB47" s="90" t="s">
        <v>194</v>
      </c>
      <c r="EC47" s="90" t="s">
        <v>195</v>
      </c>
      <c r="ED47" s="90" t="s">
        <v>195</v>
      </c>
      <c r="EE47" s="90" t="s">
        <v>195</v>
      </c>
      <c r="EF47" s="90" t="s">
        <v>195</v>
      </c>
      <c r="EG47" s="90" t="s">
        <v>195</v>
      </c>
      <c r="EH47" s="102" t="s">
        <v>195</v>
      </c>
    </row>
    <row r="48" spans="1:138" ht="23.25" customHeight="1" x14ac:dyDescent="0.25">
      <c r="A48" s="98" t="s">
        <v>17</v>
      </c>
      <c r="B48" s="99" t="s">
        <v>193</v>
      </c>
      <c r="C48" s="99" t="s">
        <v>198</v>
      </c>
      <c r="D48" s="99" t="s">
        <v>202</v>
      </c>
      <c r="E48" s="99" t="s">
        <v>202</v>
      </c>
      <c r="F48" s="99" t="s">
        <v>202</v>
      </c>
      <c r="G48" s="99" t="s">
        <v>202</v>
      </c>
      <c r="H48" s="99" t="s">
        <v>202</v>
      </c>
      <c r="I48" s="99" t="s">
        <v>202</v>
      </c>
      <c r="J48" s="99" t="s">
        <v>202</v>
      </c>
      <c r="K48" s="99" t="s">
        <v>206</v>
      </c>
      <c r="L48" s="99" t="s">
        <v>206</v>
      </c>
      <c r="M48" s="99" t="s">
        <v>206</v>
      </c>
      <c r="N48" s="99" t="s">
        <v>206</v>
      </c>
      <c r="O48" s="99" t="s">
        <v>206</v>
      </c>
      <c r="P48" s="99" t="s">
        <v>30</v>
      </c>
      <c r="Q48" s="99" t="s">
        <v>202</v>
      </c>
      <c r="R48" s="99" t="s">
        <v>202</v>
      </c>
      <c r="S48" s="99" t="s">
        <v>206</v>
      </c>
      <c r="T48" s="99"/>
      <c r="U48" s="99" t="s">
        <v>198</v>
      </c>
      <c r="V48" s="99" t="s">
        <v>30</v>
      </c>
      <c r="W48" s="99" t="s">
        <v>199</v>
      </c>
      <c r="X48" s="99" t="s">
        <v>202</v>
      </c>
      <c r="Y48" s="99" t="s">
        <v>202</v>
      </c>
      <c r="Z48" s="99" t="s">
        <v>208</v>
      </c>
      <c r="AA48" s="99" t="s">
        <v>199</v>
      </c>
      <c r="AB48" s="99" t="s">
        <v>199</v>
      </c>
      <c r="AC48" s="99" t="s">
        <v>199</v>
      </c>
      <c r="AD48" s="99" t="s">
        <v>199</v>
      </c>
      <c r="AE48" s="99" t="s">
        <v>195</v>
      </c>
      <c r="AF48" s="99" t="s">
        <v>195</v>
      </c>
      <c r="AG48" s="99" t="s">
        <v>195</v>
      </c>
      <c r="AH48" s="99" t="s">
        <v>195</v>
      </c>
      <c r="AI48" s="99" t="s">
        <v>198</v>
      </c>
      <c r="AJ48" s="99" t="s">
        <v>199</v>
      </c>
      <c r="AK48" s="99" t="s">
        <v>199</v>
      </c>
      <c r="AL48" s="99" t="s">
        <v>199</v>
      </c>
      <c r="AM48" s="99"/>
      <c r="AN48" s="99" t="s">
        <v>198</v>
      </c>
      <c r="AO48" s="99" t="s">
        <v>30</v>
      </c>
      <c r="AP48" s="99" t="s">
        <v>199</v>
      </c>
      <c r="AQ48" s="99" t="s">
        <v>199</v>
      </c>
      <c r="AR48" s="99" t="s">
        <v>199</v>
      </c>
      <c r="AS48" s="99" t="s">
        <v>199</v>
      </c>
      <c r="AT48" s="99" t="s">
        <v>199</v>
      </c>
      <c r="AU48" s="99" t="s">
        <v>202</v>
      </c>
      <c r="AV48" s="99" t="s">
        <v>199</v>
      </c>
      <c r="AW48" s="99" t="s">
        <v>199</v>
      </c>
      <c r="AX48" s="99" t="s">
        <v>30</v>
      </c>
      <c r="AY48" s="99"/>
      <c r="AZ48" s="99" t="s">
        <v>198</v>
      </c>
      <c r="BA48" s="99" t="s">
        <v>198</v>
      </c>
      <c r="BB48" s="99" t="s">
        <v>202</v>
      </c>
      <c r="BC48" s="99" t="s">
        <v>202</v>
      </c>
      <c r="BD48" s="99" t="s">
        <v>202</v>
      </c>
      <c r="BE48" s="99" t="s">
        <v>206</v>
      </c>
      <c r="BF48" s="99" t="s">
        <v>206</v>
      </c>
      <c r="BG48" s="99" t="s">
        <v>206</v>
      </c>
      <c r="BH48" s="99" t="s">
        <v>30</v>
      </c>
      <c r="BI48" s="99" t="s">
        <v>30</v>
      </c>
      <c r="BJ48" s="99" t="s">
        <v>201</v>
      </c>
      <c r="BK48" s="99" t="s">
        <v>199</v>
      </c>
      <c r="BL48" s="99" t="s">
        <v>199</v>
      </c>
      <c r="BM48" s="99" t="s">
        <v>199</v>
      </c>
      <c r="BN48" s="99" t="s">
        <v>201</v>
      </c>
      <c r="BO48" s="99" t="s">
        <v>201</v>
      </c>
      <c r="BP48" s="99" t="s">
        <v>201</v>
      </c>
      <c r="BQ48" s="99" t="s">
        <v>201</v>
      </c>
      <c r="BR48" s="99" t="s">
        <v>201</v>
      </c>
      <c r="BS48" s="99" t="s">
        <v>201</v>
      </c>
      <c r="BT48" s="99"/>
      <c r="BU48" s="99" t="s">
        <v>203</v>
      </c>
      <c r="BV48" s="99" t="s">
        <v>203</v>
      </c>
      <c r="BW48" s="99" t="s">
        <v>203</v>
      </c>
      <c r="BX48" s="99" t="s">
        <v>203</v>
      </c>
      <c r="BY48" s="99" t="s">
        <v>203</v>
      </c>
      <c r="BZ48" s="99" t="s">
        <v>203</v>
      </c>
      <c r="CA48" s="99" t="s">
        <v>203</v>
      </c>
      <c r="CB48" s="99"/>
      <c r="CC48" s="99" t="s">
        <v>197</v>
      </c>
      <c r="CD48" s="99"/>
      <c r="CE48" s="99" t="s">
        <v>198</v>
      </c>
      <c r="CF48" s="99"/>
      <c r="CG48" s="99"/>
      <c r="CH48" s="99"/>
      <c r="CI48" s="99" t="s">
        <v>198</v>
      </c>
      <c r="CJ48" s="99" t="s">
        <v>199</v>
      </c>
      <c r="CK48" s="99" t="s">
        <v>199</v>
      </c>
      <c r="CL48" s="99" t="s">
        <v>199</v>
      </c>
      <c r="CM48" s="99" t="s">
        <v>199</v>
      </c>
      <c r="CN48" s="99" t="s">
        <v>199</v>
      </c>
      <c r="CO48" s="99" t="s">
        <v>199</v>
      </c>
      <c r="CP48" s="99" t="s">
        <v>199</v>
      </c>
      <c r="CQ48" s="99" t="s">
        <v>199</v>
      </c>
      <c r="CR48" s="99" t="s">
        <v>199</v>
      </c>
      <c r="CS48" s="99" t="s">
        <v>199</v>
      </c>
      <c r="CT48" s="99" t="s">
        <v>199</v>
      </c>
      <c r="CU48" s="99" t="s">
        <v>199</v>
      </c>
      <c r="CV48" s="99" t="s">
        <v>199</v>
      </c>
      <c r="CW48" s="99" t="s">
        <v>199</v>
      </c>
      <c r="CX48" s="99" t="s">
        <v>199</v>
      </c>
      <c r="CY48" s="99" t="s">
        <v>199</v>
      </c>
      <c r="CZ48" s="99" t="s">
        <v>199</v>
      </c>
      <c r="DA48" s="99" t="s">
        <v>199</v>
      </c>
      <c r="DB48" s="99" t="s">
        <v>199</v>
      </c>
      <c r="DC48" s="99" t="s">
        <v>199</v>
      </c>
      <c r="DD48" s="99" t="s">
        <v>199</v>
      </c>
      <c r="DE48" s="99" t="s">
        <v>199</v>
      </c>
      <c r="DF48" s="99" t="s">
        <v>199</v>
      </c>
      <c r="DG48" s="99" t="s">
        <v>30</v>
      </c>
      <c r="DH48" s="99" t="s">
        <v>30</v>
      </c>
      <c r="DI48" s="99" t="s">
        <v>30</v>
      </c>
      <c r="DJ48" s="99" t="s">
        <v>30</v>
      </c>
      <c r="DK48" s="99"/>
      <c r="DL48" s="99" t="s">
        <v>198</v>
      </c>
      <c r="DM48" s="99" t="s">
        <v>199</v>
      </c>
      <c r="DN48" s="99" t="s">
        <v>199</v>
      </c>
      <c r="DO48" s="99" t="s">
        <v>30</v>
      </c>
      <c r="DP48" s="99" t="s">
        <v>199</v>
      </c>
      <c r="DQ48" s="99" t="s">
        <v>199</v>
      </c>
      <c r="DR48" s="99" t="s">
        <v>199</v>
      </c>
      <c r="DS48" s="99" t="s">
        <v>30</v>
      </c>
      <c r="DT48" s="99" t="s">
        <v>199</v>
      </c>
      <c r="DU48" s="99" t="s">
        <v>199</v>
      </c>
      <c r="DV48" s="99" t="s">
        <v>199</v>
      </c>
      <c r="DW48" s="99" t="s">
        <v>199</v>
      </c>
      <c r="DX48" s="99" t="s">
        <v>199</v>
      </c>
      <c r="DY48" s="99" t="s">
        <v>199</v>
      </c>
      <c r="DZ48" s="99" t="s">
        <v>199</v>
      </c>
      <c r="EA48" s="99"/>
      <c r="EB48" s="99" t="s">
        <v>198</v>
      </c>
      <c r="EC48" s="99" t="s">
        <v>30</v>
      </c>
      <c r="ED48" s="99" t="s">
        <v>30</v>
      </c>
      <c r="EE48" s="99" t="s">
        <v>30</v>
      </c>
      <c r="EF48" s="99" t="s">
        <v>30</v>
      </c>
      <c r="EG48" s="99" t="s">
        <v>30</v>
      </c>
      <c r="EH48" s="100" t="s">
        <v>30</v>
      </c>
    </row>
    <row r="49" spans="1:138" ht="23.25" customHeight="1" x14ac:dyDescent="0.25">
      <c r="A49" s="101" t="s">
        <v>16</v>
      </c>
      <c r="B49" s="90" t="s">
        <v>193</v>
      </c>
      <c r="C49" s="90" t="s">
        <v>194</v>
      </c>
      <c r="D49" s="90" t="s">
        <v>195</v>
      </c>
      <c r="E49" s="90" t="s">
        <v>195</v>
      </c>
      <c r="F49" s="90" t="s">
        <v>195</v>
      </c>
      <c r="G49" s="90" t="s">
        <v>195</v>
      </c>
      <c r="H49" s="90" t="s">
        <v>195</v>
      </c>
      <c r="I49" s="90" t="s">
        <v>195</v>
      </c>
      <c r="J49" s="90" t="s">
        <v>195</v>
      </c>
      <c r="K49" s="90" t="s">
        <v>195</v>
      </c>
      <c r="L49" s="90" t="s">
        <v>195</v>
      </c>
      <c r="M49" s="90" t="s">
        <v>195</v>
      </c>
      <c r="N49" s="90" t="s">
        <v>195</v>
      </c>
      <c r="O49" s="90" t="s">
        <v>195</v>
      </c>
      <c r="P49" s="90" t="s">
        <v>195</v>
      </c>
      <c r="Q49" s="90" t="s">
        <v>195</v>
      </c>
      <c r="R49" s="90" t="s">
        <v>195</v>
      </c>
      <c r="S49" s="90" t="s">
        <v>195</v>
      </c>
      <c r="T49" s="90"/>
      <c r="U49" s="90" t="s">
        <v>194</v>
      </c>
      <c r="V49" s="90" t="s">
        <v>195</v>
      </c>
      <c r="W49" s="90" t="s">
        <v>195</v>
      </c>
      <c r="X49" s="90" t="s">
        <v>195</v>
      </c>
      <c r="Y49" s="90" t="s">
        <v>195</v>
      </c>
      <c r="Z49" s="90" t="s">
        <v>196</v>
      </c>
      <c r="AA49" s="90" t="s">
        <v>195</v>
      </c>
      <c r="AB49" s="90" t="s">
        <v>195</v>
      </c>
      <c r="AC49" s="90" t="s">
        <v>195</v>
      </c>
      <c r="AD49" s="90" t="s">
        <v>195</v>
      </c>
      <c r="AE49" s="90" t="s">
        <v>195</v>
      </c>
      <c r="AF49" s="90" t="s">
        <v>195</v>
      </c>
      <c r="AG49" s="90" t="s">
        <v>195</v>
      </c>
      <c r="AH49" s="90" t="s">
        <v>195</v>
      </c>
      <c r="AI49" s="90" t="s">
        <v>194</v>
      </c>
      <c r="AJ49" s="90" t="s">
        <v>195</v>
      </c>
      <c r="AK49" s="90" t="s">
        <v>195</v>
      </c>
      <c r="AL49" s="90" t="s">
        <v>195</v>
      </c>
      <c r="AM49" s="90"/>
      <c r="AN49" s="90" t="s">
        <v>194</v>
      </c>
      <c r="AO49" s="90" t="s">
        <v>195</v>
      </c>
      <c r="AP49" s="90" t="s">
        <v>195</v>
      </c>
      <c r="AQ49" s="90" t="s">
        <v>195</v>
      </c>
      <c r="AR49" s="90" t="s">
        <v>195</v>
      </c>
      <c r="AS49" s="90" t="s">
        <v>195</v>
      </c>
      <c r="AT49" s="90" t="s">
        <v>195</v>
      </c>
      <c r="AU49" s="90" t="s">
        <v>195</v>
      </c>
      <c r="AV49" s="90" t="s">
        <v>195</v>
      </c>
      <c r="AW49" s="90" t="s">
        <v>195</v>
      </c>
      <c r="AX49" s="90" t="s">
        <v>195</v>
      </c>
      <c r="AY49" s="90"/>
      <c r="AZ49" s="90" t="s">
        <v>194</v>
      </c>
      <c r="BA49" s="90" t="s">
        <v>194</v>
      </c>
      <c r="BB49" s="90" t="s">
        <v>195</v>
      </c>
      <c r="BC49" s="90" t="s">
        <v>195</v>
      </c>
      <c r="BD49" s="90" t="s">
        <v>195</v>
      </c>
      <c r="BE49" s="90" t="s">
        <v>195</v>
      </c>
      <c r="BF49" s="90" t="s">
        <v>195</v>
      </c>
      <c r="BG49" s="90" t="s">
        <v>195</v>
      </c>
      <c r="BH49" s="90" t="s">
        <v>195</v>
      </c>
      <c r="BI49" s="90" t="s">
        <v>195</v>
      </c>
      <c r="BJ49" s="90" t="s">
        <v>195</v>
      </c>
      <c r="BK49" s="90" t="s">
        <v>195</v>
      </c>
      <c r="BL49" s="90" t="s">
        <v>195</v>
      </c>
      <c r="BM49" s="90" t="s">
        <v>195</v>
      </c>
      <c r="BN49" s="90" t="s">
        <v>195</v>
      </c>
      <c r="BO49" s="90" t="s">
        <v>195</v>
      </c>
      <c r="BP49" s="90" t="s">
        <v>195</v>
      </c>
      <c r="BQ49" s="90" t="s">
        <v>195</v>
      </c>
      <c r="BR49" s="90" t="s">
        <v>195</v>
      </c>
      <c r="BS49" s="90" t="s">
        <v>195</v>
      </c>
      <c r="BT49" s="90"/>
      <c r="BU49" s="90" t="s">
        <v>203</v>
      </c>
      <c r="BV49" s="90" t="s">
        <v>203</v>
      </c>
      <c r="BW49" s="90" t="s">
        <v>203</v>
      </c>
      <c r="BX49" s="90" t="s">
        <v>203</v>
      </c>
      <c r="BY49" s="90" t="s">
        <v>203</v>
      </c>
      <c r="BZ49" s="90" t="s">
        <v>203</v>
      </c>
      <c r="CA49" s="90" t="s">
        <v>203</v>
      </c>
      <c r="CB49" s="90"/>
      <c r="CC49" s="90" t="s">
        <v>197</v>
      </c>
      <c r="CD49" s="90"/>
      <c r="CE49" s="90" t="s">
        <v>198</v>
      </c>
      <c r="CF49" s="90"/>
      <c r="CG49" s="90"/>
      <c r="CH49" s="90"/>
      <c r="CI49" s="90" t="s">
        <v>194</v>
      </c>
      <c r="CJ49" s="90" t="s">
        <v>195</v>
      </c>
      <c r="CK49" s="90" t="s">
        <v>195</v>
      </c>
      <c r="CL49" s="90" t="s">
        <v>195</v>
      </c>
      <c r="CM49" s="90" t="s">
        <v>195</v>
      </c>
      <c r="CN49" s="90" t="s">
        <v>195</v>
      </c>
      <c r="CO49" s="90" t="s">
        <v>195</v>
      </c>
      <c r="CP49" s="90" t="s">
        <v>195</v>
      </c>
      <c r="CQ49" s="90" t="s">
        <v>195</v>
      </c>
      <c r="CR49" s="90" t="s">
        <v>195</v>
      </c>
      <c r="CS49" s="90" t="s">
        <v>195</v>
      </c>
      <c r="CT49" s="90" t="s">
        <v>195</v>
      </c>
      <c r="CU49" s="90" t="s">
        <v>195</v>
      </c>
      <c r="CV49" s="90" t="s">
        <v>195</v>
      </c>
      <c r="CW49" s="90" t="s">
        <v>195</v>
      </c>
      <c r="CX49" s="90" t="s">
        <v>195</v>
      </c>
      <c r="CY49" s="90" t="s">
        <v>195</v>
      </c>
      <c r="CZ49" s="90" t="s">
        <v>195</v>
      </c>
      <c r="DA49" s="90" t="s">
        <v>195</v>
      </c>
      <c r="DB49" s="90" t="s">
        <v>195</v>
      </c>
      <c r="DC49" s="90" t="s">
        <v>195</v>
      </c>
      <c r="DD49" s="90" t="s">
        <v>195</v>
      </c>
      <c r="DE49" s="90" t="s">
        <v>195</v>
      </c>
      <c r="DF49" s="90" t="s">
        <v>195</v>
      </c>
      <c r="DG49" s="90" t="s">
        <v>195</v>
      </c>
      <c r="DH49" s="90" t="s">
        <v>195</v>
      </c>
      <c r="DI49" s="90" t="s">
        <v>195</v>
      </c>
      <c r="DJ49" s="90" t="s">
        <v>195</v>
      </c>
      <c r="DK49" s="90"/>
      <c r="DL49" s="90" t="s">
        <v>194</v>
      </c>
      <c r="DM49" s="90" t="s">
        <v>195</v>
      </c>
      <c r="DN49" s="90" t="s">
        <v>195</v>
      </c>
      <c r="DO49" s="90" t="s">
        <v>195</v>
      </c>
      <c r="DP49" s="90" t="s">
        <v>195</v>
      </c>
      <c r="DQ49" s="90" t="s">
        <v>195</v>
      </c>
      <c r="DR49" s="90" t="s">
        <v>195</v>
      </c>
      <c r="DS49" s="90" t="s">
        <v>195</v>
      </c>
      <c r="DT49" s="90" t="s">
        <v>195</v>
      </c>
      <c r="DU49" s="90" t="s">
        <v>195</v>
      </c>
      <c r="DV49" s="90" t="s">
        <v>195</v>
      </c>
      <c r="DW49" s="90" t="s">
        <v>195</v>
      </c>
      <c r="DX49" s="90" t="s">
        <v>195</v>
      </c>
      <c r="DY49" s="90" t="s">
        <v>195</v>
      </c>
      <c r="DZ49" s="90" t="s">
        <v>195</v>
      </c>
      <c r="EA49" s="90"/>
      <c r="EB49" s="90" t="s">
        <v>194</v>
      </c>
      <c r="EC49" s="90" t="s">
        <v>195</v>
      </c>
      <c r="ED49" s="90" t="s">
        <v>195</v>
      </c>
      <c r="EE49" s="90" t="s">
        <v>195</v>
      </c>
      <c r="EF49" s="90" t="s">
        <v>195</v>
      </c>
      <c r="EG49" s="90" t="s">
        <v>195</v>
      </c>
      <c r="EH49" s="102" t="s">
        <v>195</v>
      </c>
    </row>
    <row r="50" spans="1:138" ht="23.25" customHeight="1" x14ac:dyDescent="0.25">
      <c r="A50" s="98" t="s">
        <v>16</v>
      </c>
      <c r="B50" s="99" t="s">
        <v>193</v>
      </c>
      <c r="C50" s="99" t="s">
        <v>194</v>
      </c>
      <c r="D50" s="99" t="s">
        <v>195</v>
      </c>
      <c r="E50" s="99" t="s">
        <v>195</v>
      </c>
      <c r="F50" s="99" t="s">
        <v>195</v>
      </c>
      <c r="G50" s="99" t="s">
        <v>195</v>
      </c>
      <c r="H50" s="99" t="s">
        <v>195</v>
      </c>
      <c r="I50" s="99" t="s">
        <v>195</v>
      </c>
      <c r="J50" s="99" t="s">
        <v>195</v>
      </c>
      <c r="K50" s="99" t="s">
        <v>195</v>
      </c>
      <c r="L50" s="99" t="s">
        <v>195</v>
      </c>
      <c r="M50" s="99" t="s">
        <v>195</v>
      </c>
      <c r="N50" s="99" t="s">
        <v>195</v>
      </c>
      <c r="O50" s="99" t="s">
        <v>195</v>
      </c>
      <c r="P50" s="99" t="s">
        <v>195</v>
      </c>
      <c r="Q50" s="99" t="s">
        <v>195</v>
      </c>
      <c r="R50" s="99" t="s">
        <v>195</v>
      </c>
      <c r="S50" s="99" t="s">
        <v>195</v>
      </c>
      <c r="T50" s="99"/>
      <c r="U50" s="99" t="s">
        <v>198</v>
      </c>
      <c r="V50" s="99" t="s">
        <v>206</v>
      </c>
      <c r="W50" s="99" t="s">
        <v>199</v>
      </c>
      <c r="X50" s="99" t="s">
        <v>30</v>
      </c>
      <c r="Y50" s="99" t="s">
        <v>206</v>
      </c>
      <c r="Z50" s="99" t="s">
        <v>196</v>
      </c>
      <c r="AA50" s="99" t="s">
        <v>195</v>
      </c>
      <c r="AB50" s="99" t="s">
        <v>195</v>
      </c>
      <c r="AC50" s="99" t="s">
        <v>195</v>
      </c>
      <c r="AD50" s="99" t="s">
        <v>195</v>
      </c>
      <c r="AE50" s="99" t="s">
        <v>206</v>
      </c>
      <c r="AF50" s="99" t="s">
        <v>206</v>
      </c>
      <c r="AG50" s="99" t="s">
        <v>206</v>
      </c>
      <c r="AH50" s="99" t="s">
        <v>206</v>
      </c>
      <c r="AI50" s="99" t="s">
        <v>198</v>
      </c>
      <c r="AJ50" s="99" t="s">
        <v>199</v>
      </c>
      <c r="AK50" s="99" t="s">
        <v>30</v>
      </c>
      <c r="AL50" s="99" t="s">
        <v>30</v>
      </c>
      <c r="AM50" s="99"/>
      <c r="AN50" s="99" t="s">
        <v>194</v>
      </c>
      <c r="AO50" s="99" t="s">
        <v>195</v>
      </c>
      <c r="AP50" s="99" t="s">
        <v>195</v>
      </c>
      <c r="AQ50" s="99" t="s">
        <v>195</v>
      </c>
      <c r="AR50" s="99" t="s">
        <v>195</v>
      </c>
      <c r="AS50" s="99" t="s">
        <v>195</v>
      </c>
      <c r="AT50" s="99" t="s">
        <v>195</v>
      </c>
      <c r="AU50" s="99" t="s">
        <v>195</v>
      </c>
      <c r="AV50" s="99" t="s">
        <v>195</v>
      </c>
      <c r="AW50" s="99" t="s">
        <v>195</v>
      </c>
      <c r="AX50" s="99" t="s">
        <v>195</v>
      </c>
      <c r="AY50" s="99"/>
      <c r="AZ50" s="99" t="s">
        <v>194</v>
      </c>
      <c r="BA50" s="99" t="s">
        <v>194</v>
      </c>
      <c r="BB50" s="99" t="s">
        <v>195</v>
      </c>
      <c r="BC50" s="99" t="s">
        <v>195</v>
      </c>
      <c r="BD50" s="99" t="s">
        <v>195</v>
      </c>
      <c r="BE50" s="99" t="s">
        <v>195</v>
      </c>
      <c r="BF50" s="99" t="s">
        <v>195</v>
      </c>
      <c r="BG50" s="99" t="s">
        <v>195</v>
      </c>
      <c r="BH50" s="99" t="s">
        <v>195</v>
      </c>
      <c r="BI50" s="99" t="s">
        <v>195</v>
      </c>
      <c r="BJ50" s="99" t="s">
        <v>195</v>
      </c>
      <c r="BK50" s="99" t="s">
        <v>195</v>
      </c>
      <c r="BL50" s="99" t="s">
        <v>195</v>
      </c>
      <c r="BM50" s="99" t="s">
        <v>195</v>
      </c>
      <c r="BN50" s="99" t="s">
        <v>195</v>
      </c>
      <c r="BO50" s="99" t="s">
        <v>195</v>
      </c>
      <c r="BP50" s="99" t="s">
        <v>195</v>
      </c>
      <c r="BQ50" s="99" t="s">
        <v>195</v>
      </c>
      <c r="BR50" s="99" t="s">
        <v>195</v>
      </c>
      <c r="BS50" s="99" t="s">
        <v>195</v>
      </c>
      <c r="BT50" s="99"/>
      <c r="BU50" s="99" t="s">
        <v>199</v>
      </c>
      <c r="BV50" s="99" t="s">
        <v>199</v>
      </c>
      <c r="BW50" s="99" t="s">
        <v>199</v>
      </c>
      <c r="BX50" s="99" t="s">
        <v>199</v>
      </c>
      <c r="BY50" s="99" t="s">
        <v>199</v>
      </c>
      <c r="BZ50" s="99" t="s">
        <v>199</v>
      </c>
      <c r="CA50" s="99" t="s">
        <v>200</v>
      </c>
      <c r="CB50" s="99"/>
      <c r="CC50" s="99" t="s">
        <v>205</v>
      </c>
      <c r="CD50" s="99"/>
      <c r="CE50" s="99" t="s">
        <v>198</v>
      </c>
      <c r="CF50" s="99"/>
      <c r="CG50" s="99"/>
      <c r="CH50" s="99"/>
      <c r="CI50" s="99" t="s">
        <v>198</v>
      </c>
      <c r="CJ50" s="99" t="s">
        <v>199</v>
      </c>
      <c r="CK50" s="99" t="s">
        <v>30</v>
      </c>
      <c r="CL50" s="99" t="s">
        <v>199</v>
      </c>
      <c r="CM50" s="99" t="s">
        <v>30</v>
      </c>
      <c r="CN50" s="99" t="s">
        <v>199</v>
      </c>
      <c r="CO50" s="99" t="s">
        <v>199</v>
      </c>
      <c r="CP50" s="99" t="s">
        <v>199</v>
      </c>
      <c r="CQ50" s="99" t="s">
        <v>199</v>
      </c>
      <c r="CR50" s="99" t="s">
        <v>199</v>
      </c>
      <c r="CS50" s="99" t="s">
        <v>199</v>
      </c>
      <c r="CT50" s="99" t="s">
        <v>199</v>
      </c>
      <c r="CU50" s="99" t="s">
        <v>199</v>
      </c>
      <c r="CV50" s="99" t="s">
        <v>199</v>
      </c>
      <c r="CW50" s="99" t="s">
        <v>199</v>
      </c>
      <c r="CX50" s="99" t="s">
        <v>199</v>
      </c>
      <c r="CY50" s="99" t="s">
        <v>199</v>
      </c>
      <c r="CZ50" s="99" t="s">
        <v>199</v>
      </c>
      <c r="DA50" s="99" t="s">
        <v>199</v>
      </c>
      <c r="DB50" s="99" t="s">
        <v>199</v>
      </c>
      <c r="DC50" s="99" t="s">
        <v>199</v>
      </c>
      <c r="DD50" s="99" t="s">
        <v>199</v>
      </c>
      <c r="DE50" s="99" t="s">
        <v>199</v>
      </c>
      <c r="DF50" s="99" t="s">
        <v>199</v>
      </c>
      <c r="DG50" s="99" t="s">
        <v>30</v>
      </c>
      <c r="DH50" s="99" t="s">
        <v>200</v>
      </c>
      <c r="DI50" s="99" t="s">
        <v>200</v>
      </c>
      <c r="DJ50" s="99" t="s">
        <v>202</v>
      </c>
      <c r="DK50" s="99"/>
      <c r="DL50" s="99" t="s">
        <v>194</v>
      </c>
      <c r="DM50" s="99" t="s">
        <v>195</v>
      </c>
      <c r="DN50" s="99" t="s">
        <v>195</v>
      </c>
      <c r="DO50" s="99" t="s">
        <v>195</v>
      </c>
      <c r="DP50" s="99" t="s">
        <v>195</v>
      </c>
      <c r="DQ50" s="99" t="s">
        <v>195</v>
      </c>
      <c r="DR50" s="99" t="s">
        <v>195</v>
      </c>
      <c r="DS50" s="99" t="s">
        <v>195</v>
      </c>
      <c r="DT50" s="99" t="s">
        <v>195</v>
      </c>
      <c r="DU50" s="99" t="s">
        <v>195</v>
      </c>
      <c r="DV50" s="99" t="s">
        <v>195</v>
      </c>
      <c r="DW50" s="99" t="s">
        <v>195</v>
      </c>
      <c r="DX50" s="99" t="s">
        <v>195</v>
      </c>
      <c r="DY50" s="99" t="s">
        <v>195</v>
      </c>
      <c r="DZ50" s="99" t="s">
        <v>195</v>
      </c>
      <c r="EA50" s="99"/>
      <c r="EB50" s="99" t="s">
        <v>198</v>
      </c>
      <c r="EC50" s="99" t="s">
        <v>30</v>
      </c>
      <c r="ED50" s="99" t="s">
        <v>30</v>
      </c>
      <c r="EE50" s="99" t="s">
        <v>199</v>
      </c>
      <c r="EF50" s="99" t="s">
        <v>30</v>
      </c>
      <c r="EG50" s="99" t="s">
        <v>30</v>
      </c>
      <c r="EH50" s="100" t="s">
        <v>30</v>
      </c>
    </row>
    <row r="51" spans="1:138" ht="23.25" customHeight="1" x14ac:dyDescent="0.25">
      <c r="A51" s="101" t="s">
        <v>16</v>
      </c>
      <c r="B51" s="90" t="s">
        <v>193</v>
      </c>
      <c r="C51" s="90" t="s">
        <v>194</v>
      </c>
      <c r="D51" s="90" t="s">
        <v>195</v>
      </c>
      <c r="E51" s="90" t="s">
        <v>195</v>
      </c>
      <c r="F51" s="90" t="s">
        <v>195</v>
      </c>
      <c r="G51" s="90" t="s">
        <v>195</v>
      </c>
      <c r="H51" s="90" t="s">
        <v>195</v>
      </c>
      <c r="I51" s="90" t="s">
        <v>195</v>
      </c>
      <c r="J51" s="90" t="s">
        <v>195</v>
      </c>
      <c r="K51" s="90" t="s">
        <v>195</v>
      </c>
      <c r="L51" s="90" t="s">
        <v>195</v>
      </c>
      <c r="M51" s="90" t="s">
        <v>195</v>
      </c>
      <c r="N51" s="90" t="s">
        <v>195</v>
      </c>
      <c r="O51" s="90" t="s">
        <v>195</v>
      </c>
      <c r="P51" s="90" t="s">
        <v>195</v>
      </c>
      <c r="Q51" s="90" t="s">
        <v>195</v>
      </c>
      <c r="R51" s="90" t="s">
        <v>195</v>
      </c>
      <c r="S51" s="90" t="s">
        <v>195</v>
      </c>
      <c r="T51" s="90"/>
      <c r="U51" s="90" t="s">
        <v>194</v>
      </c>
      <c r="V51" s="90" t="s">
        <v>195</v>
      </c>
      <c r="W51" s="90" t="s">
        <v>195</v>
      </c>
      <c r="X51" s="90" t="s">
        <v>195</v>
      </c>
      <c r="Y51" s="90" t="s">
        <v>195</v>
      </c>
      <c r="Z51" s="90" t="s">
        <v>196</v>
      </c>
      <c r="AA51" s="90" t="s">
        <v>195</v>
      </c>
      <c r="AB51" s="90" t="s">
        <v>195</v>
      </c>
      <c r="AC51" s="90" t="s">
        <v>195</v>
      </c>
      <c r="AD51" s="90" t="s">
        <v>195</v>
      </c>
      <c r="AE51" s="90" t="s">
        <v>195</v>
      </c>
      <c r="AF51" s="90" t="s">
        <v>195</v>
      </c>
      <c r="AG51" s="90" t="s">
        <v>195</v>
      </c>
      <c r="AH51" s="90" t="s">
        <v>195</v>
      </c>
      <c r="AI51" s="90" t="s">
        <v>194</v>
      </c>
      <c r="AJ51" s="90" t="s">
        <v>195</v>
      </c>
      <c r="AK51" s="90" t="s">
        <v>195</v>
      </c>
      <c r="AL51" s="90" t="s">
        <v>195</v>
      </c>
      <c r="AM51" s="90"/>
      <c r="AN51" s="90" t="s">
        <v>194</v>
      </c>
      <c r="AO51" s="90" t="s">
        <v>195</v>
      </c>
      <c r="AP51" s="90" t="s">
        <v>195</v>
      </c>
      <c r="AQ51" s="90" t="s">
        <v>195</v>
      </c>
      <c r="AR51" s="90" t="s">
        <v>195</v>
      </c>
      <c r="AS51" s="90" t="s">
        <v>195</v>
      </c>
      <c r="AT51" s="90" t="s">
        <v>195</v>
      </c>
      <c r="AU51" s="90" t="s">
        <v>195</v>
      </c>
      <c r="AV51" s="90" t="s">
        <v>195</v>
      </c>
      <c r="AW51" s="90" t="s">
        <v>195</v>
      </c>
      <c r="AX51" s="90" t="s">
        <v>195</v>
      </c>
      <c r="AY51" s="90"/>
      <c r="AZ51" s="90" t="s">
        <v>194</v>
      </c>
      <c r="BA51" s="90" t="s">
        <v>194</v>
      </c>
      <c r="BB51" s="90" t="s">
        <v>195</v>
      </c>
      <c r="BC51" s="90" t="s">
        <v>195</v>
      </c>
      <c r="BD51" s="90" t="s">
        <v>195</v>
      </c>
      <c r="BE51" s="90" t="s">
        <v>195</v>
      </c>
      <c r="BF51" s="90" t="s">
        <v>195</v>
      </c>
      <c r="BG51" s="90" t="s">
        <v>195</v>
      </c>
      <c r="BH51" s="90" t="s">
        <v>195</v>
      </c>
      <c r="BI51" s="90" t="s">
        <v>195</v>
      </c>
      <c r="BJ51" s="90" t="s">
        <v>195</v>
      </c>
      <c r="BK51" s="90" t="s">
        <v>195</v>
      </c>
      <c r="BL51" s="90" t="s">
        <v>195</v>
      </c>
      <c r="BM51" s="90" t="s">
        <v>195</v>
      </c>
      <c r="BN51" s="90" t="s">
        <v>195</v>
      </c>
      <c r="BO51" s="90" t="s">
        <v>195</v>
      </c>
      <c r="BP51" s="90" t="s">
        <v>195</v>
      </c>
      <c r="BQ51" s="90" t="s">
        <v>195</v>
      </c>
      <c r="BR51" s="90" t="s">
        <v>195</v>
      </c>
      <c r="BS51" s="90" t="s">
        <v>195</v>
      </c>
      <c r="BT51" s="90"/>
      <c r="BU51" s="90" t="s">
        <v>203</v>
      </c>
      <c r="BV51" s="90" t="s">
        <v>203</v>
      </c>
      <c r="BW51" s="90" t="s">
        <v>203</v>
      </c>
      <c r="BX51" s="90" t="s">
        <v>203</v>
      </c>
      <c r="BY51" s="90" t="s">
        <v>203</v>
      </c>
      <c r="BZ51" s="90" t="s">
        <v>203</v>
      </c>
      <c r="CA51" s="90" t="s">
        <v>203</v>
      </c>
      <c r="CB51" s="90"/>
      <c r="CC51" s="90" t="s">
        <v>197</v>
      </c>
      <c r="CD51" s="90"/>
      <c r="CE51" s="90" t="s">
        <v>198</v>
      </c>
      <c r="CF51" s="90"/>
      <c r="CG51" s="90"/>
      <c r="CH51" s="90"/>
      <c r="CI51" s="90" t="s">
        <v>194</v>
      </c>
      <c r="CJ51" s="90" t="s">
        <v>195</v>
      </c>
      <c r="CK51" s="90" t="s">
        <v>195</v>
      </c>
      <c r="CL51" s="90" t="s">
        <v>195</v>
      </c>
      <c r="CM51" s="90" t="s">
        <v>195</v>
      </c>
      <c r="CN51" s="90" t="s">
        <v>195</v>
      </c>
      <c r="CO51" s="90" t="s">
        <v>195</v>
      </c>
      <c r="CP51" s="90" t="s">
        <v>195</v>
      </c>
      <c r="CQ51" s="90" t="s">
        <v>195</v>
      </c>
      <c r="CR51" s="90" t="s">
        <v>195</v>
      </c>
      <c r="CS51" s="90" t="s">
        <v>195</v>
      </c>
      <c r="CT51" s="90" t="s">
        <v>195</v>
      </c>
      <c r="CU51" s="90" t="s">
        <v>195</v>
      </c>
      <c r="CV51" s="90" t="s">
        <v>195</v>
      </c>
      <c r="CW51" s="90" t="s">
        <v>195</v>
      </c>
      <c r="CX51" s="90" t="s">
        <v>195</v>
      </c>
      <c r="CY51" s="90" t="s">
        <v>195</v>
      </c>
      <c r="CZ51" s="90" t="s">
        <v>195</v>
      </c>
      <c r="DA51" s="90" t="s">
        <v>195</v>
      </c>
      <c r="DB51" s="90" t="s">
        <v>195</v>
      </c>
      <c r="DC51" s="90" t="s">
        <v>195</v>
      </c>
      <c r="DD51" s="90" t="s">
        <v>195</v>
      </c>
      <c r="DE51" s="90" t="s">
        <v>195</v>
      </c>
      <c r="DF51" s="90" t="s">
        <v>195</v>
      </c>
      <c r="DG51" s="90" t="s">
        <v>195</v>
      </c>
      <c r="DH51" s="90" t="s">
        <v>195</v>
      </c>
      <c r="DI51" s="90" t="s">
        <v>195</v>
      </c>
      <c r="DJ51" s="90" t="s">
        <v>195</v>
      </c>
      <c r="DK51" s="90"/>
      <c r="DL51" s="90" t="s">
        <v>194</v>
      </c>
      <c r="DM51" s="90" t="s">
        <v>195</v>
      </c>
      <c r="DN51" s="90" t="s">
        <v>195</v>
      </c>
      <c r="DO51" s="90" t="s">
        <v>195</v>
      </c>
      <c r="DP51" s="90" t="s">
        <v>195</v>
      </c>
      <c r="DQ51" s="90" t="s">
        <v>195</v>
      </c>
      <c r="DR51" s="90" t="s">
        <v>195</v>
      </c>
      <c r="DS51" s="90" t="s">
        <v>195</v>
      </c>
      <c r="DT51" s="90" t="s">
        <v>195</v>
      </c>
      <c r="DU51" s="90" t="s">
        <v>195</v>
      </c>
      <c r="DV51" s="90" t="s">
        <v>195</v>
      </c>
      <c r="DW51" s="90" t="s">
        <v>195</v>
      </c>
      <c r="DX51" s="90" t="s">
        <v>195</v>
      </c>
      <c r="DY51" s="90" t="s">
        <v>195</v>
      </c>
      <c r="DZ51" s="90" t="s">
        <v>195</v>
      </c>
      <c r="EA51" s="90"/>
      <c r="EB51" s="90" t="s">
        <v>194</v>
      </c>
      <c r="EC51" s="90" t="s">
        <v>195</v>
      </c>
      <c r="ED51" s="90" t="s">
        <v>195</v>
      </c>
      <c r="EE51" s="90" t="s">
        <v>195</v>
      </c>
      <c r="EF51" s="90" t="s">
        <v>195</v>
      </c>
      <c r="EG51" s="90" t="s">
        <v>195</v>
      </c>
      <c r="EH51" s="102" t="s">
        <v>195</v>
      </c>
    </row>
    <row r="52" spans="1:138" ht="23.25" customHeight="1" x14ac:dyDescent="0.25">
      <c r="A52" s="98" t="s">
        <v>17</v>
      </c>
      <c r="B52" s="99" t="s">
        <v>193</v>
      </c>
      <c r="C52" s="99" t="s">
        <v>198</v>
      </c>
      <c r="D52" s="99" t="s">
        <v>199</v>
      </c>
      <c r="E52" s="99" t="s">
        <v>199</v>
      </c>
      <c r="F52" s="99" t="s">
        <v>199</v>
      </c>
      <c r="G52" s="99" t="s">
        <v>201</v>
      </c>
      <c r="H52" s="99" t="s">
        <v>201</v>
      </c>
      <c r="I52" s="99" t="s">
        <v>199</v>
      </c>
      <c r="J52" s="99" t="s">
        <v>199</v>
      </c>
      <c r="K52" s="99" t="s">
        <v>30</v>
      </c>
      <c r="L52" s="99" t="s">
        <v>30</v>
      </c>
      <c r="M52" s="99" t="s">
        <v>30</v>
      </c>
      <c r="N52" s="99" t="s">
        <v>201</v>
      </c>
      <c r="O52" s="99" t="s">
        <v>199</v>
      </c>
      <c r="P52" s="99" t="s">
        <v>199</v>
      </c>
      <c r="Q52" s="99" t="s">
        <v>199</v>
      </c>
      <c r="R52" s="99" t="s">
        <v>201</v>
      </c>
      <c r="S52" s="99" t="s">
        <v>199</v>
      </c>
      <c r="T52" s="99"/>
      <c r="U52" s="99" t="s">
        <v>194</v>
      </c>
      <c r="V52" s="99" t="s">
        <v>195</v>
      </c>
      <c r="W52" s="99" t="s">
        <v>195</v>
      </c>
      <c r="X52" s="99" t="s">
        <v>195</v>
      </c>
      <c r="Y52" s="99" t="s">
        <v>195</v>
      </c>
      <c r="Z52" s="99" t="s">
        <v>17</v>
      </c>
      <c r="AA52" s="99" t="s">
        <v>195</v>
      </c>
      <c r="AB52" s="99" t="s">
        <v>195</v>
      </c>
      <c r="AC52" s="99" t="s">
        <v>195</v>
      </c>
      <c r="AD52" s="99" t="s">
        <v>195</v>
      </c>
      <c r="AE52" s="99" t="s">
        <v>195</v>
      </c>
      <c r="AF52" s="99" t="s">
        <v>195</v>
      </c>
      <c r="AG52" s="99" t="s">
        <v>195</v>
      </c>
      <c r="AH52" s="99" t="s">
        <v>195</v>
      </c>
      <c r="AI52" s="99" t="s">
        <v>194</v>
      </c>
      <c r="AJ52" s="99" t="s">
        <v>195</v>
      </c>
      <c r="AK52" s="99" t="s">
        <v>195</v>
      </c>
      <c r="AL52" s="99" t="s">
        <v>195</v>
      </c>
      <c r="AM52" s="99"/>
      <c r="AN52" s="99" t="s">
        <v>194</v>
      </c>
      <c r="AO52" s="99" t="s">
        <v>195</v>
      </c>
      <c r="AP52" s="99" t="s">
        <v>195</v>
      </c>
      <c r="AQ52" s="99" t="s">
        <v>195</v>
      </c>
      <c r="AR52" s="99" t="s">
        <v>195</v>
      </c>
      <c r="AS52" s="99" t="s">
        <v>195</v>
      </c>
      <c r="AT52" s="99" t="s">
        <v>195</v>
      </c>
      <c r="AU52" s="99" t="s">
        <v>195</v>
      </c>
      <c r="AV52" s="99" t="s">
        <v>195</v>
      </c>
      <c r="AW52" s="99" t="s">
        <v>195</v>
      </c>
      <c r="AX52" s="99" t="s">
        <v>195</v>
      </c>
      <c r="AY52" s="99"/>
      <c r="AZ52" s="99" t="s">
        <v>198</v>
      </c>
      <c r="BA52" s="99" t="s">
        <v>198</v>
      </c>
      <c r="BB52" s="99" t="s">
        <v>201</v>
      </c>
      <c r="BC52" s="99" t="s">
        <v>199</v>
      </c>
      <c r="BD52" s="99" t="s">
        <v>30</v>
      </c>
      <c r="BE52" s="99" t="s">
        <v>30</v>
      </c>
      <c r="BF52" s="99" t="s">
        <v>30</v>
      </c>
      <c r="BG52" s="99" t="s">
        <v>199</v>
      </c>
      <c r="BH52" s="99" t="s">
        <v>199</v>
      </c>
      <c r="BI52" s="99" t="s">
        <v>199</v>
      </c>
      <c r="BJ52" s="99" t="s">
        <v>201</v>
      </c>
      <c r="BK52" s="99" t="s">
        <v>199</v>
      </c>
      <c r="BL52" s="99" t="s">
        <v>199</v>
      </c>
      <c r="BM52" s="99" t="s">
        <v>199</v>
      </c>
      <c r="BN52" s="99" t="s">
        <v>199</v>
      </c>
      <c r="BO52" s="99" t="s">
        <v>199</v>
      </c>
      <c r="BP52" s="99" t="s">
        <v>199</v>
      </c>
      <c r="BQ52" s="99" t="s">
        <v>199</v>
      </c>
      <c r="BR52" s="99" t="s">
        <v>199</v>
      </c>
      <c r="BS52" s="99" t="s">
        <v>199</v>
      </c>
      <c r="BT52" s="99"/>
      <c r="BU52" s="99" t="s">
        <v>203</v>
      </c>
      <c r="BV52" s="99" t="s">
        <v>203</v>
      </c>
      <c r="BW52" s="99" t="s">
        <v>203</v>
      </c>
      <c r="BX52" s="99" t="s">
        <v>203</v>
      </c>
      <c r="BY52" s="99" t="s">
        <v>203</v>
      </c>
      <c r="BZ52" s="99" t="s">
        <v>203</v>
      </c>
      <c r="CA52" s="99" t="s">
        <v>203</v>
      </c>
      <c r="CB52" s="99"/>
      <c r="CC52" s="99" t="s">
        <v>207</v>
      </c>
      <c r="CD52" s="99"/>
      <c r="CE52" s="99" t="s">
        <v>198</v>
      </c>
      <c r="CF52" s="99"/>
      <c r="CG52" s="99"/>
      <c r="CH52" s="99"/>
      <c r="CI52" s="99" t="s">
        <v>194</v>
      </c>
      <c r="CJ52" s="99" t="s">
        <v>195</v>
      </c>
      <c r="CK52" s="99" t="s">
        <v>195</v>
      </c>
      <c r="CL52" s="99" t="s">
        <v>195</v>
      </c>
      <c r="CM52" s="99" t="s">
        <v>195</v>
      </c>
      <c r="CN52" s="99" t="s">
        <v>195</v>
      </c>
      <c r="CO52" s="99" t="s">
        <v>195</v>
      </c>
      <c r="CP52" s="99" t="s">
        <v>195</v>
      </c>
      <c r="CQ52" s="99" t="s">
        <v>195</v>
      </c>
      <c r="CR52" s="99" t="s">
        <v>195</v>
      </c>
      <c r="CS52" s="99" t="s">
        <v>195</v>
      </c>
      <c r="CT52" s="99" t="s">
        <v>195</v>
      </c>
      <c r="CU52" s="99" t="s">
        <v>195</v>
      </c>
      <c r="CV52" s="99" t="s">
        <v>195</v>
      </c>
      <c r="CW52" s="99" t="s">
        <v>195</v>
      </c>
      <c r="CX52" s="99" t="s">
        <v>195</v>
      </c>
      <c r="CY52" s="99" t="s">
        <v>195</v>
      </c>
      <c r="CZ52" s="99" t="s">
        <v>195</v>
      </c>
      <c r="DA52" s="99" t="s">
        <v>195</v>
      </c>
      <c r="DB52" s="99" t="s">
        <v>195</v>
      </c>
      <c r="DC52" s="99" t="s">
        <v>195</v>
      </c>
      <c r="DD52" s="99" t="s">
        <v>195</v>
      </c>
      <c r="DE52" s="99" t="s">
        <v>195</v>
      </c>
      <c r="DF52" s="99" t="s">
        <v>195</v>
      </c>
      <c r="DG52" s="99" t="s">
        <v>195</v>
      </c>
      <c r="DH52" s="99" t="s">
        <v>195</v>
      </c>
      <c r="DI52" s="99" t="s">
        <v>195</v>
      </c>
      <c r="DJ52" s="99" t="s">
        <v>195</v>
      </c>
      <c r="DK52" s="99"/>
      <c r="DL52" s="99" t="s">
        <v>194</v>
      </c>
      <c r="DM52" s="99" t="s">
        <v>195</v>
      </c>
      <c r="DN52" s="99" t="s">
        <v>195</v>
      </c>
      <c r="DO52" s="99" t="s">
        <v>195</v>
      </c>
      <c r="DP52" s="99" t="s">
        <v>195</v>
      </c>
      <c r="DQ52" s="99" t="s">
        <v>195</v>
      </c>
      <c r="DR52" s="99" t="s">
        <v>195</v>
      </c>
      <c r="DS52" s="99" t="s">
        <v>195</v>
      </c>
      <c r="DT52" s="99" t="s">
        <v>195</v>
      </c>
      <c r="DU52" s="99" t="s">
        <v>195</v>
      </c>
      <c r="DV52" s="99" t="s">
        <v>195</v>
      </c>
      <c r="DW52" s="99" t="s">
        <v>195</v>
      </c>
      <c r="DX52" s="99" t="s">
        <v>195</v>
      </c>
      <c r="DY52" s="99" t="s">
        <v>195</v>
      </c>
      <c r="DZ52" s="99" t="s">
        <v>195</v>
      </c>
      <c r="EA52" s="99"/>
      <c r="EB52" s="99" t="s">
        <v>194</v>
      </c>
      <c r="EC52" s="99" t="s">
        <v>195</v>
      </c>
      <c r="ED52" s="99" t="s">
        <v>195</v>
      </c>
      <c r="EE52" s="99" t="s">
        <v>195</v>
      </c>
      <c r="EF52" s="99" t="s">
        <v>195</v>
      </c>
      <c r="EG52" s="99" t="s">
        <v>195</v>
      </c>
      <c r="EH52" s="100" t="s">
        <v>195</v>
      </c>
    </row>
    <row r="53" spans="1:138" ht="23.25" customHeight="1" x14ac:dyDescent="0.25">
      <c r="A53" s="101" t="s">
        <v>17</v>
      </c>
      <c r="B53" s="90" t="s">
        <v>193</v>
      </c>
      <c r="C53" s="90" t="s">
        <v>194</v>
      </c>
      <c r="D53" s="90" t="s">
        <v>195</v>
      </c>
      <c r="E53" s="90" t="s">
        <v>195</v>
      </c>
      <c r="F53" s="90" t="s">
        <v>195</v>
      </c>
      <c r="G53" s="90" t="s">
        <v>195</v>
      </c>
      <c r="H53" s="90" t="s">
        <v>195</v>
      </c>
      <c r="I53" s="90" t="s">
        <v>195</v>
      </c>
      <c r="J53" s="90" t="s">
        <v>195</v>
      </c>
      <c r="K53" s="90" t="s">
        <v>195</v>
      </c>
      <c r="L53" s="90" t="s">
        <v>195</v>
      </c>
      <c r="M53" s="90" t="s">
        <v>195</v>
      </c>
      <c r="N53" s="90" t="s">
        <v>195</v>
      </c>
      <c r="O53" s="90" t="s">
        <v>195</v>
      </c>
      <c r="P53" s="90" t="s">
        <v>195</v>
      </c>
      <c r="Q53" s="90" t="s">
        <v>195</v>
      </c>
      <c r="R53" s="90" t="s">
        <v>195</v>
      </c>
      <c r="S53" s="90" t="s">
        <v>195</v>
      </c>
      <c r="T53" s="90"/>
      <c r="U53" s="90" t="s">
        <v>194</v>
      </c>
      <c r="V53" s="90" t="s">
        <v>195</v>
      </c>
      <c r="W53" s="90" t="s">
        <v>195</v>
      </c>
      <c r="X53" s="90" t="s">
        <v>195</v>
      </c>
      <c r="Y53" s="90" t="s">
        <v>195</v>
      </c>
      <c r="Z53" s="90" t="s">
        <v>17</v>
      </c>
      <c r="AA53" s="90" t="s">
        <v>195</v>
      </c>
      <c r="AB53" s="90" t="s">
        <v>195</v>
      </c>
      <c r="AC53" s="90" t="s">
        <v>195</v>
      </c>
      <c r="AD53" s="90" t="s">
        <v>195</v>
      </c>
      <c r="AE53" s="90" t="s">
        <v>195</v>
      </c>
      <c r="AF53" s="90" t="s">
        <v>195</v>
      </c>
      <c r="AG53" s="90" t="s">
        <v>195</v>
      </c>
      <c r="AH53" s="90" t="s">
        <v>195</v>
      </c>
      <c r="AI53" s="90" t="s">
        <v>194</v>
      </c>
      <c r="AJ53" s="90" t="s">
        <v>195</v>
      </c>
      <c r="AK53" s="90" t="s">
        <v>195</v>
      </c>
      <c r="AL53" s="90" t="s">
        <v>195</v>
      </c>
      <c r="AM53" s="90"/>
      <c r="AN53" s="90" t="s">
        <v>194</v>
      </c>
      <c r="AO53" s="90" t="s">
        <v>195</v>
      </c>
      <c r="AP53" s="90" t="s">
        <v>195</v>
      </c>
      <c r="AQ53" s="90" t="s">
        <v>195</v>
      </c>
      <c r="AR53" s="90" t="s">
        <v>195</v>
      </c>
      <c r="AS53" s="90" t="s">
        <v>195</v>
      </c>
      <c r="AT53" s="90" t="s">
        <v>195</v>
      </c>
      <c r="AU53" s="90" t="s">
        <v>195</v>
      </c>
      <c r="AV53" s="90" t="s">
        <v>195</v>
      </c>
      <c r="AW53" s="90" t="s">
        <v>195</v>
      </c>
      <c r="AX53" s="90" t="s">
        <v>195</v>
      </c>
      <c r="AY53" s="90"/>
      <c r="AZ53" s="90" t="s">
        <v>194</v>
      </c>
      <c r="BA53" s="90" t="s">
        <v>194</v>
      </c>
      <c r="BB53" s="90" t="s">
        <v>195</v>
      </c>
      <c r="BC53" s="90" t="s">
        <v>195</v>
      </c>
      <c r="BD53" s="90" t="s">
        <v>195</v>
      </c>
      <c r="BE53" s="90" t="s">
        <v>195</v>
      </c>
      <c r="BF53" s="90" t="s">
        <v>195</v>
      </c>
      <c r="BG53" s="90" t="s">
        <v>195</v>
      </c>
      <c r="BH53" s="90" t="s">
        <v>195</v>
      </c>
      <c r="BI53" s="90" t="s">
        <v>195</v>
      </c>
      <c r="BJ53" s="90" t="s">
        <v>195</v>
      </c>
      <c r="BK53" s="90" t="s">
        <v>195</v>
      </c>
      <c r="BL53" s="90" t="s">
        <v>195</v>
      </c>
      <c r="BM53" s="90" t="s">
        <v>195</v>
      </c>
      <c r="BN53" s="90" t="s">
        <v>195</v>
      </c>
      <c r="BO53" s="90" t="s">
        <v>195</v>
      </c>
      <c r="BP53" s="90" t="s">
        <v>195</v>
      </c>
      <c r="BQ53" s="90" t="s">
        <v>195</v>
      </c>
      <c r="BR53" s="90" t="s">
        <v>195</v>
      </c>
      <c r="BS53" s="90" t="s">
        <v>195</v>
      </c>
      <c r="BT53" s="90"/>
      <c r="BU53" s="90" t="s">
        <v>203</v>
      </c>
      <c r="BV53" s="90" t="s">
        <v>203</v>
      </c>
      <c r="BW53" s="90" t="s">
        <v>203</v>
      </c>
      <c r="BX53" s="90" t="s">
        <v>203</v>
      </c>
      <c r="BY53" s="90" t="s">
        <v>203</v>
      </c>
      <c r="BZ53" s="90" t="s">
        <v>203</v>
      </c>
      <c r="CA53" s="90" t="s">
        <v>203</v>
      </c>
      <c r="CB53" s="90"/>
      <c r="CC53" s="90" t="s">
        <v>204</v>
      </c>
      <c r="CD53" s="90"/>
      <c r="CE53" s="90" t="s">
        <v>194</v>
      </c>
      <c r="CF53" s="90"/>
      <c r="CG53" s="90"/>
      <c r="CH53" s="90"/>
      <c r="CI53" s="90" t="s">
        <v>194</v>
      </c>
      <c r="CJ53" s="90" t="s">
        <v>195</v>
      </c>
      <c r="CK53" s="90" t="s">
        <v>195</v>
      </c>
      <c r="CL53" s="90" t="s">
        <v>195</v>
      </c>
      <c r="CM53" s="90" t="s">
        <v>195</v>
      </c>
      <c r="CN53" s="90" t="s">
        <v>195</v>
      </c>
      <c r="CO53" s="90" t="s">
        <v>195</v>
      </c>
      <c r="CP53" s="90" t="s">
        <v>195</v>
      </c>
      <c r="CQ53" s="90" t="s">
        <v>195</v>
      </c>
      <c r="CR53" s="90" t="s">
        <v>195</v>
      </c>
      <c r="CS53" s="90" t="s">
        <v>195</v>
      </c>
      <c r="CT53" s="90" t="s">
        <v>195</v>
      </c>
      <c r="CU53" s="90" t="s">
        <v>195</v>
      </c>
      <c r="CV53" s="90" t="s">
        <v>195</v>
      </c>
      <c r="CW53" s="90" t="s">
        <v>195</v>
      </c>
      <c r="CX53" s="90" t="s">
        <v>195</v>
      </c>
      <c r="CY53" s="90" t="s">
        <v>195</v>
      </c>
      <c r="CZ53" s="90" t="s">
        <v>195</v>
      </c>
      <c r="DA53" s="90" t="s">
        <v>195</v>
      </c>
      <c r="DB53" s="90" t="s">
        <v>195</v>
      </c>
      <c r="DC53" s="90" t="s">
        <v>195</v>
      </c>
      <c r="DD53" s="90" t="s">
        <v>195</v>
      </c>
      <c r="DE53" s="90" t="s">
        <v>195</v>
      </c>
      <c r="DF53" s="90" t="s">
        <v>195</v>
      </c>
      <c r="DG53" s="90" t="s">
        <v>195</v>
      </c>
      <c r="DH53" s="90" t="s">
        <v>195</v>
      </c>
      <c r="DI53" s="90" t="s">
        <v>195</v>
      </c>
      <c r="DJ53" s="90" t="s">
        <v>195</v>
      </c>
      <c r="DK53" s="90"/>
      <c r="DL53" s="90" t="s">
        <v>194</v>
      </c>
      <c r="DM53" s="90" t="s">
        <v>195</v>
      </c>
      <c r="DN53" s="90" t="s">
        <v>195</v>
      </c>
      <c r="DO53" s="90" t="s">
        <v>195</v>
      </c>
      <c r="DP53" s="90" t="s">
        <v>195</v>
      </c>
      <c r="DQ53" s="90" t="s">
        <v>195</v>
      </c>
      <c r="DR53" s="90" t="s">
        <v>195</v>
      </c>
      <c r="DS53" s="90" t="s">
        <v>195</v>
      </c>
      <c r="DT53" s="90" t="s">
        <v>195</v>
      </c>
      <c r="DU53" s="90" t="s">
        <v>195</v>
      </c>
      <c r="DV53" s="90" t="s">
        <v>195</v>
      </c>
      <c r="DW53" s="90" t="s">
        <v>195</v>
      </c>
      <c r="DX53" s="90" t="s">
        <v>195</v>
      </c>
      <c r="DY53" s="90" t="s">
        <v>195</v>
      </c>
      <c r="DZ53" s="90" t="s">
        <v>195</v>
      </c>
      <c r="EA53" s="90"/>
      <c r="EB53" s="90" t="s">
        <v>194</v>
      </c>
      <c r="EC53" s="90" t="s">
        <v>195</v>
      </c>
      <c r="ED53" s="90" t="s">
        <v>195</v>
      </c>
      <c r="EE53" s="90" t="s">
        <v>195</v>
      </c>
      <c r="EF53" s="90" t="s">
        <v>195</v>
      </c>
      <c r="EG53" s="90" t="s">
        <v>195</v>
      </c>
      <c r="EH53" s="102" t="s">
        <v>195</v>
      </c>
    </row>
    <row r="54" spans="1:138" ht="23.25" customHeight="1" x14ac:dyDescent="0.25">
      <c r="A54" s="98" t="s">
        <v>17</v>
      </c>
      <c r="B54" s="99" t="s">
        <v>193</v>
      </c>
      <c r="C54" s="99" t="s">
        <v>198</v>
      </c>
      <c r="D54" s="99" t="s">
        <v>199</v>
      </c>
      <c r="E54" s="99" t="s">
        <v>199</v>
      </c>
      <c r="F54" s="99" t="s">
        <v>202</v>
      </c>
      <c r="G54" s="99" t="s">
        <v>206</v>
      </c>
      <c r="H54" s="99" t="s">
        <v>206</v>
      </c>
      <c r="I54" s="99" t="s">
        <v>202</v>
      </c>
      <c r="J54" s="99" t="s">
        <v>30</v>
      </c>
      <c r="K54" s="99" t="s">
        <v>202</v>
      </c>
      <c r="L54" s="99" t="s">
        <v>201</v>
      </c>
      <c r="M54" s="99" t="s">
        <v>206</v>
      </c>
      <c r="N54" s="99" t="s">
        <v>206</v>
      </c>
      <c r="O54" s="99" t="s">
        <v>201</v>
      </c>
      <c r="P54" s="99" t="s">
        <v>200</v>
      </c>
      <c r="Q54" s="99" t="s">
        <v>201</v>
      </c>
      <c r="R54" s="99" t="s">
        <v>201</v>
      </c>
      <c r="S54" s="99" t="s">
        <v>199</v>
      </c>
      <c r="T54" s="99"/>
      <c r="U54" s="99" t="s">
        <v>198</v>
      </c>
      <c r="V54" s="99" t="s">
        <v>201</v>
      </c>
      <c r="W54" s="99" t="s">
        <v>201</v>
      </c>
      <c r="X54" s="99" t="s">
        <v>201</v>
      </c>
      <c r="Y54" s="99" t="s">
        <v>206</v>
      </c>
      <c r="Z54" s="99" t="s">
        <v>208</v>
      </c>
      <c r="AA54" s="99" t="s">
        <v>202</v>
      </c>
      <c r="AB54" s="99" t="s">
        <v>202</v>
      </c>
      <c r="AC54" s="99" t="s">
        <v>202</v>
      </c>
      <c r="AD54" s="99" t="s">
        <v>202</v>
      </c>
      <c r="AE54" s="99" t="s">
        <v>195</v>
      </c>
      <c r="AF54" s="99" t="s">
        <v>195</v>
      </c>
      <c r="AG54" s="99" t="s">
        <v>195</v>
      </c>
      <c r="AH54" s="99" t="s">
        <v>195</v>
      </c>
      <c r="AI54" s="99" t="s">
        <v>198</v>
      </c>
      <c r="AJ54" s="99" t="s">
        <v>200</v>
      </c>
      <c r="AK54" s="99" t="s">
        <v>199</v>
      </c>
      <c r="AL54" s="99" t="s">
        <v>200</v>
      </c>
      <c r="AM54" s="99"/>
      <c r="AN54" s="99" t="s">
        <v>198</v>
      </c>
      <c r="AO54" s="99" t="s">
        <v>206</v>
      </c>
      <c r="AP54" s="99" t="s">
        <v>206</v>
      </c>
      <c r="AQ54" s="99" t="s">
        <v>206</v>
      </c>
      <c r="AR54" s="99" t="s">
        <v>206</v>
      </c>
      <c r="AS54" s="99" t="s">
        <v>206</v>
      </c>
      <c r="AT54" s="99" t="s">
        <v>201</v>
      </c>
      <c r="AU54" s="99" t="s">
        <v>206</v>
      </c>
      <c r="AV54" s="99" t="s">
        <v>30</v>
      </c>
      <c r="AW54" s="99" t="s">
        <v>199</v>
      </c>
      <c r="AX54" s="99" t="s">
        <v>206</v>
      </c>
      <c r="AY54" s="99"/>
      <c r="AZ54" s="99" t="s">
        <v>194</v>
      </c>
      <c r="BA54" s="99" t="s">
        <v>194</v>
      </c>
      <c r="BB54" s="99" t="s">
        <v>195</v>
      </c>
      <c r="BC54" s="99" t="s">
        <v>195</v>
      </c>
      <c r="BD54" s="99" t="s">
        <v>195</v>
      </c>
      <c r="BE54" s="99" t="s">
        <v>195</v>
      </c>
      <c r="BF54" s="99" t="s">
        <v>195</v>
      </c>
      <c r="BG54" s="99" t="s">
        <v>195</v>
      </c>
      <c r="BH54" s="99" t="s">
        <v>195</v>
      </c>
      <c r="BI54" s="99" t="s">
        <v>195</v>
      </c>
      <c r="BJ54" s="99" t="s">
        <v>195</v>
      </c>
      <c r="BK54" s="99" t="s">
        <v>195</v>
      </c>
      <c r="BL54" s="99" t="s">
        <v>195</v>
      </c>
      <c r="BM54" s="99" t="s">
        <v>195</v>
      </c>
      <c r="BN54" s="99" t="s">
        <v>195</v>
      </c>
      <c r="BO54" s="99" t="s">
        <v>195</v>
      </c>
      <c r="BP54" s="99" t="s">
        <v>195</v>
      </c>
      <c r="BQ54" s="99" t="s">
        <v>195</v>
      </c>
      <c r="BR54" s="99" t="s">
        <v>195</v>
      </c>
      <c r="BS54" s="99" t="s">
        <v>195</v>
      </c>
      <c r="BT54" s="99"/>
      <c r="BU54" s="99" t="s">
        <v>195</v>
      </c>
      <c r="BV54" s="99" t="s">
        <v>195</v>
      </c>
      <c r="BW54" s="99" t="s">
        <v>195</v>
      </c>
      <c r="BX54" s="99" t="s">
        <v>195</v>
      </c>
      <c r="BY54" s="99" t="s">
        <v>195</v>
      </c>
      <c r="BZ54" s="99" t="s">
        <v>195</v>
      </c>
      <c r="CA54" s="99" t="s">
        <v>30</v>
      </c>
      <c r="CB54" s="99"/>
      <c r="CC54" s="99" t="s">
        <v>207</v>
      </c>
      <c r="CD54" s="99"/>
      <c r="CE54" s="99" t="s">
        <v>198</v>
      </c>
      <c r="CF54" s="99"/>
      <c r="CG54" s="99"/>
      <c r="CH54" s="99"/>
      <c r="CI54" s="99" t="s">
        <v>198</v>
      </c>
      <c r="CJ54" s="99" t="s">
        <v>199</v>
      </c>
      <c r="CK54" s="99" t="s">
        <v>199</v>
      </c>
      <c r="CL54" s="99" t="s">
        <v>199</v>
      </c>
      <c r="CM54" s="99" t="s">
        <v>206</v>
      </c>
      <c r="CN54" s="99" t="s">
        <v>201</v>
      </c>
      <c r="CO54" s="99" t="s">
        <v>201</v>
      </c>
      <c r="CP54" s="99" t="s">
        <v>30</v>
      </c>
      <c r="CQ54" s="99" t="s">
        <v>30</v>
      </c>
      <c r="CR54" s="99" t="s">
        <v>206</v>
      </c>
      <c r="CS54" s="99" t="s">
        <v>199</v>
      </c>
      <c r="CT54" s="99" t="s">
        <v>199</v>
      </c>
      <c r="CU54" s="99" t="s">
        <v>199</v>
      </c>
      <c r="CV54" s="99" t="s">
        <v>30</v>
      </c>
      <c r="CW54" s="99" t="s">
        <v>200</v>
      </c>
      <c r="CX54" s="99" t="s">
        <v>202</v>
      </c>
      <c r="CY54" s="99" t="s">
        <v>200</v>
      </c>
      <c r="CZ54" s="99" t="s">
        <v>30</v>
      </c>
      <c r="DA54" s="99" t="s">
        <v>30</v>
      </c>
      <c r="DB54" s="99" t="s">
        <v>199</v>
      </c>
      <c r="DC54" s="99" t="s">
        <v>199</v>
      </c>
      <c r="DD54" s="99" t="s">
        <v>199</v>
      </c>
      <c r="DE54" s="99" t="s">
        <v>199</v>
      </c>
      <c r="DF54" s="99" t="s">
        <v>199</v>
      </c>
      <c r="DG54" s="99" t="s">
        <v>201</v>
      </c>
      <c r="DH54" s="99" t="s">
        <v>201</v>
      </c>
      <c r="DI54" s="99" t="s">
        <v>201</v>
      </c>
      <c r="DJ54" s="99" t="s">
        <v>201</v>
      </c>
      <c r="DK54" s="99"/>
      <c r="DL54" s="99" t="s">
        <v>198</v>
      </c>
      <c r="DM54" s="99" t="s">
        <v>199</v>
      </c>
      <c r="DN54" s="99" t="s">
        <v>199</v>
      </c>
      <c r="DO54" s="99" t="s">
        <v>199</v>
      </c>
      <c r="DP54" s="99" t="s">
        <v>199</v>
      </c>
      <c r="DQ54" s="99" t="s">
        <v>200</v>
      </c>
      <c r="DR54" s="99" t="s">
        <v>200</v>
      </c>
      <c r="DS54" s="99" t="s">
        <v>30</v>
      </c>
      <c r="DT54" s="99" t="s">
        <v>200</v>
      </c>
      <c r="DU54" s="99" t="s">
        <v>200</v>
      </c>
      <c r="DV54" s="99" t="s">
        <v>200</v>
      </c>
      <c r="DW54" s="99" t="s">
        <v>200</v>
      </c>
      <c r="DX54" s="99" t="s">
        <v>200</v>
      </c>
      <c r="DY54" s="99" t="s">
        <v>200</v>
      </c>
      <c r="DZ54" s="99" t="s">
        <v>200</v>
      </c>
      <c r="EA54" s="99"/>
      <c r="EB54" s="99" t="s">
        <v>198</v>
      </c>
      <c r="EC54" s="99" t="s">
        <v>206</v>
      </c>
      <c r="ED54" s="99" t="s">
        <v>206</v>
      </c>
      <c r="EE54" s="99" t="s">
        <v>201</v>
      </c>
      <c r="EF54" s="99" t="s">
        <v>201</v>
      </c>
      <c r="EG54" s="99" t="s">
        <v>206</v>
      </c>
      <c r="EH54" s="100" t="s">
        <v>206</v>
      </c>
    </row>
    <row r="55" spans="1:138" ht="23.25" customHeight="1" x14ac:dyDescent="0.25">
      <c r="A55" s="101" t="s">
        <v>17</v>
      </c>
      <c r="B55" s="90" t="s">
        <v>193</v>
      </c>
      <c r="C55" s="90" t="s">
        <v>198</v>
      </c>
      <c r="D55" s="90" t="s">
        <v>199</v>
      </c>
      <c r="E55" s="90" t="s">
        <v>199</v>
      </c>
      <c r="F55" s="90" t="s">
        <v>199</v>
      </c>
      <c r="G55" s="90" t="s">
        <v>199</v>
      </c>
      <c r="H55" s="90" t="s">
        <v>199</v>
      </c>
      <c r="I55" s="90" t="s">
        <v>199</v>
      </c>
      <c r="J55" s="90" t="s">
        <v>30</v>
      </c>
      <c r="K55" s="90" t="s">
        <v>30</v>
      </c>
      <c r="L55" s="90" t="s">
        <v>199</v>
      </c>
      <c r="M55" s="90" t="s">
        <v>199</v>
      </c>
      <c r="N55" s="90" t="s">
        <v>199</v>
      </c>
      <c r="O55" s="90" t="s">
        <v>202</v>
      </c>
      <c r="P55" s="90" t="s">
        <v>200</v>
      </c>
      <c r="Q55" s="90" t="s">
        <v>199</v>
      </c>
      <c r="R55" s="90" t="s">
        <v>199</v>
      </c>
      <c r="S55" s="90" t="s">
        <v>199</v>
      </c>
      <c r="T55" s="90"/>
      <c r="U55" s="90" t="s">
        <v>198</v>
      </c>
      <c r="V55" s="90" t="s">
        <v>199</v>
      </c>
      <c r="W55" s="90" t="s">
        <v>200</v>
      </c>
      <c r="X55" s="90" t="s">
        <v>199</v>
      </c>
      <c r="Y55" s="90" t="s">
        <v>199</v>
      </c>
      <c r="Z55" s="90" t="s">
        <v>208</v>
      </c>
      <c r="AA55" s="90" t="s">
        <v>199</v>
      </c>
      <c r="AB55" s="90" t="s">
        <v>199</v>
      </c>
      <c r="AC55" s="90" t="s">
        <v>199</v>
      </c>
      <c r="AD55" s="90" t="s">
        <v>199</v>
      </c>
      <c r="AE55" s="90" t="s">
        <v>195</v>
      </c>
      <c r="AF55" s="90" t="s">
        <v>195</v>
      </c>
      <c r="AG55" s="90" t="s">
        <v>195</v>
      </c>
      <c r="AH55" s="90" t="s">
        <v>195</v>
      </c>
      <c r="AI55" s="90" t="s">
        <v>198</v>
      </c>
      <c r="AJ55" s="90" t="s">
        <v>199</v>
      </c>
      <c r="AK55" s="90" t="s">
        <v>199</v>
      </c>
      <c r="AL55" s="90" t="s">
        <v>199</v>
      </c>
      <c r="AM55" s="90"/>
      <c r="AN55" s="90" t="s">
        <v>198</v>
      </c>
      <c r="AO55" s="90" t="s">
        <v>199</v>
      </c>
      <c r="AP55" s="90" t="s">
        <v>199</v>
      </c>
      <c r="AQ55" s="90" t="s">
        <v>199</v>
      </c>
      <c r="AR55" s="90" t="s">
        <v>199</v>
      </c>
      <c r="AS55" s="90" t="s">
        <v>199</v>
      </c>
      <c r="AT55" s="90" t="s">
        <v>199</v>
      </c>
      <c r="AU55" s="90" t="s">
        <v>199</v>
      </c>
      <c r="AV55" s="90" t="s">
        <v>199</v>
      </c>
      <c r="AW55" s="90" t="s">
        <v>199</v>
      </c>
      <c r="AX55" s="90" t="s">
        <v>199</v>
      </c>
      <c r="AY55" s="90"/>
      <c r="AZ55" s="90" t="s">
        <v>198</v>
      </c>
      <c r="BA55" s="90" t="s">
        <v>198</v>
      </c>
      <c r="BB55" s="90" t="s">
        <v>30</v>
      </c>
      <c r="BC55" s="90" t="s">
        <v>30</v>
      </c>
      <c r="BD55" s="90" t="s">
        <v>30</v>
      </c>
      <c r="BE55" s="90" t="s">
        <v>201</v>
      </c>
      <c r="BF55" s="90" t="s">
        <v>199</v>
      </c>
      <c r="BG55" s="90" t="s">
        <v>201</v>
      </c>
      <c r="BH55" s="90" t="s">
        <v>201</v>
      </c>
      <c r="BI55" s="90" t="s">
        <v>201</v>
      </c>
      <c r="BJ55" s="90" t="s">
        <v>30</v>
      </c>
      <c r="BK55" s="90" t="s">
        <v>30</v>
      </c>
      <c r="BL55" s="90" t="s">
        <v>199</v>
      </c>
      <c r="BM55" s="90" t="s">
        <v>199</v>
      </c>
      <c r="BN55" s="90" t="s">
        <v>199</v>
      </c>
      <c r="BO55" s="90" t="s">
        <v>199</v>
      </c>
      <c r="BP55" s="90" t="s">
        <v>199</v>
      </c>
      <c r="BQ55" s="90" t="s">
        <v>199</v>
      </c>
      <c r="BR55" s="90" t="s">
        <v>199</v>
      </c>
      <c r="BS55" s="90" t="s">
        <v>199</v>
      </c>
      <c r="BT55" s="90"/>
      <c r="BU55" s="90" t="s">
        <v>203</v>
      </c>
      <c r="BV55" s="90" t="s">
        <v>203</v>
      </c>
      <c r="BW55" s="90" t="s">
        <v>203</v>
      </c>
      <c r="BX55" s="90" t="s">
        <v>203</v>
      </c>
      <c r="BY55" s="90" t="s">
        <v>203</v>
      </c>
      <c r="BZ55" s="90" t="s">
        <v>203</v>
      </c>
      <c r="CA55" s="90" t="s">
        <v>203</v>
      </c>
      <c r="CB55" s="90"/>
      <c r="CC55" s="90" t="s">
        <v>197</v>
      </c>
      <c r="CD55" s="90"/>
      <c r="CE55" s="90" t="s">
        <v>198</v>
      </c>
      <c r="CF55" s="90"/>
      <c r="CG55" s="90"/>
      <c r="CH55" s="90"/>
      <c r="CI55" s="90" t="s">
        <v>198</v>
      </c>
      <c r="CJ55" s="90" t="s">
        <v>199</v>
      </c>
      <c r="CK55" s="90" t="s">
        <v>200</v>
      </c>
      <c r="CL55" s="90" t="s">
        <v>199</v>
      </c>
      <c r="CM55" s="90" t="s">
        <v>199</v>
      </c>
      <c r="CN55" s="90" t="s">
        <v>199</v>
      </c>
      <c r="CO55" s="90" t="s">
        <v>199</v>
      </c>
      <c r="CP55" s="90" t="s">
        <v>199</v>
      </c>
      <c r="CQ55" s="90" t="s">
        <v>199</v>
      </c>
      <c r="CR55" s="90" t="s">
        <v>199</v>
      </c>
      <c r="CS55" s="90" t="s">
        <v>199</v>
      </c>
      <c r="CT55" s="90" t="s">
        <v>199</v>
      </c>
      <c r="CU55" s="90" t="s">
        <v>199</v>
      </c>
      <c r="CV55" s="90" t="s">
        <v>30</v>
      </c>
      <c r="CW55" s="90" t="s">
        <v>199</v>
      </c>
      <c r="CX55" s="90" t="s">
        <v>199</v>
      </c>
      <c r="CY55" s="90" t="s">
        <v>200</v>
      </c>
      <c r="CZ55" s="90" t="s">
        <v>200</v>
      </c>
      <c r="DA55" s="90" t="s">
        <v>200</v>
      </c>
      <c r="DB55" s="90" t="s">
        <v>200</v>
      </c>
      <c r="DC55" s="90" t="s">
        <v>200</v>
      </c>
      <c r="DD55" s="90" t="s">
        <v>30</v>
      </c>
      <c r="DE55" s="90" t="s">
        <v>199</v>
      </c>
      <c r="DF55" s="90" t="s">
        <v>199</v>
      </c>
      <c r="DG55" s="90" t="s">
        <v>199</v>
      </c>
      <c r="DH55" s="90" t="s">
        <v>199</v>
      </c>
      <c r="DI55" s="90" t="s">
        <v>199</v>
      </c>
      <c r="DJ55" s="90" t="s">
        <v>30</v>
      </c>
      <c r="DK55" s="90"/>
      <c r="DL55" s="90" t="s">
        <v>194</v>
      </c>
      <c r="DM55" s="90" t="s">
        <v>195</v>
      </c>
      <c r="DN55" s="90" t="s">
        <v>195</v>
      </c>
      <c r="DO55" s="90" t="s">
        <v>195</v>
      </c>
      <c r="DP55" s="90" t="s">
        <v>195</v>
      </c>
      <c r="DQ55" s="90" t="s">
        <v>195</v>
      </c>
      <c r="DR55" s="90" t="s">
        <v>195</v>
      </c>
      <c r="DS55" s="90" t="s">
        <v>195</v>
      </c>
      <c r="DT55" s="90" t="s">
        <v>195</v>
      </c>
      <c r="DU55" s="90" t="s">
        <v>195</v>
      </c>
      <c r="DV55" s="90" t="s">
        <v>195</v>
      </c>
      <c r="DW55" s="90" t="s">
        <v>195</v>
      </c>
      <c r="DX55" s="90" t="s">
        <v>195</v>
      </c>
      <c r="DY55" s="90" t="s">
        <v>195</v>
      </c>
      <c r="DZ55" s="90" t="s">
        <v>195</v>
      </c>
      <c r="EA55" s="90"/>
      <c r="EB55" s="90" t="s">
        <v>198</v>
      </c>
      <c r="EC55" s="90" t="s">
        <v>202</v>
      </c>
      <c r="ED55" s="90" t="s">
        <v>30</v>
      </c>
      <c r="EE55" s="90" t="s">
        <v>201</v>
      </c>
      <c r="EF55" s="90" t="s">
        <v>199</v>
      </c>
      <c r="EG55" s="90" t="s">
        <v>199</v>
      </c>
      <c r="EH55" s="102" t="s">
        <v>199</v>
      </c>
    </row>
    <row r="56" spans="1:138" ht="23.25" customHeight="1" x14ac:dyDescent="0.25">
      <c r="A56" s="98" t="s">
        <v>17</v>
      </c>
      <c r="B56" s="99" t="s">
        <v>193</v>
      </c>
      <c r="C56" s="99" t="s">
        <v>198</v>
      </c>
      <c r="D56" s="99" t="s">
        <v>200</v>
      </c>
      <c r="E56" s="99" t="s">
        <v>199</v>
      </c>
      <c r="F56" s="99" t="s">
        <v>199</v>
      </c>
      <c r="G56" s="99" t="s">
        <v>199</v>
      </c>
      <c r="H56" s="99" t="s">
        <v>199</v>
      </c>
      <c r="I56" s="99" t="s">
        <v>30</v>
      </c>
      <c r="J56" s="99" t="s">
        <v>199</v>
      </c>
      <c r="K56" s="99" t="s">
        <v>199</v>
      </c>
      <c r="L56" s="99" t="s">
        <v>199</v>
      </c>
      <c r="M56" s="99" t="s">
        <v>30</v>
      </c>
      <c r="N56" s="99" t="s">
        <v>199</v>
      </c>
      <c r="O56" s="99" t="s">
        <v>30</v>
      </c>
      <c r="P56" s="99" t="s">
        <v>200</v>
      </c>
      <c r="Q56" s="99" t="s">
        <v>199</v>
      </c>
      <c r="R56" s="99" t="s">
        <v>199</v>
      </c>
      <c r="S56" s="99" t="s">
        <v>199</v>
      </c>
      <c r="T56" s="99"/>
      <c r="U56" s="99" t="s">
        <v>198</v>
      </c>
      <c r="V56" s="99" t="s">
        <v>199</v>
      </c>
      <c r="W56" s="99" t="s">
        <v>199</v>
      </c>
      <c r="X56" s="99" t="s">
        <v>30</v>
      </c>
      <c r="Y56" s="99" t="s">
        <v>30</v>
      </c>
      <c r="Z56" s="99" t="s">
        <v>208</v>
      </c>
      <c r="AA56" s="99" t="s">
        <v>199</v>
      </c>
      <c r="AB56" s="99" t="s">
        <v>199</v>
      </c>
      <c r="AC56" s="99" t="s">
        <v>30</v>
      </c>
      <c r="AD56" s="99" t="s">
        <v>30</v>
      </c>
      <c r="AE56" s="99" t="s">
        <v>195</v>
      </c>
      <c r="AF56" s="99" t="s">
        <v>195</v>
      </c>
      <c r="AG56" s="99" t="s">
        <v>195</v>
      </c>
      <c r="AH56" s="99" t="s">
        <v>195</v>
      </c>
      <c r="AI56" s="99" t="s">
        <v>198</v>
      </c>
      <c r="AJ56" s="99" t="s">
        <v>199</v>
      </c>
      <c r="AK56" s="99" t="s">
        <v>30</v>
      </c>
      <c r="AL56" s="99" t="s">
        <v>199</v>
      </c>
      <c r="AM56" s="99"/>
      <c r="AN56" s="99" t="s">
        <v>198</v>
      </c>
      <c r="AO56" s="99" t="s">
        <v>199</v>
      </c>
      <c r="AP56" s="99" t="s">
        <v>199</v>
      </c>
      <c r="AQ56" s="99" t="s">
        <v>199</v>
      </c>
      <c r="AR56" s="99" t="s">
        <v>199</v>
      </c>
      <c r="AS56" s="99" t="s">
        <v>30</v>
      </c>
      <c r="AT56" s="99" t="s">
        <v>199</v>
      </c>
      <c r="AU56" s="99" t="s">
        <v>30</v>
      </c>
      <c r="AV56" s="99" t="s">
        <v>200</v>
      </c>
      <c r="AW56" s="99" t="s">
        <v>200</v>
      </c>
      <c r="AX56" s="99" t="s">
        <v>199</v>
      </c>
      <c r="AY56" s="99"/>
      <c r="AZ56" s="99" t="s">
        <v>194</v>
      </c>
      <c r="BA56" s="99" t="s">
        <v>194</v>
      </c>
      <c r="BB56" s="99" t="s">
        <v>195</v>
      </c>
      <c r="BC56" s="99" t="s">
        <v>195</v>
      </c>
      <c r="BD56" s="99" t="s">
        <v>195</v>
      </c>
      <c r="BE56" s="99" t="s">
        <v>195</v>
      </c>
      <c r="BF56" s="99" t="s">
        <v>195</v>
      </c>
      <c r="BG56" s="99" t="s">
        <v>195</v>
      </c>
      <c r="BH56" s="99" t="s">
        <v>195</v>
      </c>
      <c r="BI56" s="99" t="s">
        <v>195</v>
      </c>
      <c r="BJ56" s="99" t="s">
        <v>195</v>
      </c>
      <c r="BK56" s="99" t="s">
        <v>195</v>
      </c>
      <c r="BL56" s="99" t="s">
        <v>195</v>
      </c>
      <c r="BM56" s="99" t="s">
        <v>195</v>
      </c>
      <c r="BN56" s="99" t="s">
        <v>195</v>
      </c>
      <c r="BO56" s="99" t="s">
        <v>195</v>
      </c>
      <c r="BP56" s="99" t="s">
        <v>195</v>
      </c>
      <c r="BQ56" s="99" t="s">
        <v>195</v>
      </c>
      <c r="BR56" s="99" t="s">
        <v>195</v>
      </c>
      <c r="BS56" s="99" t="s">
        <v>195</v>
      </c>
      <c r="BT56" s="99"/>
      <c r="BU56" s="99" t="s">
        <v>200</v>
      </c>
      <c r="BV56" s="99" t="s">
        <v>200</v>
      </c>
      <c r="BW56" s="99" t="s">
        <v>199</v>
      </c>
      <c r="BX56" s="99" t="s">
        <v>200</v>
      </c>
      <c r="BY56" s="99" t="s">
        <v>199</v>
      </c>
      <c r="BZ56" s="99" t="s">
        <v>199</v>
      </c>
      <c r="CA56" s="99" t="s">
        <v>199</v>
      </c>
      <c r="CB56" s="99"/>
      <c r="CC56" s="99" t="s">
        <v>205</v>
      </c>
      <c r="CD56" s="99"/>
      <c r="CE56" s="99" t="s">
        <v>198</v>
      </c>
      <c r="CF56" s="99"/>
      <c r="CG56" s="99"/>
      <c r="CH56" s="99"/>
      <c r="CI56" s="99" t="s">
        <v>198</v>
      </c>
      <c r="CJ56" s="99" t="s">
        <v>199</v>
      </c>
      <c r="CK56" s="99" t="s">
        <v>199</v>
      </c>
      <c r="CL56" s="99" t="s">
        <v>199</v>
      </c>
      <c r="CM56" s="99" t="s">
        <v>199</v>
      </c>
      <c r="CN56" s="99" t="s">
        <v>199</v>
      </c>
      <c r="CO56" s="99" t="s">
        <v>30</v>
      </c>
      <c r="CP56" s="99" t="s">
        <v>200</v>
      </c>
      <c r="CQ56" s="99" t="s">
        <v>199</v>
      </c>
      <c r="CR56" s="99" t="s">
        <v>30</v>
      </c>
      <c r="CS56" s="99" t="s">
        <v>199</v>
      </c>
      <c r="CT56" s="99" t="s">
        <v>199</v>
      </c>
      <c r="CU56" s="99" t="s">
        <v>199</v>
      </c>
      <c r="CV56" s="99" t="s">
        <v>30</v>
      </c>
      <c r="CW56" s="99" t="s">
        <v>200</v>
      </c>
      <c r="CX56" s="99" t="s">
        <v>30</v>
      </c>
      <c r="CY56" s="99" t="s">
        <v>199</v>
      </c>
      <c r="CZ56" s="99" t="s">
        <v>200</v>
      </c>
      <c r="DA56" s="99" t="s">
        <v>199</v>
      </c>
      <c r="DB56" s="99" t="s">
        <v>199</v>
      </c>
      <c r="DC56" s="99" t="s">
        <v>199</v>
      </c>
      <c r="DD56" s="99" t="s">
        <v>199</v>
      </c>
      <c r="DE56" s="99" t="s">
        <v>199</v>
      </c>
      <c r="DF56" s="99" t="s">
        <v>199</v>
      </c>
      <c r="DG56" s="99" t="s">
        <v>200</v>
      </c>
      <c r="DH56" s="99" t="s">
        <v>199</v>
      </c>
      <c r="DI56" s="99" t="s">
        <v>199</v>
      </c>
      <c r="DJ56" s="99" t="s">
        <v>199</v>
      </c>
      <c r="DK56" s="99"/>
      <c r="DL56" s="99" t="s">
        <v>194</v>
      </c>
      <c r="DM56" s="99" t="s">
        <v>195</v>
      </c>
      <c r="DN56" s="99" t="s">
        <v>195</v>
      </c>
      <c r="DO56" s="99" t="s">
        <v>195</v>
      </c>
      <c r="DP56" s="99" t="s">
        <v>195</v>
      </c>
      <c r="DQ56" s="99" t="s">
        <v>195</v>
      </c>
      <c r="DR56" s="99" t="s">
        <v>195</v>
      </c>
      <c r="DS56" s="99" t="s">
        <v>195</v>
      </c>
      <c r="DT56" s="99" t="s">
        <v>195</v>
      </c>
      <c r="DU56" s="99" t="s">
        <v>195</v>
      </c>
      <c r="DV56" s="99" t="s">
        <v>195</v>
      </c>
      <c r="DW56" s="99" t="s">
        <v>195</v>
      </c>
      <c r="DX56" s="99" t="s">
        <v>195</v>
      </c>
      <c r="DY56" s="99" t="s">
        <v>195</v>
      </c>
      <c r="DZ56" s="99" t="s">
        <v>195</v>
      </c>
      <c r="EA56" s="99"/>
      <c r="EB56" s="99" t="s">
        <v>198</v>
      </c>
      <c r="EC56" s="99" t="s">
        <v>199</v>
      </c>
      <c r="ED56" s="99" t="s">
        <v>199</v>
      </c>
      <c r="EE56" s="99" t="s">
        <v>199</v>
      </c>
      <c r="EF56" s="99" t="s">
        <v>199</v>
      </c>
      <c r="EG56" s="99" t="s">
        <v>30</v>
      </c>
      <c r="EH56" s="100" t="s">
        <v>30</v>
      </c>
    </row>
    <row r="57" spans="1:138" ht="23.25" customHeight="1" x14ac:dyDescent="0.25">
      <c r="A57" s="101" t="s">
        <v>16</v>
      </c>
      <c r="B57" s="90" t="s">
        <v>193</v>
      </c>
      <c r="C57" s="90" t="s">
        <v>194</v>
      </c>
      <c r="D57" s="90" t="s">
        <v>195</v>
      </c>
      <c r="E57" s="90" t="s">
        <v>195</v>
      </c>
      <c r="F57" s="90" t="s">
        <v>195</v>
      </c>
      <c r="G57" s="90" t="s">
        <v>195</v>
      </c>
      <c r="H57" s="90" t="s">
        <v>195</v>
      </c>
      <c r="I57" s="90" t="s">
        <v>195</v>
      </c>
      <c r="J57" s="90" t="s">
        <v>195</v>
      </c>
      <c r="K57" s="90" t="s">
        <v>195</v>
      </c>
      <c r="L57" s="90" t="s">
        <v>195</v>
      </c>
      <c r="M57" s="90" t="s">
        <v>195</v>
      </c>
      <c r="N57" s="90" t="s">
        <v>195</v>
      </c>
      <c r="O57" s="90" t="s">
        <v>195</v>
      </c>
      <c r="P57" s="90" t="s">
        <v>195</v>
      </c>
      <c r="Q57" s="90" t="s">
        <v>195</v>
      </c>
      <c r="R57" s="90" t="s">
        <v>195</v>
      </c>
      <c r="S57" s="90" t="s">
        <v>195</v>
      </c>
      <c r="T57" s="90"/>
      <c r="U57" s="90" t="s">
        <v>194</v>
      </c>
      <c r="V57" s="90" t="s">
        <v>195</v>
      </c>
      <c r="W57" s="90" t="s">
        <v>195</v>
      </c>
      <c r="X57" s="90" t="s">
        <v>195</v>
      </c>
      <c r="Y57" s="90" t="s">
        <v>195</v>
      </c>
      <c r="Z57" s="90" t="s">
        <v>196</v>
      </c>
      <c r="AA57" s="90" t="s">
        <v>195</v>
      </c>
      <c r="AB57" s="90" t="s">
        <v>195</v>
      </c>
      <c r="AC57" s="90" t="s">
        <v>195</v>
      </c>
      <c r="AD57" s="90" t="s">
        <v>195</v>
      </c>
      <c r="AE57" s="90" t="s">
        <v>195</v>
      </c>
      <c r="AF57" s="90" t="s">
        <v>195</v>
      </c>
      <c r="AG57" s="90" t="s">
        <v>195</v>
      </c>
      <c r="AH57" s="90" t="s">
        <v>195</v>
      </c>
      <c r="AI57" s="90" t="s">
        <v>194</v>
      </c>
      <c r="AJ57" s="90" t="s">
        <v>195</v>
      </c>
      <c r="AK57" s="90" t="s">
        <v>195</v>
      </c>
      <c r="AL57" s="90" t="s">
        <v>195</v>
      </c>
      <c r="AM57" s="90"/>
      <c r="AN57" s="90" t="s">
        <v>194</v>
      </c>
      <c r="AO57" s="90" t="s">
        <v>195</v>
      </c>
      <c r="AP57" s="90" t="s">
        <v>195</v>
      </c>
      <c r="AQ57" s="90" t="s">
        <v>195</v>
      </c>
      <c r="AR57" s="90" t="s">
        <v>195</v>
      </c>
      <c r="AS57" s="90" t="s">
        <v>195</v>
      </c>
      <c r="AT57" s="90" t="s">
        <v>195</v>
      </c>
      <c r="AU57" s="90" t="s">
        <v>195</v>
      </c>
      <c r="AV57" s="90" t="s">
        <v>195</v>
      </c>
      <c r="AW57" s="90" t="s">
        <v>195</v>
      </c>
      <c r="AX57" s="90" t="s">
        <v>195</v>
      </c>
      <c r="AY57" s="90"/>
      <c r="AZ57" s="90" t="s">
        <v>194</v>
      </c>
      <c r="BA57" s="90" t="s">
        <v>194</v>
      </c>
      <c r="BB57" s="90" t="s">
        <v>195</v>
      </c>
      <c r="BC57" s="90" t="s">
        <v>195</v>
      </c>
      <c r="BD57" s="90" t="s">
        <v>195</v>
      </c>
      <c r="BE57" s="90" t="s">
        <v>195</v>
      </c>
      <c r="BF57" s="90" t="s">
        <v>195</v>
      </c>
      <c r="BG57" s="90" t="s">
        <v>195</v>
      </c>
      <c r="BH57" s="90" t="s">
        <v>195</v>
      </c>
      <c r="BI57" s="90" t="s">
        <v>195</v>
      </c>
      <c r="BJ57" s="90" t="s">
        <v>195</v>
      </c>
      <c r="BK57" s="90" t="s">
        <v>195</v>
      </c>
      <c r="BL57" s="90" t="s">
        <v>195</v>
      </c>
      <c r="BM57" s="90" t="s">
        <v>195</v>
      </c>
      <c r="BN57" s="90" t="s">
        <v>195</v>
      </c>
      <c r="BO57" s="90" t="s">
        <v>195</v>
      </c>
      <c r="BP57" s="90" t="s">
        <v>195</v>
      </c>
      <c r="BQ57" s="90" t="s">
        <v>195</v>
      </c>
      <c r="BR57" s="90" t="s">
        <v>195</v>
      </c>
      <c r="BS57" s="90" t="s">
        <v>195</v>
      </c>
      <c r="BT57" s="90"/>
      <c r="BU57" s="90" t="s">
        <v>199</v>
      </c>
      <c r="BV57" s="90" t="s">
        <v>195</v>
      </c>
      <c r="BW57" s="90" t="s">
        <v>30</v>
      </c>
      <c r="BX57" s="90" t="s">
        <v>195</v>
      </c>
      <c r="BY57" s="90" t="s">
        <v>195</v>
      </c>
      <c r="BZ57" s="90" t="s">
        <v>195</v>
      </c>
      <c r="CA57" s="90" t="s">
        <v>199</v>
      </c>
      <c r="CB57" s="90"/>
      <c r="CC57" s="90" t="s">
        <v>204</v>
      </c>
      <c r="CD57" s="90"/>
      <c r="CE57" s="90" t="s">
        <v>198</v>
      </c>
      <c r="CF57" s="90"/>
      <c r="CG57" s="90"/>
      <c r="CH57" s="90"/>
      <c r="CI57" s="90" t="s">
        <v>194</v>
      </c>
      <c r="CJ57" s="90" t="s">
        <v>195</v>
      </c>
      <c r="CK57" s="90" t="s">
        <v>195</v>
      </c>
      <c r="CL57" s="90" t="s">
        <v>195</v>
      </c>
      <c r="CM57" s="90" t="s">
        <v>195</v>
      </c>
      <c r="CN57" s="90" t="s">
        <v>195</v>
      </c>
      <c r="CO57" s="90" t="s">
        <v>195</v>
      </c>
      <c r="CP57" s="90" t="s">
        <v>195</v>
      </c>
      <c r="CQ57" s="90" t="s">
        <v>195</v>
      </c>
      <c r="CR57" s="90" t="s">
        <v>195</v>
      </c>
      <c r="CS57" s="90" t="s">
        <v>195</v>
      </c>
      <c r="CT57" s="90" t="s">
        <v>195</v>
      </c>
      <c r="CU57" s="90" t="s">
        <v>195</v>
      </c>
      <c r="CV57" s="90" t="s">
        <v>195</v>
      </c>
      <c r="CW57" s="90" t="s">
        <v>195</v>
      </c>
      <c r="CX57" s="90" t="s">
        <v>195</v>
      </c>
      <c r="CY57" s="90" t="s">
        <v>195</v>
      </c>
      <c r="CZ57" s="90" t="s">
        <v>195</v>
      </c>
      <c r="DA57" s="90" t="s">
        <v>195</v>
      </c>
      <c r="DB57" s="90" t="s">
        <v>195</v>
      </c>
      <c r="DC57" s="90" t="s">
        <v>195</v>
      </c>
      <c r="DD57" s="90" t="s">
        <v>195</v>
      </c>
      <c r="DE57" s="90" t="s">
        <v>195</v>
      </c>
      <c r="DF57" s="90" t="s">
        <v>195</v>
      </c>
      <c r="DG57" s="90" t="s">
        <v>195</v>
      </c>
      <c r="DH57" s="90" t="s">
        <v>195</v>
      </c>
      <c r="DI57" s="90" t="s">
        <v>195</v>
      </c>
      <c r="DJ57" s="90" t="s">
        <v>195</v>
      </c>
      <c r="DK57" s="90"/>
      <c r="DL57" s="90" t="s">
        <v>194</v>
      </c>
      <c r="DM57" s="90" t="s">
        <v>195</v>
      </c>
      <c r="DN57" s="90" t="s">
        <v>195</v>
      </c>
      <c r="DO57" s="90" t="s">
        <v>195</v>
      </c>
      <c r="DP57" s="90" t="s">
        <v>195</v>
      </c>
      <c r="DQ57" s="90" t="s">
        <v>195</v>
      </c>
      <c r="DR57" s="90" t="s">
        <v>195</v>
      </c>
      <c r="DS57" s="90" t="s">
        <v>195</v>
      </c>
      <c r="DT57" s="90" t="s">
        <v>195</v>
      </c>
      <c r="DU57" s="90" t="s">
        <v>195</v>
      </c>
      <c r="DV57" s="90" t="s">
        <v>195</v>
      </c>
      <c r="DW57" s="90" t="s">
        <v>195</v>
      </c>
      <c r="DX57" s="90" t="s">
        <v>195</v>
      </c>
      <c r="DY57" s="90" t="s">
        <v>195</v>
      </c>
      <c r="DZ57" s="90" t="s">
        <v>195</v>
      </c>
      <c r="EA57" s="90"/>
      <c r="EB57" s="90" t="s">
        <v>194</v>
      </c>
      <c r="EC57" s="90" t="s">
        <v>195</v>
      </c>
      <c r="ED57" s="90" t="s">
        <v>195</v>
      </c>
      <c r="EE57" s="90" t="s">
        <v>195</v>
      </c>
      <c r="EF57" s="90" t="s">
        <v>195</v>
      </c>
      <c r="EG57" s="90" t="s">
        <v>195</v>
      </c>
      <c r="EH57" s="102" t="s">
        <v>195</v>
      </c>
    </row>
    <row r="58" spans="1:138" ht="23.25" customHeight="1" x14ac:dyDescent="0.25">
      <c r="A58" s="98" t="s">
        <v>16</v>
      </c>
      <c r="B58" s="99" t="s">
        <v>193</v>
      </c>
      <c r="C58" s="99" t="s">
        <v>198</v>
      </c>
      <c r="D58" s="99" t="s">
        <v>202</v>
      </c>
      <c r="E58" s="99" t="s">
        <v>202</v>
      </c>
      <c r="F58" s="99" t="s">
        <v>202</v>
      </c>
      <c r="G58" s="99" t="s">
        <v>206</v>
      </c>
      <c r="H58" s="99" t="s">
        <v>206</v>
      </c>
      <c r="I58" s="99" t="s">
        <v>206</v>
      </c>
      <c r="J58" s="99" t="s">
        <v>206</v>
      </c>
      <c r="K58" s="99" t="s">
        <v>206</v>
      </c>
      <c r="L58" s="99" t="s">
        <v>206</v>
      </c>
      <c r="M58" s="99" t="s">
        <v>206</v>
      </c>
      <c r="N58" s="99" t="s">
        <v>206</v>
      </c>
      <c r="O58" s="99" t="s">
        <v>30</v>
      </c>
      <c r="P58" s="99" t="s">
        <v>202</v>
      </c>
      <c r="Q58" s="99" t="s">
        <v>202</v>
      </c>
      <c r="R58" s="99" t="s">
        <v>206</v>
      </c>
      <c r="S58" s="99" t="s">
        <v>200</v>
      </c>
      <c r="T58" s="99"/>
      <c r="U58" s="99" t="s">
        <v>198</v>
      </c>
      <c r="V58" s="99" t="s">
        <v>201</v>
      </c>
      <c r="W58" s="99" t="s">
        <v>201</v>
      </c>
      <c r="X58" s="99" t="s">
        <v>201</v>
      </c>
      <c r="Y58" s="99" t="s">
        <v>201</v>
      </c>
      <c r="Z58" s="99" t="s">
        <v>196</v>
      </c>
      <c r="AA58" s="99" t="s">
        <v>195</v>
      </c>
      <c r="AB58" s="99" t="s">
        <v>195</v>
      </c>
      <c r="AC58" s="99" t="s">
        <v>195</v>
      </c>
      <c r="AD58" s="99" t="s">
        <v>195</v>
      </c>
      <c r="AE58" s="99" t="s">
        <v>201</v>
      </c>
      <c r="AF58" s="99" t="s">
        <v>201</v>
      </c>
      <c r="AG58" s="99" t="s">
        <v>201</v>
      </c>
      <c r="AH58" s="99" t="s">
        <v>201</v>
      </c>
      <c r="AI58" s="99" t="s">
        <v>194</v>
      </c>
      <c r="AJ58" s="99" t="s">
        <v>195</v>
      </c>
      <c r="AK58" s="99" t="s">
        <v>195</v>
      </c>
      <c r="AL58" s="99" t="s">
        <v>195</v>
      </c>
      <c r="AM58" s="99"/>
      <c r="AN58" s="99" t="s">
        <v>194</v>
      </c>
      <c r="AO58" s="99" t="s">
        <v>195</v>
      </c>
      <c r="AP58" s="99" t="s">
        <v>195</v>
      </c>
      <c r="AQ58" s="99" t="s">
        <v>195</v>
      </c>
      <c r="AR58" s="99" t="s">
        <v>195</v>
      </c>
      <c r="AS58" s="99" t="s">
        <v>195</v>
      </c>
      <c r="AT58" s="99" t="s">
        <v>195</v>
      </c>
      <c r="AU58" s="99" t="s">
        <v>195</v>
      </c>
      <c r="AV58" s="99" t="s">
        <v>195</v>
      </c>
      <c r="AW58" s="99" t="s">
        <v>195</v>
      </c>
      <c r="AX58" s="99" t="s">
        <v>195</v>
      </c>
      <c r="AY58" s="99"/>
      <c r="AZ58" s="99" t="s">
        <v>194</v>
      </c>
      <c r="BA58" s="99" t="s">
        <v>194</v>
      </c>
      <c r="BB58" s="99" t="s">
        <v>195</v>
      </c>
      <c r="BC58" s="99" t="s">
        <v>195</v>
      </c>
      <c r="BD58" s="99" t="s">
        <v>195</v>
      </c>
      <c r="BE58" s="99" t="s">
        <v>195</v>
      </c>
      <c r="BF58" s="99" t="s">
        <v>195</v>
      </c>
      <c r="BG58" s="99" t="s">
        <v>195</v>
      </c>
      <c r="BH58" s="99" t="s">
        <v>195</v>
      </c>
      <c r="BI58" s="99" t="s">
        <v>195</v>
      </c>
      <c r="BJ58" s="99" t="s">
        <v>195</v>
      </c>
      <c r="BK58" s="99" t="s">
        <v>195</v>
      </c>
      <c r="BL58" s="99" t="s">
        <v>195</v>
      </c>
      <c r="BM58" s="99" t="s">
        <v>195</v>
      </c>
      <c r="BN58" s="99" t="s">
        <v>195</v>
      </c>
      <c r="BO58" s="99" t="s">
        <v>195</v>
      </c>
      <c r="BP58" s="99" t="s">
        <v>195</v>
      </c>
      <c r="BQ58" s="99" t="s">
        <v>195</v>
      </c>
      <c r="BR58" s="99" t="s">
        <v>195</v>
      </c>
      <c r="BS58" s="99" t="s">
        <v>195</v>
      </c>
      <c r="BT58" s="99"/>
      <c r="BU58" s="99" t="s">
        <v>203</v>
      </c>
      <c r="BV58" s="99" t="s">
        <v>203</v>
      </c>
      <c r="BW58" s="99" t="s">
        <v>203</v>
      </c>
      <c r="BX58" s="99" t="s">
        <v>203</v>
      </c>
      <c r="BY58" s="99" t="s">
        <v>203</v>
      </c>
      <c r="BZ58" s="99" t="s">
        <v>203</v>
      </c>
      <c r="CA58" s="99" t="s">
        <v>203</v>
      </c>
      <c r="CB58" s="99"/>
      <c r="CC58" s="99" t="s">
        <v>207</v>
      </c>
      <c r="CD58" s="99"/>
      <c r="CE58" s="99" t="s">
        <v>198</v>
      </c>
      <c r="CF58" s="99"/>
      <c r="CG58" s="99"/>
      <c r="CH58" s="99"/>
      <c r="CI58" s="99" t="s">
        <v>194</v>
      </c>
      <c r="CJ58" s="99" t="s">
        <v>195</v>
      </c>
      <c r="CK58" s="99" t="s">
        <v>195</v>
      </c>
      <c r="CL58" s="99" t="s">
        <v>195</v>
      </c>
      <c r="CM58" s="99" t="s">
        <v>195</v>
      </c>
      <c r="CN58" s="99" t="s">
        <v>195</v>
      </c>
      <c r="CO58" s="99" t="s">
        <v>195</v>
      </c>
      <c r="CP58" s="99" t="s">
        <v>195</v>
      </c>
      <c r="CQ58" s="99" t="s">
        <v>195</v>
      </c>
      <c r="CR58" s="99" t="s">
        <v>195</v>
      </c>
      <c r="CS58" s="99" t="s">
        <v>195</v>
      </c>
      <c r="CT58" s="99" t="s">
        <v>195</v>
      </c>
      <c r="CU58" s="99" t="s">
        <v>195</v>
      </c>
      <c r="CV58" s="99" t="s">
        <v>195</v>
      </c>
      <c r="CW58" s="99" t="s">
        <v>195</v>
      </c>
      <c r="CX58" s="99" t="s">
        <v>195</v>
      </c>
      <c r="CY58" s="99" t="s">
        <v>195</v>
      </c>
      <c r="CZ58" s="99" t="s">
        <v>195</v>
      </c>
      <c r="DA58" s="99" t="s">
        <v>195</v>
      </c>
      <c r="DB58" s="99" t="s">
        <v>195</v>
      </c>
      <c r="DC58" s="99" t="s">
        <v>195</v>
      </c>
      <c r="DD58" s="99" t="s">
        <v>195</v>
      </c>
      <c r="DE58" s="99" t="s">
        <v>195</v>
      </c>
      <c r="DF58" s="99" t="s">
        <v>195</v>
      </c>
      <c r="DG58" s="99" t="s">
        <v>195</v>
      </c>
      <c r="DH58" s="99" t="s">
        <v>195</v>
      </c>
      <c r="DI58" s="99" t="s">
        <v>195</v>
      </c>
      <c r="DJ58" s="99" t="s">
        <v>195</v>
      </c>
      <c r="DK58" s="99"/>
      <c r="DL58" s="99" t="s">
        <v>194</v>
      </c>
      <c r="DM58" s="99" t="s">
        <v>195</v>
      </c>
      <c r="DN58" s="99" t="s">
        <v>195</v>
      </c>
      <c r="DO58" s="99" t="s">
        <v>195</v>
      </c>
      <c r="DP58" s="99" t="s">
        <v>195</v>
      </c>
      <c r="DQ58" s="99" t="s">
        <v>195</v>
      </c>
      <c r="DR58" s="99" t="s">
        <v>195</v>
      </c>
      <c r="DS58" s="99" t="s">
        <v>195</v>
      </c>
      <c r="DT58" s="99" t="s">
        <v>195</v>
      </c>
      <c r="DU58" s="99" t="s">
        <v>195</v>
      </c>
      <c r="DV58" s="99" t="s">
        <v>195</v>
      </c>
      <c r="DW58" s="99" t="s">
        <v>195</v>
      </c>
      <c r="DX58" s="99" t="s">
        <v>195</v>
      </c>
      <c r="DY58" s="99" t="s">
        <v>195</v>
      </c>
      <c r="DZ58" s="99" t="s">
        <v>195</v>
      </c>
      <c r="EA58" s="99"/>
      <c r="EB58" s="99" t="s">
        <v>198</v>
      </c>
      <c r="EC58" s="99" t="s">
        <v>201</v>
      </c>
      <c r="ED58" s="99" t="s">
        <v>201</v>
      </c>
      <c r="EE58" s="99" t="s">
        <v>201</v>
      </c>
      <c r="EF58" s="99" t="s">
        <v>201</v>
      </c>
      <c r="EG58" s="99" t="s">
        <v>201</v>
      </c>
      <c r="EH58" s="100" t="s">
        <v>201</v>
      </c>
    </row>
    <row r="59" spans="1:138" ht="23.25" customHeight="1" x14ac:dyDescent="0.25">
      <c r="A59" s="101" t="s">
        <v>16</v>
      </c>
      <c r="B59" s="90" t="s">
        <v>193</v>
      </c>
      <c r="C59" s="90" t="s">
        <v>194</v>
      </c>
      <c r="D59" s="90" t="s">
        <v>195</v>
      </c>
      <c r="E59" s="90" t="s">
        <v>195</v>
      </c>
      <c r="F59" s="90" t="s">
        <v>195</v>
      </c>
      <c r="G59" s="90" t="s">
        <v>195</v>
      </c>
      <c r="H59" s="90" t="s">
        <v>195</v>
      </c>
      <c r="I59" s="90" t="s">
        <v>195</v>
      </c>
      <c r="J59" s="90" t="s">
        <v>195</v>
      </c>
      <c r="K59" s="90" t="s">
        <v>195</v>
      </c>
      <c r="L59" s="90" t="s">
        <v>195</v>
      </c>
      <c r="M59" s="90" t="s">
        <v>195</v>
      </c>
      <c r="N59" s="90" t="s">
        <v>195</v>
      </c>
      <c r="O59" s="90" t="s">
        <v>195</v>
      </c>
      <c r="P59" s="90" t="s">
        <v>195</v>
      </c>
      <c r="Q59" s="90" t="s">
        <v>195</v>
      </c>
      <c r="R59" s="90" t="s">
        <v>195</v>
      </c>
      <c r="S59" s="90" t="s">
        <v>195</v>
      </c>
      <c r="T59" s="90"/>
      <c r="U59" s="90" t="s">
        <v>194</v>
      </c>
      <c r="V59" s="90" t="s">
        <v>195</v>
      </c>
      <c r="W59" s="90" t="s">
        <v>195</v>
      </c>
      <c r="X59" s="90" t="s">
        <v>195</v>
      </c>
      <c r="Y59" s="90" t="s">
        <v>195</v>
      </c>
      <c r="Z59" s="90" t="s">
        <v>196</v>
      </c>
      <c r="AA59" s="90" t="s">
        <v>195</v>
      </c>
      <c r="AB59" s="90" t="s">
        <v>195</v>
      </c>
      <c r="AC59" s="90" t="s">
        <v>195</v>
      </c>
      <c r="AD59" s="90" t="s">
        <v>195</v>
      </c>
      <c r="AE59" s="90" t="s">
        <v>195</v>
      </c>
      <c r="AF59" s="90" t="s">
        <v>195</v>
      </c>
      <c r="AG59" s="90" t="s">
        <v>195</v>
      </c>
      <c r="AH59" s="90" t="s">
        <v>195</v>
      </c>
      <c r="AI59" s="90" t="s">
        <v>194</v>
      </c>
      <c r="AJ59" s="90" t="s">
        <v>195</v>
      </c>
      <c r="AK59" s="90" t="s">
        <v>195</v>
      </c>
      <c r="AL59" s="90" t="s">
        <v>195</v>
      </c>
      <c r="AM59" s="90"/>
      <c r="AN59" s="90" t="s">
        <v>194</v>
      </c>
      <c r="AO59" s="90" t="s">
        <v>195</v>
      </c>
      <c r="AP59" s="90" t="s">
        <v>195</v>
      </c>
      <c r="AQ59" s="90" t="s">
        <v>195</v>
      </c>
      <c r="AR59" s="90" t="s">
        <v>195</v>
      </c>
      <c r="AS59" s="90" t="s">
        <v>195</v>
      </c>
      <c r="AT59" s="90" t="s">
        <v>195</v>
      </c>
      <c r="AU59" s="90" t="s">
        <v>195</v>
      </c>
      <c r="AV59" s="90" t="s">
        <v>195</v>
      </c>
      <c r="AW59" s="90" t="s">
        <v>195</v>
      </c>
      <c r="AX59" s="90" t="s">
        <v>195</v>
      </c>
      <c r="AY59" s="90"/>
      <c r="AZ59" s="90" t="s">
        <v>194</v>
      </c>
      <c r="BA59" s="90" t="s">
        <v>194</v>
      </c>
      <c r="BB59" s="90" t="s">
        <v>195</v>
      </c>
      <c r="BC59" s="90" t="s">
        <v>195</v>
      </c>
      <c r="BD59" s="90" t="s">
        <v>195</v>
      </c>
      <c r="BE59" s="90" t="s">
        <v>195</v>
      </c>
      <c r="BF59" s="90" t="s">
        <v>195</v>
      </c>
      <c r="BG59" s="90" t="s">
        <v>195</v>
      </c>
      <c r="BH59" s="90" t="s">
        <v>195</v>
      </c>
      <c r="BI59" s="90" t="s">
        <v>195</v>
      </c>
      <c r="BJ59" s="90" t="s">
        <v>195</v>
      </c>
      <c r="BK59" s="90" t="s">
        <v>195</v>
      </c>
      <c r="BL59" s="90" t="s">
        <v>195</v>
      </c>
      <c r="BM59" s="90" t="s">
        <v>195</v>
      </c>
      <c r="BN59" s="90" t="s">
        <v>195</v>
      </c>
      <c r="BO59" s="90" t="s">
        <v>195</v>
      </c>
      <c r="BP59" s="90" t="s">
        <v>195</v>
      </c>
      <c r="BQ59" s="90" t="s">
        <v>195</v>
      </c>
      <c r="BR59" s="90" t="s">
        <v>195</v>
      </c>
      <c r="BS59" s="90" t="s">
        <v>195</v>
      </c>
      <c r="BT59" s="90"/>
      <c r="BU59" s="90" t="s">
        <v>199</v>
      </c>
      <c r="BV59" s="90" t="s">
        <v>195</v>
      </c>
      <c r="BW59" s="90" t="s">
        <v>195</v>
      </c>
      <c r="BX59" s="90" t="s">
        <v>195</v>
      </c>
      <c r="BY59" s="90" t="s">
        <v>195</v>
      </c>
      <c r="BZ59" s="90" t="s">
        <v>195</v>
      </c>
      <c r="CA59" s="90" t="s">
        <v>199</v>
      </c>
      <c r="CB59" s="90"/>
      <c r="CC59" s="90" t="s">
        <v>197</v>
      </c>
      <c r="CD59" s="90"/>
      <c r="CE59" s="90" t="s">
        <v>198</v>
      </c>
      <c r="CF59" s="90"/>
      <c r="CG59" s="90"/>
      <c r="CH59" s="90"/>
      <c r="CI59" s="90" t="s">
        <v>198</v>
      </c>
      <c r="CJ59" s="90" t="s">
        <v>199</v>
      </c>
      <c r="CK59" s="90" t="s">
        <v>199</v>
      </c>
      <c r="CL59" s="90" t="s">
        <v>199</v>
      </c>
      <c r="CM59" s="90" t="s">
        <v>199</v>
      </c>
      <c r="CN59" s="90" t="s">
        <v>199</v>
      </c>
      <c r="CO59" s="90" t="s">
        <v>199</v>
      </c>
      <c r="CP59" s="90" t="s">
        <v>30</v>
      </c>
      <c r="CQ59" s="90" t="s">
        <v>30</v>
      </c>
      <c r="CR59" s="90" t="s">
        <v>201</v>
      </c>
      <c r="CS59" s="90" t="s">
        <v>30</v>
      </c>
      <c r="CT59" s="90" t="s">
        <v>30</v>
      </c>
      <c r="CU59" s="90" t="s">
        <v>201</v>
      </c>
      <c r="CV59" s="90" t="s">
        <v>30</v>
      </c>
      <c r="CW59" s="90" t="s">
        <v>201</v>
      </c>
      <c r="CX59" s="90" t="s">
        <v>201</v>
      </c>
      <c r="CY59" s="90" t="s">
        <v>202</v>
      </c>
      <c r="CZ59" s="90" t="s">
        <v>202</v>
      </c>
      <c r="DA59" s="90" t="s">
        <v>202</v>
      </c>
      <c r="DB59" s="90" t="s">
        <v>200</v>
      </c>
      <c r="DC59" s="90" t="s">
        <v>200</v>
      </c>
      <c r="DD59" s="90" t="s">
        <v>200</v>
      </c>
      <c r="DE59" s="90" t="s">
        <v>200</v>
      </c>
      <c r="DF59" s="90" t="s">
        <v>200</v>
      </c>
      <c r="DG59" s="90" t="s">
        <v>30</v>
      </c>
      <c r="DH59" s="90" t="s">
        <v>199</v>
      </c>
      <c r="DI59" s="90" t="s">
        <v>199</v>
      </c>
      <c r="DJ59" s="90" t="s">
        <v>30</v>
      </c>
      <c r="DK59" s="90"/>
      <c r="DL59" s="90" t="s">
        <v>194</v>
      </c>
      <c r="DM59" s="90" t="s">
        <v>195</v>
      </c>
      <c r="DN59" s="90" t="s">
        <v>195</v>
      </c>
      <c r="DO59" s="90" t="s">
        <v>195</v>
      </c>
      <c r="DP59" s="90" t="s">
        <v>195</v>
      </c>
      <c r="DQ59" s="90" t="s">
        <v>195</v>
      </c>
      <c r="DR59" s="90" t="s">
        <v>195</v>
      </c>
      <c r="DS59" s="90" t="s">
        <v>195</v>
      </c>
      <c r="DT59" s="90" t="s">
        <v>195</v>
      </c>
      <c r="DU59" s="90" t="s">
        <v>195</v>
      </c>
      <c r="DV59" s="90" t="s">
        <v>195</v>
      </c>
      <c r="DW59" s="90" t="s">
        <v>195</v>
      </c>
      <c r="DX59" s="90" t="s">
        <v>195</v>
      </c>
      <c r="DY59" s="90" t="s">
        <v>195</v>
      </c>
      <c r="DZ59" s="90" t="s">
        <v>195</v>
      </c>
      <c r="EA59" s="90"/>
      <c r="EB59" s="90" t="s">
        <v>198</v>
      </c>
      <c r="EC59" s="90" t="s">
        <v>199</v>
      </c>
      <c r="ED59" s="90" t="s">
        <v>199</v>
      </c>
      <c r="EE59" s="90" t="s">
        <v>201</v>
      </c>
      <c r="EF59" s="90" t="s">
        <v>201</v>
      </c>
      <c r="EG59" s="90" t="s">
        <v>199</v>
      </c>
      <c r="EH59" s="102" t="s">
        <v>201</v>
      </c>
    </row>
    <row r="60" spans="1:138" ht="23.25" customHeight="1" x14ac:dyDescent="0.25">
      <c r="A60" s="98" t="s">
        <v>17</v>
      </c>
      <c r="B60" s="99" t="s">
        <v>193</v>
      </c>
      <c r="C60" s="99" t="s">
        <v>194</v>
      </c>
      <c r="D60" s="99" t="s">
        <v>195</v>
      </c>
      <c r="E60" s="99" t="s">
        <v>195</v>
      </c>
      <c r="F60" s="99" t="s">
        <v>195</v>
      </c>
      <c r="G60" s="99" t="s">
        <v>195</v>
      </c>
      <c r="H60" s="99" t="s">
        <v>195</v>
      </c>
      <c r="I60" s="99" t="s">
        <v>195</v>
      </c>
      <c r="J60" s="99" t="s">
        <v>195</v>
      </c>
      <c r="K60" s="99" t="s">
        <v>195</v>
      </c>
      <c r="L60" s="99" t="s">
        <v>195</v>
      </c>
      <c r="M60" s="99" t="s">
        <v>195</v>
      </c>
      <c r="N60" s="99" t="s">
        <v>195</v>
      </c>
      <c r="O60" s="99" t="s">
        <v>195</v>
      </c>
      <c r="P60" s="99" t="s">
        <v>195</v>
      </c>
      <c r="Q60" s="99" t="s">
        <v>195</v>
      </c>
      <c r="R60" s="99" t="s">
        <v>195</v>
      </c>
      <c r="S60" s="99" t="s">
        <v>195</v>
      </c>
      <c r="T60" s="99"/>
      <c r="U60" s="99" t="s">
        <v>194</v>
      </c>
      <c r="V60" s="99" t="s">
        <v>195</v>
      </c>
      <c r="W60" s="99" t="s">
        <v>195</v>
      </c>
      <c r="X60" s="99" t="s">
        <v>195</v>
      </c>
      <c r="Y60" s="99" t="s">
        <v>195</v>
      </c>
      <c r="Z60" s="99" t="s">
        <v>17</v>
      </c>
      <c r="AA60" s="99" t="s">
        <v>195</v>
      </c>
      <c r="AB60" s="99" t="s">
        <v>195</v>
      </c>
      <c r="AC60" s="99" t="s">
        <v>195</v>
      </c>
      <c r="AD60" s="99" t="s">
        <v>195</v>
      </c>
      <c r="AE60" s="99" t="s">
        <v>195</v>
      </c>
      <c r="AF60" s="99" t="s">
        <v>195</v>
      </c>
      <c r="AG60" s="99" t="s">
        <v>195</v>
      </c>
      <c r="AH60" s="99" t="s">
        <v>195</v>
      </c>
      <c r="AI60" s="99" t="s">
        <v>194</v>
      </c>
      <c r="AJ60" s="99" t="s">
        <v>195</v>
      </c>
      <c r="AK60" s="99" t="s">
        <v>195</v>
      </c>
      <c r="AL60" s="99" t="s">
        <v>195</v>
      </c>
      <c r="AM60" s="99"/>
      <c r="AN60" s="99" t="s">
        <v>198</v>
      </c>
      <c r="AO60" s="99" t="s">
        <v>200</v>
      </c>
      <c r="AP60" s="99" t="s">
        <v>200</v>
      </c>
      <c r="AQ60" s="99" t="s">
        <v>200</v>
      </c>
      <c r="AR60" s="99" t="s">
        <v>200</v>
      </c>
      <c r="AS60" s="99" t="s">
        <v>202</v>
      </c>
      <c r="AT60" s="99" t="s">
        <v>199</v>
      </c>
      <c r="AU60" s="99" t="s">
        <v>200</v>
      </c>
      <c r="AV60" s="99" t="s">
        <v>199</v>
      </c>
      <c r="AW60" s="99" t="s">
        <v>200</v>
      </c>
      <c r="AX60" s="99" t="s">
        <v>199</v>
      </c>
      <c r="AY60" s="99"/>
      <c r="AZ60" s="99" t="s">
        <v>194</v>
      </c>
      <c r="BA60" s="99" t="s">
        <v>194</v>
      </c>
      <c r="BB60" s="99" t="s">
        <v>195</v>
      </c>
      <c r="BC60" s="99" t="s">
        <v>195</v>
      </c>
      <c r="BD60" s="99" t="s">
        <v>195</v>
      </c>
      <c r="BE60" s="99" t="s">
        <v>195</v>
      </c>
      <c r="BF60" s="99" t="s">
        <v>195</v>
      </c>
      <c r="BG60" s="99" t="s">
        <v>195</v>
      </c>
      <c r="BH60" s="99" t="s">
        <v>195</v>
      </c>
      <c r="BI60" s="99" t="s">
        <v>195</v>
      </c>
      <c r="BJ60" s="99" t="s">
        <v>195</v>
      </c>
      <c r="BK60" s="99" t="s">
        <v>195</v>
      </c>
      <c r="BL60" s="99" t="s">
        <v>195</v>
      </c>
      <c r="BM60" s="99" t="s">
        <v>195</v>
      </c>
      <c r="BN60" s="99" t="s">
        <v>195</v>
      </c>
      <c r="BO60" s="99" t="s">
        <v>195</v>
      </c>
      <c r="BP60" s="99" t="s">
        <v>195</v>
      </c>
      <c r="BQ60" s="99" t="s">
        <v>195</v>
      </c>
      <c r="BR60" s="99" t="s">
        <v>195</v>
      </c>
      <c r="BS60" s="99" t="s">
        <v>195</v>
      </c>
      <c r="BT60" s="99"/>
      <c r="BU60" s="99" t="s">
        <v>203</v>
      </c>
      <c r="BV60" s="99" t="s">
        <v>203</v>
      </c>
      <c r="BW60" s="99" t="s">
        <v>203</v>
      </c>
      <c r="BX60" s="99" t="s">
        <v>203</v>
      </c>
      <c r="BY60" s="99" t="s">
        <v>203</v>
      </c>
      <c r="BZ60" s="99" t="s">
        <v>203</v>
      </c>
      <c r="CA60" s="99" t="s">
        <v>203</v>
      </c>
      <c r="CB60" s="99"/>
      <c r="CC60" s="99" t="s">
        <v>207</v>
      </c>
      <c r="CD60" s="99"/>
      <c r="CE60" s="99" t="s">
        <v>198</v>
      </c>
      <c r="CF60" s="99"/>
      <c r="CG60" s="99"/>
      <c r="CH60" s="99"/>
      <c r="CI60" s="99" t="s">
        <v>194</v>
      </c>
      <c r="CJ60" s="99" t="s">
        <v>195</v>
      </c>
      <c r="CK60" s="99" t="s">
        <v>195</v>
      </c>
      <c r="CL60" s="99" t="s">
        <v>195</v>
      </c>
      <c r="CM60" s="99" t="s">
        <v>195</v>
      </c>
      <c r="CN60" s="99" t="s">
        <v>195</v>
      </c>
      <c r="CO60" s="99" t="s">
        <v>195</v>
      </c>
      <c r="CP60" s="99" t="s">
        <v>195</v>
      </c>
      <c r="CQ60" s="99" t="s">
        <v>195</v>
      </c>
      <c r="CR60" s="99" t="s">
        <v>195</v>
      </c>
      <c r="CS60" s="99" t="s">
        <v>195</v>
      </c>
      <c r="CT60" s="99" t="s">
        <v>195</v>
      </c>
      <c r="CU60" s="99" t="s">
        <v>195</v>
      </c>
      <c r="CV60" s="99" t="s">
        <v>195</v>
      </c>
      <c r="CW60" s="99" t="s">
        <v>195</v>
      </c>
      <c r="CX60" s="99" t="s">
        <v>195</v>
      </c>
      <c r="CY60" s="99" t="s">
        <v>195</v>
      </c>
      <c r="CZ60" s="99" t="s">
        <v>195</v>
      </c>
      <c r="DA60" s="99" t="s">
        <v>195</v>
      </c>
      <c r="DB60" s="99" t="s">
        <v>195</v>
      </c>
      <c r="DC60" s="99" t="s">
        <v>195</v>
      </c>
      <c r="DD60" s="99" t="s">
        <v>195</v>
      </c>
      <c r="DE60" s="99" t="s">
        <v>195</v>
      </c>
      <c r="DF60" s="99" t="s">
        <v>195</v>
      </c>
      <c r="DG60" s="99" t="s">
        <v>195</v>
      </c>
      <c r="DH60" s="99" t="s">
        <v>195</v>
      </c>
      <c r="DI60" s="99" t="s">
        <v>195</v>
      </c>
      <c r="DJ60" s="99" t="s">
        <v>195</v>
      </c>
      <c r="DK60" s="99"/>
      <c r="DL60" s="99" t="s">
        <v>194</v>
      </c>
      <c r="DM60" s="99" t="s">
        <v>195</v>
      </c>
      <c r="DN60" s="99" t="s">
        <v>195</v>
      </c>
      <c r="DO60" s="99" t="s">
        <v>195</v>
      </c>
      <c r="DP60" s="99" t="s">
        <v>195</v>
      </c>
      <c r="DQ60" s="99" t="s">
        <v>195</v>
      </c>
      <c r="DR60" s="99" t="s">
        <v>195</v>
      </c>
      <c r="DS60" s="99" t="s">
        <v>195</v>
      </c>
      <c r="DT60" s="99" t="s">
        <v>195</v>
      </c>
      <c r="DU60" s="99" t="s">
        <v>195</v>
      </c>
      <c r="DV60" s="99" t="s">
        <v>195</v>
      </c>
      <c r="DW60" s="99" t="s">
        <v>195</v>
      </c>
      <c r="DX60" s="99" t="s">
        <v>195</v>
      </c>
      <c r="DY60" s="99" t="s">
        <v>195</v>
      </c>
      <c r="DZ60" s="99" t="s">
        <v>195</v>
      </c>
      <c r="EA60" s="99"/>
      <c r="EB60" s="99" t="s">
        <v>194</v>
      </c>
      <c r="EC60" s="99" t="s">
        <v>195</v>
      </c>
      <c r="ED60" s="99" t="s">
        <v>195</v>
      </c>
      <c r="EE60" s="99" t="s">
        <v>195</v>
      </c>
      <c r="EF60" s="99" t="s">
        <v>195</v>
      </c>
      <c r="EG60" s="99" t="s">
        <v>195</v>
      </c>
      <c r="EH60" s="100" t="s">
        <v>195</v>
      </c>
    </row>
    <row r="61" spans="1:138" ht="23.25" customHeight="1" x14ac:dyDescent="0.25">
      <c r="A61" s="101" t="s">
        <v>16</v>
      </c>
      <c r="B61" s="90" t="s">
        <v>193</v>
      </c>
      <c r="C61" s="90" t="s">
        <v>198</v>
      </c>
      <c r="D61" s="90" t="s">
        <v>199</v>
      </c>
      <c r="E61" s="90" t="s">
        <v>199</v>
      </c>
      <c r="F61" s="90" t="s">
        <v>199</v>
      </c>
      <c r="G61" s="90" t="s">
        <v>199</v>
      </c>
      <c r="H61" s="90" t="s">
        <v>199</v>
      </c>
      <c r="I61" s="90" t="s">
        <v>199</v>
      </c>
      <c r="J61" s="90" t="s">
        <v>199</v>
      </c>
      <c r="K61" s="90" t="s">
        <v>199</v>
      </c>
      <c r="L61" s="90" t="s">
        <v>199</v>
      </c>
      <c r="M61" s="90" t="s">
        <v>199</v>
      </c>
      <c r="N61" s="90" t="s">
        <v>199</v>
      </c>
      <c r="O61" s="90" t="s">
        <v>199</v>
      </c>
      <c r="P61" s="90" t="s">
        <v>199</v>
      </c>
      <c r="Q61" s="90" t="s">
        <v>199</v>
      </c>
      <c r="R61" s="90" t="s">
        <v>199</v>
      </c>
      <c r="S61" s="90" t="s">
        <v>199</v>
      </c>
      <c r="T61" s="90"/>
      <c r="U61" s="90" t="s">
        <v>198</v>
      </c>
      <c r="V61" s="90" t="s">
        <v>199</v>
      </c>
      <c r="W61" s="90" t="s">
        <v>199</v>
      </c>
      <c r="X61" s="90" t="s">
        <v>200</v>
      </c>
      <c r="Y61" s="90" t="s">
        <v>199</v>
      </c>
      <c r="Z61" s="90" t="s">
        <v>196</v>
      </c>
      <c r="AA61" s="90" t="s">
        <v>195</v>
      </c>
      <c r="AB61" s="90" t="s">
        <v>195</v>
      </c>
      <c r="AC61" s="90" t="s">
        <v>195</v>
      </c>
      <c r="AD61" s="90" t="s">
        <v>195</v>
      </c>
      <c r="AE61" s="90" t="s">
        <v>199</v>
      </c>
      <c r="AF61" s="90" t="s">
        <v>199</v>
      </c>
      <c r="AG61" s="90" t="s">
        <v>199</v>
      </c>
      <c r="AH61" s="90" t="s">
        <v>199</v>
      </c>
      <c r="AI61" s="90" t="s">
        <v>194</v>
      </c>
      <c r="AJ61" s="90" t="s">
        <v>195</v>
      </c>
      <c r="AK61" s="90" t="s">
        <v>195</v>
      </c>
      <c r="AL61" s="90" t="s">
        <v>195</v>
      </c>
      <c r="AM61" s="90"/>
      <c r="AN61" s="90" t="s">
        <v>194</v>
      </c>
      <c r="AO61" s="90" t="s">
        <v>195</v>
      </c>
      <c r="AP61" s="90" t="s">
        <v>195</v>
      </c>
      <c r="AQ61" s="90" t="s">
        <v>195</v>
      </c>
      <c r="AR61" s="90" t="s">
        <v>195</v>
      </c>
      <c r="AS61" s="90" t="s">
        <v>195</v>
      </c>
      <c r="AT61" s="90" t="s">
        <v>195</v>
      </c>
      <c r="AU61" s="90" t="s">
        <v>195</v>
      </c>
      <c r="AV61" s="90" t="s">
        <v>195</v>
      </c>
      <c r="AW61" s="90" t="s">
        <v>195</v>
      </c>
      <c r="AX61" s="90" t="s">
        <v>195</v>
      </c>
      <c r="AY61" s="90"/>
      <c r="AZ61" s="90" t="s">
        <v>194</v>
      </c>
      <c r="BA61" s="90" t="s">
        <v>194</v>
      </c>
      <c r="BB61" s="90" t="s">
        <v>195</v>
      </c>
      <c r="BC61" s="90" t="s">
        <v>195</v>
      </c>
      <c r="BD61" s="90" t="s">
        <v>195</v>
      </c>
      <c r="BE61" s="90" t="s">
        <v>195</v>
      </c>
      <c r="BF61" s="90" t="s">
        <v>195</v>
      </c>
      <c r="BG61" s="90" t="s">
        <v>195</v>
      </c>
      <c r="BH61" s="90" t="s">
        <v>195</v>
      </c>
      <c r="BI61" s="90" t="s">
        <v>195</v>
      </c>
      <c r="BJ61" s="90" t="s">
        <v>195</v>
      </c>
      <c r="BK61" s="90" t="s">
        <v>195</v>
      </c>
      <c r="BL61" s="90" t="s">
        <v>195</v>
      </c>
      <c r="BM61" s="90" t="s">
        <v>195</v>
      </c>
      <c r="BN61" s="90" t="s">
        <v>195</v>
      </c>
      <c r="BO61" s="90" t="s">
        <v>195</v>
      </c>
      <c r="BP61" s="90" t="s">
        <v>195</v>
      </c>
      <c r="BQ61" s="90" t="s">
        <v>195</v>
      </c>
      <c r="BR61" s="90" t="s">
        <v>195</v>
      </c>
      <c r="BS61" s="90" t="s">
        <v>195</v>
      </c>
      <c r="BT61" s="90"/>
      <c r="BU61" s="90" t="s">
        <v>200</v>
      </c>
      <c r="BV61" s="90" t="s">
        <v>200</v>
      </c>
      <c r="BW61" s="90" t="s">
        <v>200</v>
      </c>
      <c r="BX61" s="90" t="s">
        <v>200</v>
      </c>
      <c r="BY61" s="90" t="s">
        <v>200</v>
      </c>
      <c r="BZ61" s="90" t="s">
        <v>200</v>
      </c>
      <c r="CA61" s="90" t="s">
        <v>200</v>
      </c>
      <c r="CB61" s="90"/>
      <c r="CC61" s="90" t="s">
        <v>197</v>
      </c>
      <c r="CD61" s="90"/>
      <c r="CE61" s="90" t="s">
        <v>198</v>
      </c>
      <c r="CF61" s="90"/>
      <c r="CG61" s="90"/>
      <c r="CH61" s="90"/>
      <c r="CI61" s="90" t="s">
        <v>194</v>
      </c>
      <c r="CJ61" s="90" t="s">
        <v>195</v>
      </c>
      <c r="CK61" s="90" t="s">
        <v>195</v>
      </c>
      <c r="CL61" s="90" t="s">
        <v>195</v>
      </c>
      <c r="CM61" s="90" t="s">
        <v>195</v>
      </c>
      <c r="CN61" s="90" t="s">
        <v>195</v>
      </c>
      <c r="CO61" s="90" t="s">
        <v>195</v>
      </c>
      <c r="CP61" s="90" t="s">
        <v>195</v>
      </c>
      <c r="CQ61" s="90" t="s">
        <v>195</v>
      </c>
      <c r="CR61" s="90" t="s">
        <v>195</v>
      </c>
      <c r="CS61" s="90" t="s">
        <v>195</v>
      </c>
      <c r="CT61" s="90" t="s">
        <v>195</v>
      </c>
      <c r="CU61" s="90" t="s">
        <v>195</v>
      </c>
      <c r="CV61" s="90" t="s">
        <v>195</v>
      </c>
      <c r="CW61" s="90" t="s">
        <v>195</v>
      </c>
      <c r="CX61" s="90" t="s">
        <v>195</v>
      </c>
      <c r="CY61" s="90" t="s">
        <v>195</v>
      </c>
      <c r="CZ61" s="90" t="s">
        <v>195</v>
      </c>
      <c r="DA61" s="90" t="s">
        <v>195</v>
      </c>
      <c r="DB61" s="90" t="s">
        <v>195</v>
      </c>
      <c r="DC61" s="90" t="s">
        <v>195</v>
      </c>
      <c r="DD61" s="90" t="s">
        <v>195</v>
      </c>
      <c r="DE61" s="90" t="s">
        <v>195</v>
      </c>
      <c r="DF61" s="90" t="s">
        <v>195</v>
      </c>
      <c r="DG61" s="90" t="s">
        <v>195</v>
      </c>
      <c r="DH61" s="90" t="s">
        <v>195</v>
      </c>
      <c r="DI61" s="90" t="s">
        <v>195</v>
      </c>
      <c r="DJ61" s="90" t="s">
        <v>195</v>
      </c>
      <c r="DK61" s="90"/>
      <c r="DL61" s="90" t="s">
        <v>194</v>
      </c>
      <c r="DM61" s="90" t="s">
        <v>195</v>
      </c>
      <c r="DN61" s="90" t="s">
        <v>195</v>
      </c>
      <c r="DO61" s="90" t="s">
        <v>195</v>
      </c>
      <c r="DP61" s="90" t="s">
        <v>195</v>
      </c>
      <c r="DQ61" s="90" t="s">
        <v>195</v>
      </c>
      <c r="DR61" s="90" t="s">
        <v>195</v>
      </c>
      <c r="DS61" s="90" t="s">
        <v>195</v>
      </c>
      <c r="DT61" s="90" t="s">
        <v>195</v>
      </c>
      <c r="DU61" s="90" t="s">
        <v>195</v>
      </c>
      <c r="DV61" s="90" t="s">
        <v>195</v>
      </c>
      <c r="DW61" s="90" t="s">
        <v>195</v>
      </c>
      <c r="DX61" s="90" t="s">
        <v>195</v>
      </c>
      <c r="DY61" s="90" t="s">
        <v>195</v>
      </c>
      <c r="DZ61" s="90" t="s">
        <v>195</v>
      </c>
      <c r="EA61" s="90"/>
      <c r="EB61" s="90" t="s">
        <v>198</v>
      </c>
      <c r="EC61" s="90" t="s">
        <v>199</v>
      </c>
      <c r="ED61" s="90" t="s">
        <v>199</v>
      </c>
      <c r="EE61" s="90" t="s">
        <v>199</v>
      </c>
      <c r="EF61" s="90" t="s">
        <v>199</v>
      </c>
      <c r="EG61" s="90" t="s">
        <v>199</v>
      </c>
      <c r="EH61" s="102" t="s">
        <v>199</v>
      </c>
    </row>
    <row r="62" spans="1:138" ht="23.25" customHeight="1" x14ac:dyDescent="0.25">
      <c r="A62" s="98" t="s">
        <v>16</v>
      </c>
      <c r="B62" s="99" t="s">
        <v>193</v>
      </c>
      <c r="C62" s="99" t="s">
        <v>194</v>
      </c>
      <c r="D62" s="99" t="s">
        <v>195</v>
      </c>
      <c r="E62" s="99" t="s">
        <v>195</v>
      </c>
      <c r="F62" s="99" t="s">
        <v>195</v>
      </c>
      <c r="G62" s="99" t="s">
        <v>195</v>
      </c>
      <c r="H62" s="99" t="s">
        <v>195</v>
      </c>
      <c r="I62" s="99" t="s">
        <v>195</v>
      </c>
      <c r="J62" s="99" t="s">
        <v>195</v>
      </c>
      <c r="K62" s="99" t="s">
        <v>195</v>
      </c>
      <c r="L62" s="99" t="s">
        <v>195</v>
      </c>
      <c r="M62" s="99" t="s">
        <v>195</v>
      </c>
      <c r="N62" s="99" t="s">
        <v>195</v>
      </c>
      <c r="O62" s="99" t="s">
        <v>195</v>
      </c>
      <c r="P62" s="99" t="s">
        <v>195</v>
      </c>
      <c r="Q62" s="99" t="s">
        <v>195</v>
      </c>
      <c r="R62" s="99" t="s">
        <v>195</v>
      </c>
      <c r="S62" s="99" t="s">
        <v>195</v>
      </c>
      <c r="T62" s="99"/>
      <c r="U62" s="99" t="s">
        <v>194</v>
      </c>
      <c r="V62" s="99" t="s">
        <v>195</v>
      </c>
      <c r="W62" s="99" t="s">
        <v>195</v>
      </c>
      <c r="X62" s="99" t="s">
        <v>195</v>
      </c>
      <c r="Y62" s="99" t="s">
        <v>195</v>
      </c>
      <c r="Z62" s="99" t="s">
        <v>196</v>
      </c>
      <c r="AA62" s="99" t="s">
        <v>195</v>
      </c>
      <c r="AB62" s="99" t="s">
        <v>195</v>
      </c>
      <c r="AC62" s="99" t="s">
        <v>195</v>
      </c>
      <c r="AD62" s="99" t="s">
        <v>195</v>
      </c>
      <c r="AE62" s="99" t="s">
        <v>195</v>
      </c>
      <c r="AF62" s="99" t="s">
        <v>195</v>
      </c>
      <c r="AG62" s="99" t="s">
        <v>195</v>
      </c>
      <c r="AH62" s="99" t="s">
        <v>195</v>
      </c>
      <c r="AI62" s="99" t="s">
        <v>194</v>
      </c>
      <c r="AJ62" s="99" t="s">
        <v>195</v>
      </c>
      <c r="AK62" s="99" t="s">
        <v>195</v>
      </c>
      <c r="AL62" s="99" t="s">
        <v>195</v>
      </c>
      <c r="AM62" s="99"/>
      <c r="AN62" s="99" t="s">
        <v>194</v>
      </c>
      <c r="AO62" s="99" t="s">
        <v>195</v>
      </c>
      <c r="AP62" s="99" t="s">
        <v>195</v>
      </c>
      <c r="AQ62" s="99" t="s">
        <v>195</v>
      </c>
      <c r="AR62" s="99" t="s">
        <v>195</v>
      </c>
      <c r="AS62" s="99" t="s">
        <v>195</v>
      </c>
      <c r="AT62" s="99" t="s">
        <v>195</v>
      </c>
      <c r="AU62" s="99" t="s">
        <v>195</v>
      </c>
      <c r="AV62" s="99" t="s">
        <v>195</v>
      </c>
      <c r="AW62" s="99" t="s">
        <v>195</v>
      </c>
      <c r="AX62" s="99" t="s">
        <v>195</v>
      </c>
      <c r="AY62" s="99"/>
      <c r="AZ62" s="99" t="s">
        <v>194</v>
      </c>
      <c r="BA62" s="99" t="s">
        <v>194</v>
      </c>
      <c r="BB62" s="99" t="s">
        <v>195</v>
      </c>
      <c r="BC62" s="99" t="s">
        <v>195</v>
      </c>
      <c r="BD62" s="99" t="s">
        <v>195</v>
      </c>
      <c r="BE62" s="99" t="s">
        <v>195</v>
      </c>
      <c r="BF62" s="99" t="s">
        <v>195</v>
      </c>
      <c r="BG62" s="99" t="s">
        <v>195</v>
      </c>
      <c r="BH62" s="99" t="s">
        <v>195</v>
      </c>
      <c r="BI62" s="99" t="s">
        <v>195</v>
      </c>
      <c r="BJ62" s="99" t="s">
        <v>195</v>
      </c>
      <c r="BK62" s="99" t="s">
        <v>195</v>
      </c>
      <c r="BL62" s="99" t="s">
        <v>195</v>
      </c>
      <c r="BM62" s="99" t="s">
        <v>195</v>
      </c>
      <c r="BN62" s="99" t="s">
        <v>195</v>
      </c>
      <c r="BO62" s="99" t="s">
        <v>195</v>
      </c>
      <c r="BP62" s="99" t="s">
        <v>195</v>
      </c>
      <c r="BQ62" s="99" t="s">
        <v>195</v>
      </c>
      <c r="BR62" s="99" t="s">
        <v>195</v>
      </c>
      <c r="BS62" s="99" t="s">
        <v>195</v>
      </c>
      <c r="BT62" s="99"/>
      <c r="BU62" s="99" t="s">
        <v>200</v>
      </c>
      <c r="BV62" s="99" t="s">
        <v>200</v>
      </c>
      <c r="BW62" s="99" t="s">
        <v>200</v>
      </c>
      <c r="BX62" s="99" t="s">
        <v>200</v>
      </c>
      <c r="BY62" s="99" t="s">
        <v>199</v>
      </c>
      <c r="BZ62" s="99" t="s">
        <v>199</v>
      </c>
      <c r="CA62" s="99" t="s">
        <v>200</v>
      </c>
      <c r="CB62" s="99"/>
      <c r="CC62" s="99" t="s">
        <v>197</v>
      </c>
      <c r="CD62" s="99"/>
      <c r="CE62" s="99" t="s">
        <v>198</v>
      </c>
      <c r="CF62" s="99"/>
      <c r="CG62" s="99"/>
      <c r="CH62" s="99"/>
      <c r="CI62" s="99" t="s">
        <v>194</v>
      </c>
      <c r="CJ62" s="99" t="s">
        <v>195</v>
      </c>
      <c r="CK62" s="99" t="s">
        <v>195</v>
      </c>
      <c r="CL62" s="99" t="s">
        <v>195</v>
      </c>
      <c r="CM62" s="99" t="s">
        <v>195</v>
      </c>
      <c r="CN62" s="99" t="s">
        <v>195</v>
      </c>
      <c r="CO62" s="99" t="s">
        <v>195</v>
      </c>
      <c r="CP62" s="99" t="s">
        <v>195</v>
      </c>
      <c r="CQ62" s="99" t="s">
        <v>195</v>
      </c>
      <c r="CR62" s="99" t="s">
        <v>195</v>
      </c>
      <c r="CS62" s="99" t="s">
        <v>195</v>
      </c>
      <c r="CT62" s="99" t="s">
        <v>195</v>
      </c>
      <c r="CU62" s="99" t="s">
        <v>195</v>
      </c>
      <c r="CV62" s="99" t="s">
        <v>195</v>
      </c>
      <c r="CW62" s="99" t="s">
        <v>195</v>
      </c>
      <c r="CX62" s="99" t="s">
        <v>195</v>
      </c>
      <c r="CY62" s="99" t="s">
        <v>195</v>
      </c>
      <c r="CZ62" s="99" t="s">
        <v>195</v>
      </c>
      <c r="DA62" s="99" t="s">
        <v>195</v>
      </c>
      <c r="DB62" s="99" t="s">
        <v>195</v>
      </c>
      <c r="DC62" s="99" t="s">
        <v>195</v>
      </c>
      <c r="DD62" s="99" t="s">
        <v>195</v>
      </c>
      <c r="DE62" s="99" t="s">
        <v>195</v>
      </c>
      <c r="DF62" s="99" t="s">
        <v>195</v>
      </c>
      <c r="DG62" s="99" t="s">
        <v>195</v>
      </c>
      <c r="DH62" s="99" t="s">
        <v>195</v>
      </c>
      <c r="DI62" s="99" t="s">
        <v>195</v>
      </c>
      <c r="DJ62" s="99" t="s">
        <v>195</v>
      </c>
      <c r="DK62" s="99"/>
      <c r="DL62" s="99" t="s">
        <v>194</v>
      </c>
      <c r="DM62" s="99" t="s">
        <v>195</v>
      </c>
      <c r="DN62" s="99" t="s">
        <v>195</v>
      </c>
      <c r="DO62" s="99" t="s">
        <v>195</v>
      </c>
      <c r="DP62" s="99" t="s">
        <v>195</v>
      </c>
      <c r="DQ62" s="99" t="s">
        <v>195</v>
      </c>
      <c r="DR62" s="99" t="s">
        <v>195</v>
      </c>
      <c r="DS62" s="99" t="s">
        <v>195</v>
      </c>
      <c r="DT62" s="99" t="s">
        <v>195</v>
      </c>
      <c r="DU62" s="99" t="s">
        <v>195</v>
      </c>
      <c r="DV62" s="99" t="s">
        <v>195</v>
      </c>
      <c r="DW62" s="99" t="s">
        <v>195</v>
      </c>
      <c r="DX62" s="99" t="s">
        <v>195</v>
      </c>
      <c r="DY62" s="99" t="s">
        <v>195</v>
      </c>
      <c r="DZ62" s="99" t="s">
        <v>195</v>
      </c>
      <c r="EA62" s="99"/>
      <c r="EB62" s="99" t="s">
        <v>194</v>
      </c>
      <c r="EC62" s="99" t="s">
        <v>195</v>
      </c>
      <c r="ED62" s="99" t="s">
        <v>195</v>
      </c>
      <c r="EE62" s="99" t="s">
        <v>195</v>
      </c>
      <c r="EF62" s="99" t="s">
        <v>195</v>
      </c>
      <c r="EG62" s="99" t="s">
        <v>195</v>
      </c>
      <c r="EH62" s="100" t="s">
        <v>195</v>
      </c>
    </row>
    <row r="63" spans="1:138" ht="23.25" customHeight="1" x14ac:dyDescent="0.25">
      <c r="A63" s="101" t="s">
        <v>17</v>
      </c>
      <c r="B63" s="90" t="s">
        <v>193</v>
      </c>
      <c r="C63" s="90" t="s">
        <v>198</v>
      </c>
      <c r="D63" s="90" t="s">
        <v>199</v>
      </c>
      <c r="E63" s="90" t="s">
        <v>199</v>
      </c>
      <c r="F63" s="90" t="s">
        <v>200</v>
      </c>
      <c r="G63" s="90" t="s">
        <v>200</v>
      </c>
      <c r="H63" s="90" t="s">
        <v>200</v>
      </c>
      <c r="I63" s="90" t="s">
        <v>199</v>
      </c>
      <c r="J63" s="90" t="s">
        <v>199</v>
      </c>
      <c r="K63" s="90" t="s">
        <v>199</v>
      </c>
      <c r="L63" s="90" t="s">
        <v>200</v>
      </c>
      <c r="M63" s="90" t="s">
        <v>200</v>
      </c>
      <c r="N63" s="90" t="s">
        <v>199</v>
      </c>
      <c r="O63" s="90" t="s">
        <v>200</v>
      </c>
      <c r="P63" s="90" t="s">
        <v>200</v>
      </c>
      <c r="Q63" s="90" t="s">
        <v>200</v>
      </c>
      <c r="R63" s="90" t="s">
        <v>201</v>
      </c>
      <c r="S63" s="90" t="s">
        <v>30</v>
      </c>
      <c r="T63" s="90"/>
      <c r="U63" s="90" t="s">
        <v>198</v>
      </c>
      <c r="V63" s="90" t="s">
        <v>199</v>
      </c>
      <c r="W63" s="90" t="s">
        <v>30</v>
      </c>
      <c r="X63" s="90" t="s">
        <v>199</v>
      </c>
      <c r="Y63" s="90" t="s">
        <v>199</v>
      </c>
      <c r="Z63" s="90" t="s">
        <v>208</v>
      </c>
      <c r="AA63" s="90" t="s">
        <v>200</v>
      </c>
      <c r="AB63" s="90" t="s">
        <v>200</v>
      </c>
      <c r="AC63" s="90" t="s">
        <v>200</v>
      </c>
      <c r="AD63" s="90" t="s">
        <v>200</v>
      </c>
      <c r="AE63" s="90" t="s">
        <v>195</v>
      </c>
      <c r="AF63" s="90" t="s">
        <v>195</v>
      </c>
      <c r="AG63" s="90" t="s">
        <v>195</v>
      </c>
      <c r="AH63" s="90" t="s">
        <v>195</v>
      </c>
      <c r="AI63" s="90" t="s">
        <v>198</v>
      </c>
      <c r="AJ63" s="90" t="s">
        <v>200</v>
      </c>
      <c r="AK63" s="90" t="s">
        <v>200</v>
      </c>
      <c r="AL63" s="90" t="s">
        <v>200</v>
      </c>
      <c r="AM63" s="90"/>
      <c r="AN63" s="90" t="s">
        <v>198</v>
      </c>
      <c r="AO63" s="90" t="s">
        <v>200</v>
      </c>
      <c r="AP63" s="90" t="s">
        <v>200</v>
      </c>
      <c r="AQ63" s="90" t="s">
        <v>200</v>
      </c>
      <c r="AR63" s="90" t="s">
        <v>200</v>
      </c>
      <c r="AS63" s="90" t="s">
        <v>199</v>
      </c>
      <c r="AT63" s="90" t="s">
        <v>200</v>
      </c>
      <c r="AU63" s="90" t="s">
        <v>199</v>
      </c>
      <c r="AV63" s="90" t="s">
        <v>200</v>
      </c>
      <c r="AW63" s="90" t="s">
        <v>200</v>
      </c>
      <c r="AX63" s="90" t="s">
        <v>200</v>
      </c>
      <c r="AY63" s="90"/>
      <c r="AZ63" s="90" t="s">
        <v>198</v>
      </c>
      <c r="BA63" s="90" t="s">
        <v>198</v>
      </c>
      <c r="BB63" s="90" t="s">
        <v>199</v>
      </c>
      <c r="BC63" s="90" t="s">
        <v>200</v>
      </c>
      <c r="BD63" s="90" t="s">
        <v>200</v>
      </c>
      <c r="BE63" s="90" t="s">
        <v>199</v>
      </c>
      <c r="BF63" s="90" t="s">
        <v>199</v>
      </c>
      <c r="BG63" s="90" t="s">
        <v>199</v>
      </c>
      <c r="BH63" s="90" t="s">
        <v>199</v>
      </c>
      <c r="BI63" s="90" t="s">
        <v>199</v>
      </c>
      <c r="BJ63" s="90" t="s">
        <v>199</v>
      </c>
      <c r="BK63" s="90" t="s">
        <v>200</v>
      </c>
      <c r="BL63" s="90" t="s">
        <v>200</v>
      </c>
      <c r="BM63" s="90" t="s">
        <v>200</v>
      </c>
      <c r="BN63" s="90" t="s">
        <v>199</v>
      </c>
      <c r="BO63" s="90" t="s">
        <v>200</v>
      </c>
      <c r="BP63" s="90" t="s">
        <v>200</v>
      </c>
      <c r="BQ63" s="90" t="s">
        <v>199</v>
      </c>
      <c r="BR63" s="90" t="s">
        <v>199</v>
      </c>
      <c r="BS63" s="90" t="s">
        <v>200</v>
      </c>
      <c r="BT63" s="90"/>
      <c r="BU63" s="90" t="s">
        <v>195</v>
      </c>
      <c r="BV63" s="90" t="s">
        <v>195</v>
      </c>
      <c r="BW63" s="90" t="s">
        <v>195</v>
      </c>
      <c r="BX63" s="90" t="s">
        <v>195</v>
      </c>
      <c r="BY63" s="90" t="s">
        <v>195</v>
      </c>
      <c r="BZ63" s="90" t="s">
        <v>195</v>
      </c>
      <c r="CA63" s="90" t="s">
        <v>30</v>
      </c>
      <c r="CB63" s="90"/>
      <c r="CC63" s="90" t="s">
        <v>197</v>
      </c>
      <c r="CD63" s="90"/>
      <c r="CE63" s="90" t="s">
        <v>198</v>
      </c>
      <c r="CF63" s="90"/>
      <c r="CG63" s="90"/>
      <c r="CH63" s="90"/>
      <c r="CI63" s="90" t="s">
        <v>198</v>
      </c>
      <c r="CJ63" s="90" t="s">
        <v>200</v>
      </c>
      <c r="CK63" s="90" t="s">
        <v>200</v>
      </c>
      <c r="CL63" s="90" t="s">
        <v>199</v>
      </c>
      <c r="CM63" s="90" t="s">
        <v>200</v>
      </c>
      <c r="CN63" s="90" t="s">
        <v>200</v>
      </c>
      <c r="CO63" s="90" t="s">
        <v>200</v>
      </c>
      <c r="CP63" s="90" t="s">
        <v>199</v>
      </c>
      <c r="CQ63" s="90" t="s">
        <v>199</v>
      </c>
      <c r="CR63" s="90" t="s">
        <v>199</v>
      </c>
      <c r="CS63" s="90" t="s">
        <v>199</v>
      </c>
      <c r="CT63" s="90" t="s">
        <v>199</v>
      </c>
      <c r="CU63" s="90" t="s">
        <v>30</v>
      </c>
      <c r="CV63" s="90" t="s">
        <v>199</v>
      </c>
      <c r="CW63" s="90" t="s">
        <v>200</v>
      </c>
      <c r="CX63" s="90" t="s">
        <v>199</v>
      </c>
      <c r="CY63" s="90" t="s">
        <v>199</v>
      </c>
      <c r="CZ63" s="90" t="s">
        <v>200</v>
      </c>
      <c r="DA63" s="90" t="s">
        <v>200</v>
      </c>
      <c r="DB63" s="90" t="s">
        <v>201</v>
      </c>
      <c r="DC63" s="90" t="s">
        <v>201</v>
      </c>
      <c r="DD63" s="90" t="s">
        <v>201</v>
      </c>
      <c r="DE63" s="90" t="s">
        <v>201</v>
      </c>
      <c r="DF63" s="90" t="s">
        <v>201</v>
      </c>
      <c r="DG63" s="90" t="s">
        <v>201</v>
      </c>
      <c r="DH63" s="90" t="s">
        <v>201</v>
      </c>
      <c r="DI63" s="90" t="s">
        <v>201</v>
      </c>
      <c r="DJ63" s="90" t="s">
        <v>201</v>
      </c>
      <c r="DK63" s="90"/>
      <c r="DL63" s="90" t="s">
        <v>194</v>
      </c>
      <c r="DM63" s="90" t="s">
        <v>195</v>
      </c>
      <c r="DN63" s="90" t="s">
        <v>195</v>
      </c>
      <c r="DO63" s="90" t="s">
        <v>195</v>
      </c>
      <c r="DP63" s="90" t="s">
        <v>195</v>
      </c>
      <c r="DQ63" s="90" t="s">
        <v>195</v>
      </c>
      <c r="DR63" s="90" t="s">
        <v>195</v>
      </c>
      <c r="DS63" s="90" t="s">
        <v>195</v>
      </c>
      <c r="DT63" s="90" t="s">
        <v>195</v>
      </c>
      <c r="DU63" s="90" t="s">
        <v>195</v>
      </c>
      <c r="DV63" s="90" t="s">
        <v>195</v>
      </c>
      <c r="DW63" s="90" t="s">
        <v>195</v>
      </c>
      <c r="DX63" s="90" t="s">
        <v>195</v>
      </c>
      <c r="DY63" s="90" t="s">
        <v>195</v>
      </c>
      <c r="DZ63" s="90" t="s">
        <v>195</v>
      </c>
      <c r="EA63" s="90"/>
      <c r="EB63" s="90" t="s">
        <v>194</v>
      </c>
      <c r="EC63" s="90" t="s">
        <v>195</v>
      </c>
      <c r="ED63" s="90" t="s">
        <v>195</v>
      </c>
      <c r="EE63" s="90" t="s">
        <v>195</v>
      </c>
      <c r="EF63" s="90" t="s">
        <v>195</v>
      </c>
      <c r="EG63" s="90" t="s">
        <v>195</v>
      </c>
      <c r="EH63" s="102" t="s">
        <v>195</v>
      </c>
    </row>
    <row r="64" spans="1:138" ht="23.25" customHeight="1" x14ac:dyDescent="0.25">
      <c r="A64" s="98" t="s">
        <v>16</v>
      </c>
      <c r="B64" s="99" t="s">
        <v>193</v>
      </c>
      <c r="C64" s="99" t="s">
        <v>194</v>
      </c>
      <c r="D64" s="99" t="s">
        <v>195</v>
      </c>
      <c r="E64" s="99" t="s">
        <v>195</v>
      </c>
      <c r="F64" s="99" t="s">
        <v>195</v>
      </c>
      <c r="G64" s="99" t="s">
        <v>195</v>
      </c>
      <c r="H64" s="99" t="s">
        <v>195</v>
      </c>
      <c r="I64" s="99" t="s">
        <v>195</v>
      </c>
      <c r="J64" s="99" t="s">
        <v>195</v>
      </c>
      <c r="K64" s="99" t="s">
        <v>195</v>
      </c>
      <c r="L64" s="99" t="s">
        <v>195</v>
      </c>
      <c r="M64" s="99" t="s">
        <v>195</v>
      </c>
      <c r="N64" s="99" t="s">
        <v>195</v>
      </c>
      <c r="O64" s="99" t="s">
        <v>195</v>
      </c>
      <c r="P64" s="99" t="s">
        <v>195</v>
      </c>
      <c r="Q64" s="99" t="s">
        <v>195</v>
      </c>
      <c r="R64" s="99" t="s">
        <v>195</v>
      </c>
      <c r="S64" s="99" t="s">
        <v>195</v>
      </c>
      <c r="T64" s="99"/>
      <c r="U64" s="99" t="s">
        <v>194</v>
      </c>
      <c r="V64" s="99" t="s">
        <v>195</v>
      </c>
      <c r="W64" s="99" t="s">
        <v>195</v>
      </c>
      <c r="X64" s="99" t="s">
        <v>195</v>
      </c>
      <c r="Y64" s="99" t="s">
        <v>195</v>
      </c>
      <c r="Z64" s="99" t="s">
        <v>196</v>
      </c>
      <c r="AA64" s="99" t="s">
        <v>195</v>
      </c>
      <c r="AB64" s="99" t="s">
        <v>195</v>
      </c>
      <c r="AC64" s="99" t="s">
        <v>195</v>
      </c>
      <c r="AD64" s="99" t="s">
        <v>195</v>
      </c>
      <c r="AE64" s="99" t="s">
        <v>195</v>
      </c>
      <c r="AF64" s="99" t="s">
        <v>195</v>
      </c>
      <c r="AG64" s="99" t="s">
        <v>195</v>
      </c>
      <c r="AH64" s="99" t="s">
        <v>195</v>
      </c>
      <c r="AI64" s="99" t="s">
        <v>194</v>
      </c>
      <c r="AJ64" s="99" t="s">
        <v>195</v>
      </c>
      <c r="AK64" s="99" t="s">
        <v>195</v>
      </c>
      <c r="AL64" s="99" t="s">
        <v>195</v>
      </c>
      <c r="AM64" s="99"/>
      <c r="AN64" s="99" t="s">
        <v>194</v>
      </c>
      <c r="AO64" s="99" t="s">
        <v>195</v>
      </c>
      <c r="AP64" s="99" t="s">
        <v>195</v>
      </c>
      <c r="AQ64" s="99" t="s">
        <v>195</v>
      </c>
      <c r="AR64" s="99" t="s">
        <v>195</v>
      </c>
      <c r="AS64" s="99" t="s">
        <v>195</v>
      </c>
      <c r="AT64" s="99" t="s">
        <v>195</v>
      </c>
      <c r="AU64" s="99" t="s">
        <v>195</v>
      </c>
      <c r="AV64" s="99" t="s">
        <v>195</v>
      </c>
      <c r="AW64" s="99" t="s">
        <v>195</v>
      </c>
      <c r="AX64" s="99" t="s">
        <v>195</v>
      </c>
      <c r="AY64" s="99"/>
      <c r="AZ64" s="99" t="s">
        <v>194</v>
      </c>
      <c r="BA64" s="99" t="s">
        <v>194</v>
      </c>
      <c r="BB64" s="99" t="s">
        <v>195</v>
      </c>
      <c r="BC64" s="99" t="s">
        <v>195</v>
      </c>
      <c r="BD64" s="99" t="s">
        <v>195</v>
      </c>
      <c r="BE64" s="99" t="s">
        <v>195</v>
      </c>
      <c r="BF64" s="99" t="s">
        <v>195</v>
      </c>
      <c r="BG64" s="99" t="s">
        <v>195</v>
      </c>
      <c r="BH64" s="99" t="s">
        <v>195</v>
      </c>
      <c r="BI64" s="99" t="s">
        <v>195</v>
      </c>
      <c r="BJ64" s="99" t="s">
        <v>195</v>
      </c>
      <c r="BK64" s="99" t="s">
        <v>195</v>
      </c>
      <c r="BL64" s="99" t="s">
        <v>195</v>
      </c>
      <c r="BM64" s="99" t="s">
        <v>195</v>
      </c>
      <c r="BN64" s="99" t="s">
        <v>195</v>
      </c>
      <c r="BO64" s="99" t="s">
        <v>195</v>
      </c>
      <c r="BP64" s="99" t="s">
        <v>195</v>
      </c>
      <c r="BQ64" s="99" t="s">
        <v>195</v>
      </c>
      <c r="BR64" s="99" t="s">
        <v>195</v>
      </c>
      <c r="BS64" s="99" t="s">
        <v>195</v>
      </c>
      <c r="BT64" s="99"/>
      <c r="BU64" s="99" t="s">
        <v>199</v>
      </c>
      <c r="BV64" s="99" t="s">
        <v>199</v>
      </c>
      <c r="BW64" s="99" t="s">
        <v>199</v>
      </c>
      <c r="BX64" s="99" t="s">
        <v>199</v>
      </c>
      <c r="BY64" s="99" t="s">
        <v>199</v>
      </c>
      <c r="BZ64" s="99" t="s">
        <v>199</v>
      </c>
      <c r="CA64" s="99" t="s">
        <v>199</v>
      </c>
      <c r="CB64" s="99"/>
      <c r="CC64" s="99" t="s">
        <v>204</v>
      </c>
      <c r="CD64" s="99"/>
      <c r="CE64" s="99" t="s">
        <v>198</v>
      </c>
      <c r="CF64" s="99"/>
      <c r="CG64" s="99"/>
      <c r="CH64" s="99"/>
      <c r="CI64" s="99" t="s">
        <v>194</v>
      </c>
      <c r="CJ64" s="99" t="s">
        <v>195</v>
      </c>
      <c r="CK64" s="99" t="s">
        <v>195</v>
      </c>
      <c r="CL64" s="99" t="s">
        <v>195</v>
      </c>
      <c r="CM64" s="99" t="s">
        <v>195</v>
      </c>
      <c r="CN64" s="99" t="s">
        <v>195</v>
      </c>
      <c r="CO64" s="99" t="s">
        <v>195</v>
      </c>
      <c r="CP64" s="99" t="s">
        <v>195</v>
      </c>
      <c r="CQ64" s="99" t="s">
        <v>195</v>
      </c>
      <c r="CR64" s="99" t="s">
        <v>195</v>
      </c>
      <c r="CS64" s="99" t="s">
        <v>195</v>
      </c>
      <c r="CT64" s="99" t="s">
        <v>195</v>
      </c>
      <c r="CU64" s="99" t="s">
        <v>195</v>
      </c>
      <c r="CV64" s="99" t="s">
        <v>195</v>
      </c>
      <c r="CW64" s="99" t="s">
        <v>195</v>
      </c>
      <c r="CX64" s="99" t="s">
        <v>195</v>
      </c>
      <c r="CY64" s="99" t="s">
        <v>195</v>
      </c>
      <c r="CZ64" s="99" t="s">
        <v>195</v>
      </c>
      <c r="DA64" s="99" t="s">
        <v>195</v>
      </c>
      <c r="DB64" s="99" t="s">
        <v>195</v>
      </c>
      <c r="DC64" s="99" t="s">
        <v>195</v>
      </c>
      <c r="DD64" s="99" t="s">
        <v>195</v>
      </c>
      <c r="DE64" s="99" t="s">
        <v>195</v>
      </c>
      <c r="DF64" s="99" t="s">
        <v>195</v>
      </c>
      <c r="DG64" s="99" t="s">
        <v>195</v>
      </c>
      <c r="DH64" s="99" t="s">
        <v>195</v>
      </c>
      <c r="DI64" s="99" t="s">
        <v>195</v>
      </c>
      <c r="DJ64" s="99" t="s">
        <v>195</v>
      </c>
      <c r="DK64" s="99"/>
      <c r="DL64" s="99" t="s">
        <v>194</v>
      </c>
      <c r="DM64" s="99" t="s">
        <v>195</v>
      </c>
      <c r="DN64" s="99" t="s">
        <v>195</v>
      </c>
      <c r="DO64" s="99" t="s">
        <v>195</v>
      </c>
      <c r="DP64" s="99" t="s">
        <v>195</v>
      </c>
      <c r="DQ64" s="99" t="s">
        <v>195</v>
      </c>
      <c r="DR64" s="99" t="s">
        <v>195</v>
      </c>
      <c r="DS64" s="99" t="s">
        <v>195</v>
      </c>
      <c r="DT64" s="99" t="s">
        <v>195</v>
      </c>
      <c r="DU64" s="99" t="s">
        <v>195</v>
      </c>
      <c r="DV64" s="99" t="s">
        <v>195</v>
      </c>
      <c r="DW64" s="99" t="s">
        <v>195</v>
      </c>
      <c r="DX64" s="99" t="s">
        <v>195</v>
      </c>
      <c r="DY64" s="99" t="s">
        <v>195</v>
      </c>
      <c r="DZ64" s="99" t="s">
        <v>195</v>
      </c>
      <c r="EA64" s="99"/>
      <c r="EB64" s="99" t="s">
        <v>194</v>
      </c>
      <c r="EC64" s="99" t="s">
        <v>195</v>
      </c>
      <c r="ED64" s="99" t="s">
        <v>195</v>
      </c>
      <c r="EE64" s="99" t="s">
        <v>195</v>
      </c>
      <c r="EF64" s="99" t="s">
        <v>195</v>
      </c>
      <c r="EG64" s="99" t="s">
        <v>195</v>
      </c>
      <c r="EH64" s="100" t="s">
        <v>195</v>
      </c>
    </row>
    <row r="65" spans="1:138" ht="23.25" customHeight="1" x14ac:dyDescent="0.25">
      <c r="A65" s="101" t="s">
        <v>17</v>
      </c>
      <c r="B65" s="90" t="s">
        <v>193</v>
      </c>
      <c r="C65" s="90" t="s">
        <v>198</v>
      </c>
      <c r="D65" s="90" t="s">
        <v>199</v>
      </c>
      <c r="E65" s="90" t="s">
        <v>199</v>
      </c>
      <c r="F65" s="90" t="s">
        <v>199</v>
      </c>
      <c r="G65" s="90" t="s">
        <v>199</v>
      </c>
      <c r="H65" s="90" t="s">
        <v>201</v>
      </c>
      <c r="I65" s="90" t="s">
        <v>199</v>
      </c>
      <c r="J65" s="90" t="s">
        <v>199</v>
      </c>
      <c r="K65" s="90" t="s">
        <v>201</v>
      </c>
      <c r="L65" s="90" t="s">
        <v>199</v>
      </c>
      <c r="M65" s="90" t="s">
        <v>199</v>
      </c>
      <c r="N65" s="90" t="s">
        <v>201</v>
      </c>
      <c r="O65" s="90" t="s">
        <v>200</v>
      </c>
      <c r="P65" s="90" t="s">
        <v>199</v>
      </c>
      <c r="Q65" s="90" t="s">
        <v>201</v>
      </c>
      <c r="R65" s="90" t="s">
        <v>201</v>
      </c>
      <c r="S65" s="90" t="s">
        <v>199</v>
      </c>
      <c r="T65" s="90"/>
      <c r="U65" s="90" t="s">
        <v>198</v>
      </c>
      <c r="V65" s="90" t="s">
        <v>199</v>
      </c>
      <c r="W65" s="90" t="s">
        <v>199</v>
      </c>
      <c r="X65" s="90" t="s">
        <v>199</v>
      </c>
      <c r="Y65" s="90" t="s">
        <v>199</v>
      </c>
      <c r="Z65" s="90" t="s">
        <v>208</v>
      </c>
      <c r="AA65" s="90" t="s">
        <v>199</v>
      </c>
      <c r="AB65" s="90" t="s">
        <v>201</v>
      </c>
      <c r="AC65" s="90" t="s">
        <v>201</v>
      </c>
      <c r="AD65" s="90" t="s">
        <v>201</v>
      </c>
      <c r="AE65" s="90" t="s">
        <v>195</v>
      </c>
      <c r="AF65" s="90" t="s">
        <v>195</v>
      </c>
      <c r="AG65" s="90" t="s">
        <v>195</v>
      </c>
      <c r="AH65" s="90" t="s">
        <v>195</v>
      </c>
      <c r="AI65" s="90" t="s">
        <v>198</v>
      </c>
      <c r="AJ65" s="90" t="s">
        <v>201</v>
      </c>
      <c r="AK65" s="90" t="s">
        <v>201</v>
      </c>
      <c r="AL65" s="90" t="s">
        <v>201</v>
      </c>
      <c r="AM65" s="90"/>
      <c r="AN65" s="90" t="s">
        <v>194</v>
      </c>
      <c r="AO65" s="90" t="s">
        <v>195</v>
      </c>
      <c r="AP65" s="90" t="s">
        <v>195</v>
      </c>
      <c r="AQ65" s="90" t="s">
        <v>195</v>
      </c>
      <c r="AR65" s="90" t="s">
        <v>195</v>
      </c>
      <c r="AS65" s="90" t="s">
        <v>195</v>
      </c>
      <c r="AT65" s="90" t="s">
        <v>195</v>
      </c>
      <c r="AU65" s="90" t="s">
        <v>195</v>
      </c>
      <c r="AV65" s="90" t="s">
        <v>195</v>
      </c>
      <c r="AW65" s="90" t="s">
        <v>195</v>
      </c>
      <c r="AX65" s="90" t="s">
        <v>195</v>
      </c>
      <c r="AY65" s="90"/>
      <c r="AZ65" s="90" t="s">
        <v>194</v>
      </c>
      <c r="BA65" s="90" t="s">
        <v>194</v>
      </c>
      <c r="BB65" s="90" t="s">
        <v>195</v>
      </c>
      <c r="BC65" s="90" t="s">
        <v>195</v>
      </c>
      <c r="BD65" s="90" t="s">
        <v>195</v>
      </c>
      <c r="BE65" s="90" t="s">
        <v>195</v>
      </c>
      <c r="BF65" s="90" t="s">
        <v>195</v>
      </c>
      <c r="BG65" s="90" t="s">
        <v>195</v>
      </c>
      <c r="BH65" s="90" t="s">
        <v>195</v>
      </c>
      <c r="BI65" s="90" t="s">
        <v>195</v>
      </c>
      <c r="BJ65" s="90" t="s">
        <v>195</v>
      </c>
      <c r="BK65" s="90" t="s">
        <v>195</v>
      </c>
      <c r="BL65" s="90" t="s">
        <v>195</v>
      </c>
      <c r="BM65" s="90" t="s">
        <v>195</v>
      </c>
      <c r="BN65" s="90" t="s">
        <v>195</v>
      </c>
      <c r="BO65" s="90" t="s">
        <v>195</v>
      </c>
      <c r="BP65" s="90" t="s">
        <v>195</v>
      </c>
      <c r="BQ65" s="90" t="s">
        <v>195</v>
      </c>
      <c r="BR65" s="90" t="s">
        <v>195</v>
      </c>
      <c r="BS65" s="90" t="s">
        <v>195</v>
      </c>
      <c r="BT65" s="90"/>
      <c r="BU65" s="90" t="s">
        <v>199</v>
      </c>
      <c r="BV65" s="90" t="s">
        <v>199</v>
      </c>
      <c r="BW65" s="90" t="s">
        <v>199</v>
      </c>
      <c r="BX65" s="90" t="s">
        <v>199</v>
      </c>
      <c r="BY65" s="90" t="s">
        <v>195</v>
      </c>
      <c r="BZ65" s="90" t="s">
        <v>195</v>
      </c>
      <c r="CA65" s="90" t="s">
        <v>199</v>
      </c>
      <c r="CB65" s="90"/>
      <c r="CC65" s="90" t="s">
        <v>205</v>
      </c>
      <c r="CD65" s="90"/>
      <c r="CE65" s="90" t="s">
        <v>198</v>
      </c>
      <c r="CF65" s="90"/>
      <c r="CG65" s="90"/>
      <c r="CH65" s="90"/>
      <c r="CI65" s="90" t="s">
        <v>194</v>
      </c>
      <c r="CJ65" s="90" t="s">
        <v>195</v>
      </c>
      <c r="CK65" s="90" t="s">
        <v>195</v>
      </c>
      <c r="CL65" s="90" t="s">
        <v>195</v>
      </c>
      <c r="CM65" s="90" t="s">
        <v>195</v>
      </c>
      <c r="CN65" s="90" t="s">
        <v>195</v>
      </c>
      <c r="CO65" s="90" t="s">
        <v>195</v>
      </c>
      <c r="CP65" s="90" t="s">
        <v>195</v>
      </c>
      <c r="CQ65" s="90" t="s">
        <v>195</v>
      </c>
      <c r="CR65" s="90" t="s">
        <v>195</v>
      </c>
      <c r="CS65" s="90" t="s">
        <v>195</v>
      </c>
      <c r="CT65" s="90" t="s">
        <v>195</v>
      </c>
      <c r="CU65" s="90" t="s">
        <v>195</v>
      </c>
      <c r="CV65" s="90" t="s">
        <v>195</v>
      </c>
      <c r="CW65" s="90" t="s">
        <v>195</v>
      </c>
      <c r="CX65" s="90" t="s">
        <v>195</v>
      </c>
      <c r="CY65" s="90" t="s">
        <v>195</v>
      </c>
      <c r="CZ65" s="90" t="s">
        <v>195</v>
      </c>
      <c r="DA65" s="90" t="s">
        <v>195</v>
      </c>
      <c r="DB65" s="90" t="s">
        <v>195</v>
      </c>
      <c r="DC65" s="90" t="s">
        <v>195</v>
      </c>
      <c r="DD65" s="90" t="s">
        <v>195</v>
      </c>
      <c r="DE65" s="90" t="s">
        <v>195</v>
      </c>
      <c r="DF65" s="90" t="s">
        <v>195</v>
      </c>
      <c r="DG65" s="90" t="s">
        <v>195</v>
      </c>
      <c r="DH65" s="90" t="s">
        <v>195</v>
      </c>
      <c r="DI65" s="90" t="s">
        <v>195</v>
      </c>
      <c r="DJ65" s="90" t="s">
        <v>195</v>
      </c>
      <c r="DK65" s="90"/>
      <c r="DL65" s="90" t="s">
        <v>194</v>
      </c>
      <c r="DM65" s="90" t="s">
        <v>195</v>
      </c>
      <c r="DN65" s="90" t="s">
        <v>195</v>
      </c>
      <c r="DO65" s="90" t="s">
        <v>195</v>
      </c>
      <c r="DP65" s="90" t="s">
        <v>195</v>
      </c>
      <c r="DQ65" s="90" t="s">
        <v>195</v>
      </c>
      <c r="DR65" s="90" t="s">
        <v>195</v>
      </c>
      <c r="DS65" s="90" t="s">
        <v>195</v>
      </c>
      <c r="DT65" s="90" t="s">
        <v>195</v>
      </c>
      <c r="DU65" s="90" t="s">
        <v>195</v>
      </c>
      <c r="DV65" s="90" t="s">
        <v>195</v>
      </c>
      <c r="DW65" s="90" t="s">
        <v>195</v>
      </c>
      <c r="DX65" s="90" t="s">
        <v>195</v>
      </c>
      <c r="DY65" s="90" t="s">
        <v>195</v>
      </c>
      <c r="DZ65" s="90" t="s">
        <v>195</v>
      </c>
      <c r="EA65" s="90"/>
      <c r="EB65" s="90" t="s">
        <v>194</v>
      </c>
      <c r="EC65" s="90" t="s">
        <v>195</v>
      </c>
      <c r="ED65" s="90" t="s">
        <v>195</v>
      </c>
      <c r="EE65" s="90" t="s">
        <v>195</v>
      </c>
      <c r="EF65" s="90" t="s">
        <v>195</v>
      </c>
      <c r="EG65" s="90" t="s">
        <v>195</v>
      </c>
      <c r="EH65" s="102" t="s">
        <v>195</v>
      </c>
    </row>
    <row r="66" spans="1:138" ht="23.25" customHeight="1" x14ac:dyDescent="0.25">
      <c r="A66" s="98" t="s">
        <v>17</v>
      </c>
      <c r="B66" s="99" t="s">
        <v>193</v>
      </c>
      <c r="C66" s="99" t="s">
        <v>198</v>
      </c>
      <c r="D66" s="99" t="s">
        <v>30</v>
      </c>
      <c r="E66" s="99" t="s">
        <v>30</v>
      </c>
      <c r="F66" s="99" t="s">
        <v>30</v>
      </c>
      <c r="G66" s="99" t="s">
        <v>30</v>
      </c>
      <c r="H66" s="99" t="s">
        <v>199</v>
      </c>
      <c r="I66" s="99" t="s">
        <v>199</v>
      </c>
      <c r="J66" s="99" t="s">
        <v>199</v>
      </c>
      <c r="K66" s="99" t="s">
        <v>30</v>
      </c>
      <c r="L66" s="99" t="s">
        <v>30</v>
      </c>
      <c r="M66" s="99" t="s">
        <v>202</v>
      </c>
      <c r="N66" s="99" t="s">
        <v>202</v>
      </c>
      <c r="O66" s="99" t="s">
        <v>202</v>
      </c>
      <c r="P66" s="99" t="s">
        <v>200</v>
      </c>
      <c r="Q66" s="99" t="s">
        <v>200</v>
      </c>
      <c r="R66" s="99" t="s">
        <v>199</v>
      </c>
      <c r="S66" s="99" t="s">
        <v>199</v>
      </c>
      <c r="T66" s="99"/>
      <c r="U66" s="99" t="s">
        <v>198</v>
      </c>
      <c r="V66" s="99" t="s">
        <v>199</v>
      </c>
      <c r="W66" s="99" t="s">
        <v>200</v>
      </c>
      <c r="X66" s="99" t="s">
        <v>199</v>
      </c>
      <c r="Y66" s="99" t="s">
        <v>199</v>
      </c>
      <c r="Z66" s="99" t="s">
        <v>208</v>
      </c>
      <c r="AA66" s="99" t="s">
        <v>200</v>
      </c>
      <c r="AB66" s="99" t="s">
        <v>200</v>
      </c>
      <c r="AC66" s="99" t="s">
        <v>200</v>
      </c>
      <c r="AD66" s="99" t="s">
        <v>200</v>
      </c>
      <c r="AE66" s="99" t="s">
        <v>195</v>
      </c>
      <c r="AF66" s="99" t="s">
        <v>195</v>
      </c>
      <c r="AG66" s="99" t="s">
        <v>195</v>
      </c>
      <c r="AH66" s="99" t="s">
        <v>195</v>
      </c>
      <c r="AI66" s="99" t="s">
        <v>198</v>
      </c>
      <c r="AJ66" s="99" t="s">
        <v>200</v>
      </c>
      <c r="AK66" s="99" t="s">
        <v>199</v>
      </c>
      <c r="AL66" s="99" t="s">
        <v>200</v>
      </c>
      <c r="AM66" s="99"/>
      <c r="AN66" s="99" t="s">
        <v>198</v>
      </c>
      <c r="AO66" s="99" t="s">
        <v>199</v>
      </c>
      <c r="AP66" s="99" t="s">
        <v>199</v>
      </c>
      <c r="AQ66" s="99" t="s">
        <v>199</v>
      </c>
      <c r="AR66" s="99" t="s">
        <v>199</v>
      </c>
      <c r="AS66" s="99" t="s">
        <v>199</v>
      </c>
      <c r="AT66" s="99" t="s">
        <v>30</v>
      </c>
      <c r="AU66" s="99" t="s">
        <v>30</v>
      </c>
      <c r="AV66" s="99" t="s">
        <v>199</v>
      </c>
      <c r="AW66" s="99" t="s">
        <v>199</v>
      </c>
      <c r="AX66" s="99" t="s">
        <v>199</v>
      </c>
      <c r="AY66" s="99"/>
      <c r="AZ66" s="99" t="s">
        <v>194</v>
      </c>
      <c r="BA66" s="99" t="s">
        <v>194</v>
      </c>
      <c r="BB66" s="99" t="s">
        <v>195</v>
      </c>
      <c r="BC66" s="99" t="s">
        <v>195</v>
      </c>
      <c r="BD66" s="99" t="s">
        <v>195</v>
      </c>
      <c r="BE66" s="99" t="s">
        <v>195</v>
      </c>
      <c r="BF66" s="99" t="s">
        <v>195</v>
      </c>
      <c r="BG66" s="99" t="s">
        <v>195</v>
      </c>
      <c r="BH66" s="99" t="s">
        <v>195</v>
      </c>
      <c r="BI66" s="99" t="s">
        <v>195</v>
      </c>
      <c r="BJ66" s="99" t="s">
        <v>195</v>
      </c>
      <c r="BK66" s="99" t="s">
        <v>195</v>
      </c>
      <c r="BL66" s="99" t="s">
        <v>195</v>
      </c>
      <c r="BM66" s="99" t="s">
        <v>195</v>
      </c>
      <c r="BN66" s="99" t="s">
        <v>195</v>
      </c>
      <c r="BO66" s="99" t="s">
        <v>195</v>
      </c>
      <c r="BP66" s="99" t="s">
        <v>195</v>
      </c>
      <c r="BQ66" s="99" t="s">
        <v>195</v>
      </c>
      <c r="BR66" s="99" t="s">
        <v>195</v>
      </c>
      <c r="BS66" s="99" t="s">
        <v>195</v>
      </c>
      <c r="BT66" s="99"/>
      <c r="BU66" s="99" t="s">
        <v>203</v>
      </c>
      <c r="BV66" s="99" t="s">
        <v>203</v>
      </c>
      <c r="BW66" s="99" t="s">
        <v>203</v>
      </c>
      <c r="BX66" s="99" t="s">
        <v>203</v>
      </c>
      <c r="BY66" s="99" t="s">
        <v>203</v>
      </c>
      <c r="BZ66" s="99" t="s">
        <v>203</v>
      </c>
      <c r="CA66" s="99" t="s">
        <v>203</v>
      </c>
      <c r="CB66" s="99"/>
      <c r="CC66" s="99" t="s">
        <v>207</v>
      </c>
      <c r="CD66" s="99"/>
      <c r="CE66" s="99" t="s">
        <v>198</v>
      </c>
      <c r="CF66" s="99"/>
      <c r="CG66" s="99"/>
      <c r="CH66" s="99"/>
      <c r="CI66" s="99" t="s">
        <v>198</v>
      </c>
      <c r="CJ66" s="99" t="s">
        <v>200</v>
      </c>
      <c r="CK66" s="99" t="s">
        <v>199</v>
      </c>
      <c r="CL66" s="99" t="s">
        <v>199</v>
      </c>
      <c r="CM66" s="99" t="s">
        <v>199</v>
      </c>
      <c r="CN66" s="99" t="s">
        <v>199</v>
      </c>
      <c r="CO66" s="99" t="s">
        <v>199</v>
      </c>
      <c r="CP66" s="99" t="s">
        <v>195</v>
      </c>
      <c r="CQ66" s="99" t="s">
        <v>200</v>
      </c>
      <c r="CR66" s="99" t="s">
        <v>202</v>
      </c>
      <c r="CS66" s="99" t="s">
        <v>30</v>
      </c>
      <c r="CT66" s="99" t="s">
        <v>199</v>
      </c>
      <c r="CU66" s="99" t="s">
        <v>199</v>
      </c>
      <c r="CV66" s="99" t="s">
        <v>199</v>
      </c>
      <c r="CW66" s="99" t="s">
        <v>199</v>
      </c>
      <c r="CX66" s="99" t="s">
        <v>30</v>
      </c>
      <c r="CY66" s="99" t="s">
        <v>199</v>
      </c>
      <c r="CZ66" s="99" t="s">
        <v>199</v>
      </c>
      <c r="DA66" s="99" t="s">
        <v>199</v>
      </c>
      <c r="DB66" s="99" t="s">
        <v>199</v>
      </c>
      <c r="DC66" s="99" t="s">
        <v>199</v>
      </c>
      <c r="DD66" s="99" t="s">
        <v>199</v>
      </c>
      <c r="DE66" s="99" t="s">
        <v>199</v>
      </c>
      <c r="DF66" s="99" t="s">
        <v>199</v>
      </c>
      <c r="DG66" s="99" t="s">
        <v>195</v>
      </c>
      <c r="DH66" s="99" t="s">
        <v>195</v>
      </c>
      <c r="DI66" s="99" t="s">
        <v>195</v>
      </c>
      <c r="DJ66" s="99" t="s">
        <v>195</v>
      </c>
      <c r="DK66" s="99"/>
      <c r="DL66" s="99" t="s">
        <v>194</v>
      </c>
      <c r="DM66" s="99" t="s">
        <v>195</v>
      </c>
      <c r="DN66" s="99" t="s">
        <v>195</v>
      </c>
      <c r="DO66" s="99" t="s">
        <v>195</v>
      </c>
      <c r="DP66" s="99" t="s">
        <v>195</v>
      </c>
      <c r="DQ66" s="99" t="s">
        <v>195</v>
      </c>
      <c r="DR66" s="99" t="s">
        <v>195</v>
      </c>
      <c r="DS66" s="99" t="s">
        <v>195</v>
      </c>
      <c r="DT66" s="99" t="s">
        <v>195</v>
      </c>
      <c r="DU66" s="99" t="s">
        <v>195</v>
      </c>
      <c r="DV66" s="99" t="s">
        <v>195</v>
      </c>
      <c r="DW66" s="99" t="s">
        <v>195</v>
      </c>
      <c r="DX66" s="99" t="s">
        <v>195</v>
      </c>
      <c r="DY66" s="99" t="s">
        <v>195</v>
      </c>
      <c r="DZ66" s="99" t="s">
        <v>195</v>
      </c>
      <c r="EA66" s="99"/>
      <c r="EB66" s="99" t="s">
        <v>194</v>
      </c>
      <c r="EC66" s="99" t="s">
        <v>195</v>
      </c>
      <c r="ED66" s="99" t="s">
        <v>195</v>
      </c>
      <c r="EE66" s="99" t="s">
        <v>195</v>
      </c>
      <c r="EF66" s="99" t="s">
        <v>195</v>
      </c>
      <c r="EG66" s="99" t="s">
        <v>195</v>
      </c>
      <c r="EH66" s="100" t="s">
        <v>195</v>
      </c>
    </row>
    <row r="67" spans="1:138" ht="23.25" customHeight="1" x14ac:dyDescent="0.25">
      <c r="A67" s="101" t="s">
        <v>17</v>
      </c>
      <c r="B67" s="90" t="s">
        <v>193</v>
      </c>
      <c r="C67" s="90" t="s">
        <v>198</v>
      </c>
      <c r="D67" s="90" t="s">
        <v>199</v>
      </c>
      <c r="E67" s="90" t="s">
        <v>30</v>
      </c>
      <c r="F67" s="90" t="s">
        <v>30</v>
      </c>
      <c r="G67" s="90" t="s">
        <v>30</v>
      </c>
      <c r="H67" s="90" t="s">
        <v>30</v>
      </c>
      <c r="I67" s="90" t="s">
        <v>30</v>
      </c>
      <c r="J67" s="90" t="s">
        <v>201</v>
      </c>
      <c r="K67" s="90" t="s">
        <v>201</v>
      </c>
      <c r="L67" s="90" t="s">
        <v>30</v>
      </c>
      <c r="M67" s="90" t="s">
        <v>201</v>
      </c>
      <c r="N67" s="90" t="s">
        <v>30</v>
      </c>
      <c r="O67" s="90" t="s">
        <v>30</v>
      </c>
      <c r="P67" s="90" t="s">
        <v>30</v>
      </c>
      <c r="Q67" s="90" t="s">
        <v>30</v>
      </c>
      <c r="R67" s="90" t="s">
        <v>30</v>
      </c>
      <c r="S67" s="90" t="s">
        <v>30</v>
      </c>
      <c r="T67" s="90"/>
      <c r="U67" s="90" t="s">
        <v>194</v>
      </c>
      <c r="V67" s="90" t="s">
        <v>195</v>
      </c>
      <c r="W67" s="90" t="s">
        <v>195</v>
      </c>
      <c r="X67" s="90" t="s">
        <v>195</v>
      </c>
      <c r="Y67" s="90" t="s">
        <v>195</v>
      </c>
      <c r="Z67" s="90" t="s">
        <v>17</v>
      </c>
      <c r="AA67" s="90" t="s">
        <v>195</v>
      </c>
      <c r="AB67" s="90" t="s">
        <v>195</v>
      </c>
      <c r="AC67" s="90" t="s">
        <v>195</v>
      </c>
      <c r="AD67" s="90" t="s">
        <v>195</v>
      </c>
      <c r="AE67" s="90" t="s">
        <v>195</v>
      </c>
      <c r="AF67" s="90" t="s">
        <v>195</v>
      </c>
      <c r="AG67" s="90" t="s">
        <v>195</v>
      </c>
      <c r="AH67" s="90" t="s">
        <v>195</v>
      </c>
      <c r="AI67" s="90" t="s">
        <v>194</v>
      </c>
      <c r="AJ67" s="90" t="s">
        <v>195</v>
      </c>
      <c r="AK67" s="90" t="s">
        <v>195</v>
      </c>
      <c r="AL67" s="90" t="s">
        <v>195</v>
      </c>
      <c r="AM67" s="90"/>
      <c r="AN67" s="90" t="s">
        <v>194</v>
      </c>
      <c r="AO67" s="90" t="s">
        <v>195</v>
      </c>
      <c r="AP67" s="90" t="s">
        <v>195</v>
      </c>
      <c r="AQ67" s="90" t="s">
        <v>195</v>
      </c>
      <c r="AR67" s="90" t="s">
        <v>195</v>
      </c>
      <c r="AS67" s="90" t="s">
        <v>195</v>
      </c>
      <c r="AT67" s="90" t="s">
        <v>195</v>
      </c>
      <c r="AU67" s="90" t="s">
        <v>195</v>
      </c>
      <c r="AV67" s="90" t="s">
        <v>195</v>
      </c>
      <c r="AW67" s="90" t="s">
        <v>195</v>
      </c>
      <c r="AX67" s="90" t="s">
        <v>195</v>
      </c>
      <c r="AY67" s="90"/>
      <c r="AZ67" s="90" t="s">
        <v>198</v>
      </c>
      <c r="BA67" s="90" t="s">
        <v>198</v>
      </c>
      <c r="BB67" s="90" t="s">
        <v>30</v>
      </c>
      <c r="BC67" s="90" t="s">
        <v>202</v>
      </c>
      <c r="BD67" s="90" t="s">
        <v>202</v>
      </c>
      <c r="BE67" s="90" t="s">
        <v>201</v>
      </c>
      <c r="BF67" s="90" t="s">
        <v>201</v>
      </c>
      <c r="BG67" s="90" t="s">
        <v>201</v>
      </c>
      <c r="BH67" s="90" t="s">
        <v>201</v>
      </c>
      <c r="BI67" s="90" t="s">
        <v>201</v>
      </c>
      <c r="BJ67" s="90" t="s">
        <v>202</v>
      </c>
      <c r="BK67" s="90" t="s">
        <v>201</v>
      </c>
      <c r="BL67" s="90" t="s">
        <v>199</v>
      </c>
      <c r="BM67" s="90" t="s">
        <v>199</v>
      </c>
      <c r="BN67" s="90" t="s">
        <v>201</v>
      </c>
      <c r="BO67" s="90" t="s">
        <v>201</v>
      </c>
      <c r="BP67" s="90" t="s">
        <v>201</v>
      </c>
      <c r="BQ67" s="90" t="s">
        <v>201</v>
      </c>
      <c r="BR67" s="90" t="s">
        <v>201</v>
      </c>
      <c r="BS67" s="90" t="s">
        <v>201</v>
      </c>
      <c r="BT67" s="90"/>
      <c r="BU67" s="90" t="s">
        <v>203</v>
      </c>
      <c r="BV67" s="90" t="s">
        <v>203</v>
      </c>
      <c r="BW67" s="90" t="s">
        <v>203</v>
      </c>
      <c r="BX67" s="90" t="s">
        <v>203</v>
      </c>
      <c r="BY67" s="90" t="s">
        <v>203</v>
      </c>
      <c r="BZ67" s="90" t="s">
        <v>203</v>
      </c>
      <c r="CA67" s="90" t="s">
        <v>203</v>
      </c>
      <c r="CB67" s="90"/>
      <c r="CC67" s="90" t="s">
        <v>204</v>
      </c>
      <c r="CD67" s="90"/>
      <c r="CE67" s="90" t="s">
        <v>198</v>
      </c>
      <c r="CF67" s="90"/>
      <c r="CG67" s="90"/>
      <c r="CH67" s="90"/>
      <c r="CI67" s="90" t="s">
        <v>194</v>
      </c>
      <c r="CJ67" s="90" t="s">
        <v>195</v>
      </c>
      <c r="CK67" s="90" t="s">
        <v>195</v>
      </c>
      <c r="CL67" s="90" t="s">
        <v>195</v>
      </c>
      <c r="CM67" s="90" t="s">
        <v>195</v>
      </c>
      <c r="CN67" s="90" t="s">
        <v>195</v>
      </c>
      <c r="CO67" s="90" t="s">
        <v>195</v>
      </c>
      <c r="CP67" s="90" t="s">
        <v>195</v>
      </c>
      <c r="CQ67" s="90" t="s">
        <v>195</v>
      </c>
      <c r="CR67" s="90" t="s">
        <v>195</v>
      </c>
      <c r="CS67" s="90" t="s">
        <v>195</v>
      </c>
      <c r="CT67" s="90" t="s">
        <v>195</v>
      </c>
      <c r="CU67" s="90" t="s">
        <v>195</v>
      </c>
      <c r="CV67" s="90" t="s">
        <v>195</v>
      </c>
      <c r="CW67" s="90" t="s">
        <v>195</v>
      </c>
      <c r="CX67" s="90" t="s">
        <v>195</v>
      </c>
      <c r="CY67" s="90" t="s">
        <v>195</v>
      </c>
      <c r="CZ67" s="90" t="s">
        <v>195</v>
      </c>
      <c r="DA67" s="90" t="s">
        <v>195</v>
      </c>
      <c r="DB67" s="90" t="s">
        <v>195</v>
      </c>
      <c r="DC67" s="90" t="s">
        <v>195</v>
      </c>
      <c r="DD67" s="90" t="s">
        <v>195</v>
      </c>
      <c r="DE67" s="90" t="s">
        <v>195</v>
      </c>
      <c r="DF67" s="90" t="s">
        <v>195</v>
      </c>
      <c r="DG67" s="90" t="s">
        <v>195</v>
      </c>
      <c r="DH67" s="90" t="s">
        <v>195</v>
      </c>
      <c r="DI67" s="90" t="s">
        <v>195</v>
      </c>
      <c r="DJ67" s="90" t="s">
        <v>195</v>
      </c>
      <c r="DK67" s="90"/>
      <c r="DL67" s="90" t="s">
        <v>194</v>
      </c>
      <c r="DM67" s="90" t="s">
        <v>195</v>
      </c>
      <c r="DN67" s="90" t="s">
        <v>195</v>
      </c>
      <c r="DO67" s="90" t="s">
        <v>195</v>
      </c>
      <c r="DP67" s="90" t="s">
        <v>195</v>
      </c>
      <c r="DQ67" s="90" t="s">
        <v>195</v>
      </c>
      <c r="DR67" s="90" t="s">
        <v>195</v>
      </c>
      <c r="DS67" s="90" t="s">
        <v>195</v>
      </c>
      <c r="DT67" s="90" t="s">
        <v>195</v>
      </c>
      <c r="DU67" s="90" t="s">
        <v>195</v>
      </c>
      <c r="DV67" s="90" t="s">
        <v>195</v>
      </c>
      <c r="DW67" s="90" t="s">
        <v>195</v>
      </c>
      <c r="DX67" s="90" t="s">
        <v>195</v>
      </c>
      <c r="DY67" s="90" t="s">
        <v>195</v>
      </c>
      <c r="DZ67" s="90" t="s">
        <v>195</v>
      </c>
      <c r="EA67" s="90"/>
      <c r="EB67" s="90" t="s">
        <v>194</v>
      </c>
      <c r="EC67" s="90" t="s">
        <v>195</v>
      </c>
      <c r="ED67" s="90" t="s">
        <v>195</v>
      </c>
      <c r="EE67" s="90" t="s">
        <v>195</v>
      </c>
      <c r="EF67" s="90" t="s">
        <v>195</v>
      </c>
      <c r="EG67" s="90" t="s">
        <v>195</v>
      </c>
      <c r="EH67" s="102" t="s">
        <v>195</v>
      </c>
    </row>
    <row r="68" spans="1:138" ht="23.25" customHeight="1" x14ac:dyDescent="0.25">
      <c r="A68" s="98" t="s">
        <v>17</v>
      </c>
      <c r="B68" s="99" t="s">
        <v>193</v>
      </c>
      <c r="C68" s="99" t="s">
        <v>198</v>
      </c>
      <c r="D68" s="99" t="s">
        <v>200</v>
      </c>
      <c r="E68" s="99" t="s">
        <v>199</v>
      </c>
      <c r="F68" s="99" t="s">
        <v>199</v>
      </c>
      <c r="G68" s="99" t="s">
        <v>201</v>
      </c>
      <c r="H68" s="99" t="s">
        <v>200</v>
      </c>
      <c r="I68" s="99" t="s">
        <v>200</v>
      </c>
      <c r="J68" s="99" t="s">
        <v>200</v>
      </c>
      <c r="K68" s="99" t="s">
        <v>30</v>
      </c>
      <c r="L68" s="99" t="s">
        <v>199</v>
      </c>
      <c r="M68" s="99" t="s">
        <v>30</v>
      </c>
      <c r="N68" s="99" t="s">
        <v>199</v>
      </c>
      <c r="O68" s="99" t="s">
        <v>200</v>
      </c>
      <c r="P68" s="99" t="s">
        <v>200</v>
      </c>
      <c r="Q68" s="99" t="s">
        <v>199</v>
      </c>
      <c r="R68" s="99" t="s">
        <v>201</v>
      </c>
      <c r="S68" s="99" t="s">
        <v>200</v>
      </c>
      <c r="T68" s="99"/>
      <c r="U68" s="99" t="s">
        <v>198</v>
      </c>
      <c r="V68" s="99" t="s">
        <v>201</v>
      </c>
      <c r="W68" s="99" t="s">
        <v>30</v>
      </c>
      <c r="X68" s="99" t="s">
        <v>199</v>
      </c>
      <c r="Y68" s="99" t="s">
        <v>199</v>
      </c>
      <c r="Z68" s="99" t="s">
        <v>208</v>
      </c>
      <c r="AA68" s="99" t="s">
        <v>200</v>
      </c>
      <c r="AB68" s="99" t="s">
        <v>199</v>
      </c>
      <c r="AC68" s="99" t="s">
        <v>199</v>
      </c>
      <c r="AD68" s="99" t="s">
        <v>199</v>
      </c>
      <c r="AE68" s="99" t="s">
        <v>195</v>
      </c>
      <c r="AF68" s="99" t="s">
        <v>195</v>
      </c>
      <c r="AG68" s="99" t="s">
        <v>195</v>
      </c>
      <c r="AH68" s="99" t="s">
        <v>195</v>
      </c>
      <c r="AI68" s="99" t="s">
        <v>198</v>
      </c>
      <c r="AJ68" s="99" t="s">
        <v>199</v>
      </c>
      <c r="AK68" s="99" t="s">
        <v>30</v>
      </c>
      <c r="AL68" s="99" t="s">
        <v>199</v>
      </c>
      <c r="AM68" s="99"/>
      <c r="AN68" s="99" t="s">
        <v>194</v>
      </c>
      <c r="AO68" s="99" t="s">
        <v>195</v>
      </c>
      <c r="AP68" s="99" t="s">
        <v>195</v>
      </c>
      <c r="AQ68" s="99" t="s">
        <v>195</v>
      </c>
      <c r="AR68" s="99" t="s">
        <v>195</v>
      </c>
      <c r="AS68" s="99" t="s">
        <v>195</v>
      </c>
      <c r="AT68" s="99" t="s">
        <v>195</v>
      </c>
      <c r="AU68" s="99" t="s">
        <v>195</v>
      </c>
      <c r="AV68" s="99" t="s">
        <v>195</v>
      </c>
      <c r="AW68" s="99" t="s">
        <v>195</v>
      </c>
      <c r="AX68" s="99" t="s">
        <v>195</v>
      </c>
      <c r="AY68" s="99"/>
      <c r="AZ68" s="99" t="s">
        <v>194</v>
      </c>
      <c r="BA68" s="99" t="s">
        <v>194</v>
      </c>
      <c r="BB68" s="99" t="s">
        <v>195</v>
      </c>
      <c r="BC68" s="99" t="s">
        <v>195</v>
      </c>
      <c r="BD68" s="99" t="s">
        <v>195</v>
      </c>
      <c r="BE68" s="99" t="s">
        <v>195</v>
      </c>
      <c r="BF68" s="99" t="s">
        <v>195</v>
      </c>
      <c r="BG68" s="99" t="s">
        <v>195</v>
      </c>
      <c r="BH68" s="99" t="s">
        <v>195</v>
      </c>
      <c r="BI68" s="99" t="s">
        <v>195</v>
      </c>
      <c r="BJ68" s="99" t="s">
        <v>195</v>
      </c>
      <c r="BK68" s="99" t="s">
        <v>195</v>
      </c>
      <c r="BL68" s="99" t="s">
        <v>195</v>
      </c>
      <c r="BM68" s="99" t="s">
        <v>195</v>
      </c>
      <c r="BN68" s="99" t="s">
        <v>195</v>
      </c>
      <c r="BO68" s="99" t="s">
        <v>195</v>
      </c>
      <c r="BP68" s="99" t="s">
        <v>195</v>
      </c>
      <c r="BQ68" s="99" t="s">
        <v>195</v>
      </c>
      <c r="BR68" s="99" t="s">
        <v>195</v>
      </c>
      <c r="BS68" s="99" t="s">
        <v>195</v>
      </c>
      <c r="BT68" s="99"/>
      <c r="BU68" s="99" t="s">
        <v>203</v>
      </c>
      <c r="BV68" s="99" t="s">
        <v>203</v>
      </c>
      <c r="BW68" s="99" t="s">
        <v>203</v>
      </c>
      <c r="BX68" s="99" t="s">
        <v>203</v>
      </c>
      <c r="BY68" s="99" t="s">
        <v>203</v>
      </c>
      <c r="BZ68" s="99" t="s">
        <v>203</v>
      </c>
      <c r="CA68" s="99" t="s">
        <v>203</v>
      </c>
      <c r="CB68" s="99"/>
      <c r="CC68" s="99" t="s">
        <v>197</v>
      </c>
      <c r="CD68" s="99"/>
      <c r="CE68" s="99" t="s">
        <v>198</v>
      </c>
      <c r="CF68" s="99"/>
      <c r="CG68" s="99"/>
      <c r="CH68" s="99"/>
      <c r="CI68" s="99" t="s">
        <v>194</v>
      </c>
      <c r="CJ68" s="99" t="s">
        <v>195</v>
      </c>
      <c r="CK68" s="99" t="s">
        <v>195</v>
      </c>
      <c r="CL68" s="99" t="s">
        <v>195</v>
      </c>
      <c r="CM68" s="99" t="s">
        <v>195</v>
      </c>
      <c r="CN68" s="99" t="s">
        <v>195</v>
      </c>
      <c r="CO68" s="99" t="s">
        <v>195</v>
      </c>
      <c r="CP68" s="99" t="s">
        <v>195</v>
      </c>
      <c r="CQ68" s="99" t="s">
        <v>195</v>
      </c>
      <c r="CR68" s="99" t="s">
        <v>195</v>
      </c>
      <c r="CS68" s="99" t="s">
        <v>195</v>
      </c>
      <c r="CT68" s="99" t="s">
        <v>195</v>
      </c>
      <c r="CU68" s="99" t="s">
        <v>195</v>
      </c>
      <c r="CV68" s="99" t="s">
        <v>195</v>
      </c>
      <c r="CW68" s="99" t="s">
        <v>195</v>
      </c>
      <c r="CX68" s="99" t="s">
        <v>195</v>
      </c>
      <c r="CY68" s="99" t="s">
        <v>195</v>
      </c>
      <c r="CZ68" s="99" t="s">
        <v>195</v>
      </c>
      <c r="DA68" s="99" t="s">
        <v>195</v>
      </c>
      <c r="DB68" s="99" t="s">
        <v>195</v>
      </c>
      <c r="DC68" s="99" t="s">
        <v>195</v>
      </c>
      <c r="DD68" s="99" t="s">
        <v>195</v>
      </c>
      <c r="DE68" s="99" t="s">
        <v>195</v>
      </c>
      <c r="DF68" s="99" t="s">
        <v>195</v>
      </c>
      <c r="DG68" s="99" t="s">
        <v>195</v>
      </c>
      <c r="DH68" s="99" t="s">
        <v>195</v>
      </c>
      <c r="DI68" s="99" t="s">
        <v>195</v>
      </c>
      <c r="DJ68" s="99" t="s">
        <v>195</v>
      </c>
      <c r="DK68" s="99"/>
      <c r="DL68" s="99" t="s">
        <v>194</v>
      </c>
      <c r="DM68" s="99" t="s">
        <v>195</v>
      </c>
      <c r="DN68" s="99" t="s">
        <v>195</v>
      </c>
      <c r="DO68" s="99" t="s">
        <v>195</v>
      </c>
      <c r="DP68" s="99" t="s">
        <v>195</v>
      </c>
      <c r="DQ68" s="99" t="s">
        <v>195</v>
      </c>
      <c r="DR68" s="99" t="s">
        <v>195</v>
      </c>
      <c r="DS68" s="99" t="s">
        <v>195</v>
      </c>
      <c r="DT68" s="99" t="s">
        <v>195</v>
      </c>
      <c r="DU68" s="99" t="s">
        <v>195</v>
      </c>
      <c r="DV68" s="99" t="s">
        <v>195</v>
      </c>
      <c r="DW68" s="99" t="s">
        <v>195</v>
      </c>
      <c r="DX68" s="99" t="s">
        <v>195</v>
      </c>
      <c r="DY68" s="99" t="s">
        <v>195</v>
      </c>
      <c r="DZ68" s="99" t="s">
        <v>195</v>
      </c>
      <c r="EA68" s="99"/>
      <c r="EB68" s="99" t="s">
        <v>194</v>
      </c>
      <c r="EC68" s="99" t="s">
        <v>195</v>
      </c>
      <c r="ED68" s="99" t="s">
        <v>195</v>
      </c>
      <c r="EE68" s="99" t="s">
        <v>195</v>
      </c>
      <c r="EF68" s="99" t="s">
        <v>195</v>
      </c>
      <c r="EG68" s="99" t="s">
        <v>195</v>
      </c>
      <c r="EH68" s="100" t="s">
        <v>195</v>
      </c>
    </row>
    <row r="69" spans="1:138" ht="23.25" customHeight="1" x14ac:dyDescent="0.25">
      <c r="A69" s="101" t="s">
        <v>17</v>
      </c>
      <c r="B69" s="90" t="s">
        <v>193</v>
      </c>
      <c r="C69" s="90" t="s">
        <v>198</v>
      </c>
      <c r="D69" s="90" t="s">
        <v>201</v>
      </c>
      <c r="E69" s="90" t="s">
        <v>201</v>
      </c>
      <c r="F69" s="90" t="s">
        <v>199</v>
      </c>
      <c r="G69" s="90" t="s">
        <v>201</v>
      </c>
      <c r="H69" s="90" t="s">
        <v>199</v>
      </c>
      <c r="I69" s="90" t="s">
        <v>30</v>
      </c>
      <c r="J69" s="90" t="s">
        <v>199</v>
      </c>
      <c r="K69" s="90" t="s">
        <v>201</v>
      </c>
      <c r="L69" s="90" t="s">
        <v>201</v>
      </c>
      <c r="M69" s="90" t="s">
        <v>30</v>
      </c>
      <c r="N69" s="90" t="s">
        <v>201</v>
      </c>
      <c r="O69" s="90" t="s">
        <v>199</v>
      </c>
      <c r="P69" s="90" t="s">
        <v>201</v>
      </c>
      <c r="Q69" s="90" t="s">
        <v>201</v>
      </c>
      <c r="R69" s="90" t="s">
        <v>201</v>
      </c>
      <c r="S69" s="90" t="s">
        <v>199</v>
      </c>
      <c r="T69" s="90"/>
      <c r="U69" s="90" t="s">
        <v>194</v>
      </c>
      <c r="V69" s="90" t="s">
        <v>195</v>
      </c>
      <c r="W69" s="90" t="s">
        <v>195</v>
      </c>
      <c r="X69" s="90" t="s">
        <v>195</v>
      </c>
      <c r="Y69" s="90" t="s">
        <v>195</v>
      </c>
      <c r="Z69" s="90" t="s">
        <v>17</v>
      </c>
      <c r="AA69" s="90" t="s">
        <v>195</v>
      </c>
      <c r="AB69" s="90" t="s">
        <v>195</v>
      </c>
      <c r="AC69" s="90" t="s">
        <v>195</v>
      </c>
      <c r="AD69" s="90" t="s">
        <v>195</v>
      </c>
      <c r="AE69" s="90" t="s">
        <v>195</v>
      </c>
      <c r="AF69" s="90" t="s">
        <v>195</v>
      </c>
      <c r="AG69" s="90" t="s">
        <v>195</v>
      </c>
      <c r="AH69" s="90" t="s">
        <v>195</v>
      </c>
      <c r="AI69" s="90" t="s">
        <v>194</v>
      </c>
      <c r="AJ69" s="90" t="s">
        <v>195</v>
      </c>
      <c r="AK69" s="90" t="s">
        <v>195</v>
      </c>
      <c r="AL69" s="90" t="s">
        <v>195</v>
      </c>
      <c r="AM69" s="90"/>
      <c r="AN69" s="90" t="s">
        <v>194</v>
      </c>
      <c r="AO69" s="90" t="s">
        <v>195</v>
      </c>
      <c r="AP69" s="90" t="s">
        <v>195</v>
      </c>
      <c r="AQ69" s="90" t="s">
        <v>195</v>
      </c>
      <c r="AR69" s="90" t="s">
        <v>195</v>
      </c>
      <c r="AS69" s="90" t="s">
        <v>195</v>
      </c>
      <c r="AT69" s="90" t="s">
        <v>195</v>
      </c>
      <c r="AU69" s="90" t="s">
        <v>195</v>
      </c>
      <c r="AV69" s="90" t="s">
        <v>195</v>
      </c>
      <c r="AW69" s="90" t="s">
        <v>195</v>
      </c>
      <c r="AX69" s="90" t="s">
        <v>195</v>
      </c>
      <c r="AY69" s="90"/>
      <c r="AZ69" s="90" t="s">
        <v>194</v>
      </c>
      <c r="BA69" s="90" t="s">
        <v>194</v>
      </c>
      <c r="BB69" s="90" t="s">
        <v>195</v>
      </c>
      <c r="BC69" s="90" t="s">
        <v>195</v>
      </c>
      <c r="BD69" s="90" t="s">
        <v>195</v>
      </c>
      <c r="BE69" s="90" t="s">
        <v>195</v>
      </c>
      <c r="BF69" s="90" t="s">
        <v>195</v>
      </c>
      <c r="BG69" s="90" t="s">
        <v>195</v>
      </c>
      <c r="BH69" s="90" t="s">
        <v>195</v>
      </c>
      <c r="BI69" s="90" t="s">
        <v>195</v>
      </c>
      <c r="BJ69" s="90" t="s">
        <v>195</v>
      </c>
      <c r="BK69" s="90" t="s">
        <v>195</v>
      </c>
      <c r="BL69" s="90" t="s">
        <v>195</v>
      </c>
      <c r="BM69" s="90" t="s">
        <v>195</v>
      </c>
      <c r="BN69" s="90" t="s">
        <v>195</v>
      </c>
      <c r="BO69" s="90" t="s">
        <v>195</v>
      </c>
      <c r="BP69" s="90" t="s">
        <v>195</v>
      </c>
      <c r="BQ69" s="90" t="s">
        <v>195</v>
      </c>
      <c r="BR69" s="90" t="s">
        <v>195</v>
      </c>
      <c r="BS69" s="90" t="s">
        <v>195</v>
      </c>
      <c r="BT69" s="90"/>
      <c r="BU69" s="90" t="s">
        <v>203</v>
      </c>
      <c r="BV69" s="90" t="s">
        <v>203</v>
      </c>
      <c r="BW69" s="90" t="s">
        <v>203</v>
      </c>
      <c r="BX69" s="90" t="s">
        <v>203</v>
      </c>
      <c r="BY69" s="90" t="s">
        <v>203</v>
      </c>
      <c r="BZ69" s="90" t="s">
        <v>203</v>
      </c>
      <c r="CA69" s="90" t="s">
        <v>203</v>
      </c>
      <c r="CB69" s="90"/>
      <c r="CC69" s="90" t="s">
        <v>204</v>
      </c>
      <c r="CD69" s="90"/>
      <c r="CE69" s="90" t="s">
        <v>198</v>
      </c>
      <c r="CF69" s="90"/>
      <c r="CG69" s="90"/>
      <c r="CH69" s="90"/>
      <c r="CI69" s="90" t="s">
        <v>194</v>
      </c>
      <c r="CJ69" s="90" t="s">
        <v>195</v>
      </c>
      <c r="CK69" s="90" t="s">
        <v>195</v>
      </c>
      <c r="CL69" s="90" t="s">
        <v>195</v>
      </c>
      <c r="CM69" s="90" t="s">
        <v>195</v>
      </c>
      <c r="CN69" s="90" t="s">
        <v>195</v>
      </c>
      <c r="CO69" s="90" t="s">
        <v>195</v>
      </c>
      <c r="CP69" s="90" t="s">
        <v>195</v>
      </c>
      <c r="CQ69" s="90" t="s">
        <v>195</v>
      </c>
      <c r="CR69" s="90" t="s">
        <v>195</v>
      </c>
      <c r="CS69" s="90" t="s">
        <v>195</v>
      </c>
      <c r="CT69" s="90" t="s">
        <v>195</v>
      </c>
      <c r="CU69" s="90" t="s">
        <v>195</v>
      </c>
      <c r="CV69" s="90" t="s">
        <v>195</v>
      </c>
      <c r="CW69" s="90" t="s">
        <v>195</v>
      </c>
      <c r="CX69" s="90" t="s">
        <v>195</v>
      </c>
      <c r="CY69" s="90" t="s">
        <v>195</v>
      </c>
      <c r="CZ69" s="90" t="s">
        <v>195</v>
      </c>
      <c r="DA69" s="90" t="s">
        <v>195</v>
      </c>
      <c r="DB69" s="90" t="s">
        <v>195</v>
      </c>
      <c r="DC69" s="90" t="s">
        <v>195</v>
      </c>
      <c r="DD69" s="90" t="s">
        <v>195</v>
      </c>
      <c r="DE69" s="90" t="s">
        <v>195</v>
      </c>
      <c r="DF69" s="90" t="s">
        <v>195</v>
      </c>
      <c r="DG69" s="90" t="s">
        <v>195</v>
      </c>
      <c r="DH69" s="90" t="s">
        <v>195</v>
      </c>
      <c r="DI69" s="90" t="s">
        <v>195</v>
      </c>
      <c r="DJ69" s="90" t="s">
        <v>195</v>
      </c>
      <c r="DK69" s="90"/>
      <c r="DL69" s="90" t="s">
        <v>194</v>
      </c>
      <c r="DM69" s="90" t="s">
        <v>195</v>
      </c>
      <c r="DN69" s="90" t="s">
        <v>195</v>
      </c>
      <c r="DO69" s="90" t="s">
        <v>195</v>
      </c>
      <c r="DP69" s="90" t="s">
        <v>195</v>
      </c>
      <c r="DQ69" s="90" t="s">
        <v>195</v>
      </c>
      <c r="DR69" s="90" t="s">
        <v>195</v>
      </c>
      <c r="DS69" s="90" t="s">
        <v>195</v>
      </c>
      <c r="DT69" s="90" t="s">
        <v>195</v>
      </c>
      <c r="DU69" s="90" t="s">
        <v>195</v>
      </c>
      <c r="DV69" s="90" t="s">
        <v>195</v>
      </c>
      <c r="DW69" s="90" t="s">
        <v>195</v>
      </c>
      <c r="DX69" s="90" t="s">
        <v>195</v>
      </c>
      <c r="DY69" s="90" t="s">
        <v>195</v>
      </c>
      <c r="DZ69" s="90" t="s">
        <v>195</v>
      </c>
      <c r="EA69" s="90"/>
      <c r="EB69" s="90" t="s">
        <v>194</v>
      </c>
      <c r="EC69" s="90" t="s">
        <v>195</v>
      </c>
      <c r="ED69" s="90" t="s">
        <v>195</v>
      </c>
      <c r="EE69" s="90" t="s">
        <v>195</v>
      </c>
      <c r="EF69" s="90" t="s">
        <v>195</v>
      </c>
      <c r="EG69" s="90" t="s">
        <v>195</v>
      </c>
      <c r="EH69" s="102" t="s">
        <v>195</v>
      </c>
    </row>
    <row r="70" spans="1:138" ht="23.25" customHeight="1" x14ac:dyDescent="0.25">
      <c r="A70" s="98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  <c r="AD70" s="99"/>
      <c r="AE70" s="99"/>
      <c r="AF70" s="99"/>
      <c r="AG70" s="99"/>
      <c r="AH70" s="99"/>
      <c r="AI70" s="99"/>
      <c r="AJ70" s="99"/>
      <c r="AK70" s="99"/>
      <c r="AL70" s="99"/>
      <c r="AM70" s="99"/>
      <c r="AN70" s="99"/>
      <c r="AO70" s="99"/>
      <c r="AP70" s="99"/>
      <c r="AQ70" s="99"/>
      <c r="AR70" s="99"/>
      <c r="AS70" s="99"/>
      <c r="AT70" s="99"/>
      <c r="AU70" s="99"/>
      <c r="AV70" s="99"/>
      <c r="AW70" s="99"/>
      <c r="AX70" s="99"/>
      <c r="AY70" s="99"/>
      <c r="AZ70" s="99"/>
      <c r="BA70" s="99"/>
      <c r="BB70" s="99"/>
      <c r="BC70" s="99"/>
      <c r="BD70" s="99"/>
      <c r="BE70" s="99"/>
      <c r="BF70" s="99"/>
      <c r="BG70" s="99"/>
      <c r="BH70" s="99"/>
      <c r="BI70" s="99"/>
      <c r="BJ70" s="99"/>
      <c r="BK70" s="99"/>
      <c r="BL70" s="99"/>
      <c r="BM70" s="99"/>
      <c r="BN70" s="99"/>
      <c r="BO70" s="99"/>
      <c r="BP70" s="99"/>
      <c r="BQ70" s="99"/>
      <c r="BR70" s="99"/>
      <c r="BS70" s="99"/>
      <c r="BT70" s="99"/>
      <c r="BU70" s="99"/>
      <c r="BV70" s="99"/>
      <c r="BW70" s="99"/>
      <c r="BX70" s="99"/>
      <c r="BY70" s="99"/>
      <c r="BZ70" s="99"/>
      <c r="CA70" s="99"/>
      <c r="CB70" s="99"/>
      <c r="CC70" s="99"/>
      <c r="CD70" s="99"/>
      <c r="CE70" s="99"/>
      <c r="CF70" s="99"/>
      <c r="CG70" s="99"/>
      <c r="CH70" s="99"/>
      <c r="CI70" s="99"/>
      <c r="CJ70" s="99"/>
      <c r="CK70" s="99"/>
      <c r="CL70" s="99"/>
      <c r="CM70" s="99"/>
      <c r="CN70" s="99"/>
      <c r="CO70" s="99"/>
      <c r="CP70" s="99"/>
      <c r="CQ70" s="99"/>
      <c r="CR70" s="99"/>
      <c r="CS70" s="99"/>
      <c r="CT70" s="99"/>
      <c r="CU70" s="99"/>
      <c r="CV70" s="99"/>
      <c r="CW70" s="99"/>
      <c r="CX70" s="99"/>
      <c r="CY70" s="99"/>
      <c r="CZ70" s="99"/>
      <c r="DA70" s="99"/>
      <c r="DB70" s="99"/>
      <c r="DC70" s="99"/>
      <c r="DD70" s="99"/>
      <c r="DE70" s="99"/>
      <c r="DF70" s="99"/>
      <c r="DG70" s="99"/>
      <c r="DH70" s="99"/>
      <c r="DI70" s="99"/>
      <c r="DJ70" s="99"/>
      <c r="DK70" s="99"/>
      <c r="DL70" s="99"/>
      <c r="DM70" s="99"/>
      <c r="DN70" s="99"/>
      <c r="DO70" s="99"/>
      <c r="DP70" s="99"/>
      <c r="DQ70" s="99"/>
      <c r="DR70" s="99"/>
      <c r="DS70" s="99"/>
      <c r="DT70" s="99"/>
      <c r="DU70" s="99"/>
      <c r="DV70" s="99"/>
      <c r="DW70" s="99"/>
      <c r="DX70" s="99"/>
      <c r="DY70" s="99"/>
      <c r="DZ70" s="99"/>
      <c r="EA70" s="99"/>
      <c r="EB70" s="99"/>
      <c r="EC70" s="99"/>
      <c r="ED70" s="99"/>
      <c r="EE70" s="99"/>
      <c r="EF70" s="99"/>
      <c r="EG70" s="99"/>
      <c r="EH70" s="100"/>
    </row>
    <row r="71" spans="1:138" ht="23.25" customHeight="1" x14ac:dyDescent="0.25">
      <c r="A71" s="101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/>
      <c r="CW71" s="90"/>
      <c r="CX71" s="90"/>
      <c r="CY71" s="90"/>
      <c r="CZ71" s="90"/>
      <c r="DA71" s="90"/>
      <c r="DB71" s="90"/>
      <c r="DC71" s="90"/>
      <c r="DD71" s="90"/>
      <c r="DE71" s="90"/>
      <c r="DF71" s="90"/>
      <c r="DG71" s="90"/>
      <c r="DH71" s="90"/>
      <c r="DI71" s="90"/>
      <c r="DJ71" s="90"/>
      <c r="DK71" s="90"/>
      <c r="DL71" s="90"/>
      <c r="DM71" s="90"/>
      <c r="DN71" s="90"/>
      <c r="DO71" s="90"/>
      <c r="DP71" s="90"/>
      <c r="DQ71" s="90"/>
      <c r="DR71" s="90"/>
      <c r="DS71" s="90"/>
      <c r="DT71" s="90"/>
      <c r="DU71" s="90"/>
      <c r="DV71" s="90"/>
      <c r="DW71" s="90"/>
      <c r="DX71" s="90"/>
      <c r="DY71" s="90"/>
      <c r="DZ71" s="90"/>
      <c r="EA71" s="90"/>
      <c r="EB71" s="90"/>
      <c r="EC71" s="90"/>
      <c r="ED71" s="90"/>
      <c r="EE71" s="90"/>
      <c r="EF71" s="90"/>
      <c r="EG71" s="90"/>
      <c r="EH71" s="102"/>
    </row>
    <row r="72" spans="1:138" ht="23.25" customHeight="1" x14ac:dyDescent="0.25">
      <c r="A72" s="98"/>
      <c r="B72" s="99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  <c r="Y72" s="99"/>
      <c r="Z72" s="99"/>
      <c r="AA72" s="99"/>
      <c r="AB72" s="99"/>
      <c r="AC72" s="99"/>
      <c r="AD72" s="99"/>
      <c r="AE72" s="99"/>
      <c r="AF72" s="99"/>
      <c r="AG72" s="99"/>
      <c r="AH72" s="99"/>
      <c r="AI72" s="99"/>
      <c r="AJ72" s="99"/>
      <c r="AK72" s="99"/>
      <c r="AL72" s="99"/>
      <c r="AM72" s="99"/>
      <c r="AN72" s="99"/>
      <c r="AO72" s="99"/>
      <c r="AP72" s="99"/>
      <c r="AQ72" s="99"/>
      <c r="AR72" s="99"/>
      <c r="AS72" s="99"/>
      <c r="AT72" s="99"/>
      <c r="AU72" s="99"/>
      <c r="AV72" s="99"/>
      <c r="AW72" s="99"/>
      <c r="AX72" s="99"/>
      <c r="AY72" s="99"/>
      <c r="AZ72" s="99"/>
      <c r="BA72" s="99"/>
      <c r="BB72" s="99"/>
      <c r="BC72" s="99"/>
      <c r="BD72" s="99"/>
      <c r="BE72" s="99"/>
      <c r="BF72" s="99"/>
      <c r="BG72" s="99"/>
      <c r="BH72" s="99"/>
      <c r="BI72" s="99"/>
      <c r="BJ72" s="99"/>
      <c r="BK72" s="99"/>
      <c r="BL72" s="99"/>
      <c r="BM72" s="99"/>
      <c r="BN72" s="99"/>
      <c r="BO72" s="99"/>
      <c r="BP72" s="99"/>
      <c r="BQ72" s="99"/>
      <c r="BR72" s="99"/>
      <c r="BS72" s="99"/>
      <c r="BT72" s="99"/>
      <c r="BU72" s="99"/>
      <c r="BV72" s="99"/>
      <c r="BW72" s="99"/>
      <c r="BX72" s="99"/>
      <c r="BY72" s="99"/>
      <c r="BZ72" s="99"/>
      <c r="CA72" s="99"/>
      <c r="CB72" s="99"/>
      <c r="CC72" s="99"/>
      <c r="CD72" s="99"/>
      <c r="CE72" s="99"/>
      <c r="CF72" s="99"/>
      <c r="CG72" s="99"/>
      <c r="CH72" s="99"/>
      <c r="CI72" s="99"/>
      <c r="CJ72" s="99"/>
      <c r="CK72" s="99"/>
      <c r="CL72" s="99"/>
      <c r="CM72" s="99"/>
      <c r="CN72" s="99"/>
      <c r="CO72" s="99"/>
      <c r="CP72" s="99"/>
      <c r="CQ72" s="99"/>
      <c r="CR72" s="99"/>
      <c r="CS72" s="99"/>
      <c r="CT72" s="99"/>
      <c r="CU72" s="99"/>
      <c r="CV72" s="99"/>
      <c r="CW72" s="99"/>
      <c r="CX72" s="99"/>
      <c r="CY72" s="99"/>
      <c r="CZ72" s="99"/>
      <c r="DA72" s="99"/>
      <c r="DB72" s="99"/>
      <c r="DC72" s="99"/>
      <c r="DD72" s="99"/>
      <c r="DE72" s="99"/>
      <c r="DF72" s="99"/>
      <c r="DG72" s="99"/>
      <c r="DH72" s="99"/>
      <c r="DI72" s="99"/>
      <c r="DJ72" s="99"/>
      <c r="DK72" s="99"/>
      <c r="DL72" s="99"/>
      <c r="DM72" s="99"/>
      <c r="DN72" s="99"/>
      <c r="DO72" s="99"/>
      <c r="DP72" s="99"/>
      <c r="DQ72" s="99"/>
      <c r="DR72" s="99"/>
      <c r="DS72" s="99"/>
      <c r="DT72" s="99"/>
      <c r="DU72" s="99"/>
      <c r="DV72" s="99"/>
      <c r="DW72" s="99"/>
      <c r="DX72" s="99"/>
      <c r="DY72" s="99"/>
      <c r="DZ72" s="99"/>
      <c r="EA72" s="99"/>
      <c r="EB72" s="99"/>
      <c r="EC72" s="99"/>
      <c r="ED72" s="99"/>
      <c r="EE72" s="99"/>
      <c r="EF72" s="99"/>
      <c r="EG72" s="99"/>
      <c r="EH72" s="100"/>
    </row>
    <row r="73" spans="1:138" ht="23.25" customHeight="1" x14ac:dyDescent="0.25">
      <c r="A73" s="101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90"/>
      <c r="DH73" s="90"/>
      <c r="DI73" s="90"/>
      <c r="DJ73" s="90"/>
      <c r="DK73" s="90"/>
      <c r="DL73" s="90"/>
      <c r="DM73" s="90"/>
      <c r="DN73" s="90"/>
      <c r="DO73" s="90"/>
      <c r="DP73" s="90"/>
      <c r="DQ73" s="90"/>
      <c r="DR73" s="90"/>
      <c r="DS73" s="90"/>
      <c r="DT73" s="90"/>
      <c r="DU73" s="90"/>
      <c r="DV73" s="90"/>
      <c r="DW73" s="90"/>
      <c r="DX73" s="90"/>
      <c r="DY73" s="90"/>
      <c r="DZ73" s="90"/>
      <c r="EA73" s="90"/>
      <c r="EB73" s="90"/>
      <c r="EC73" s="90"/>
      <c r="ED73" s="90"/>
      <c r="EE73" s="90"/>
      <c r="EF73" s="90"/>
      <c r="EG73" s="90"/>
      <c r="EH73" s="102"/>
    </row>
    <row r="74" spans="1:138" ht="23.25" customHeight="1" x14ac:dyDescent="0.25">
      <c r="A74" s="98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  <c r="Y74" s="99"/>
      <c r="Z74" s="99"/>
      <c r="AA74" s="99"/>
      <c r="AB74" s="99"/>
      <c r="AC74" s="99"/>
      <c r="AD74" s="99"/>
      <c r="AE74" s="99"/>
      <c r="AF74" s="99"/>
      <c r="AG74" s="99"/>
      <c r="AH74" s="99"/>
      <c r="AI74" s="99"/>
      <c r="AJ74" s="99"/>
      <c r="AK74" s="99"/>
      <c r="AL74" s="99"/>
      <c r="AM74" s="99"/>
      <c r="AN74" s="99"/>
      <c r="AO74" s="99"/>
      <c r="AP74" s="99"/>
      <c r="AQ74" s="99"/>
      <c r="AR74" s="99"/>
      <c r="AS74" s="99"/>
      <c r="AT74" s="99"/>
      <c r="AU74" s="99"/>
      <c r="AV74" s="99"/>
      <c r="AW74" s="99"/>
      <c r="AX74" s="99"/>
      <c r="AY74" s="99"/>
      <c r="AZ74" s="99"/>
      <c r="BA74" s="99"/>
      <c r="BB74" s="99"/>
      <c r="BC74" s="99"/>
      <c r="BD74" s="99"/>
      <c r="BE74" s="99"/>
      <c r="BF74" s="99"/>
      <c r="BG74" s="99"/>
      <c r="BH74" s="99"/>
      <c r="BI74" s="99"/>
      <c r="BJ74" s="99"/>
      <c r="BK74" s="99"/>
      <c r="BL74" s="99"/>
      <c r="BM74" s="99"/>
      <c r="BN74" s="99"/>
      <c r="BO74" s="99"/>
      <c r="BP74" s="99"/>
      <c r="BQ74" s="99"/>
      <c r="BR74" s="99"/>
      <c r="BS74" s="99"/>
      <c r="BT74" s="99"/>
      <c r="BU74" s="99"/>
      <c r="BV74" s="99"/>
      <c r="BW74" s="99"/>
      <c r="BX74" s="99"/>
      <c r="BY74" s="99"/>
      <c r="BZ74" s="99"/>
      <c r="CA74" s="99"/>
      <c r="CB74" s="99"/>
      <c r="CC74" s="99"/>
      <c r="CD74" s="99"/>
      <c r="CE74" s="99"/>
      <c r="CF74" s="99"/>
      <c r="CG74" s="99"/>
      <c r="CH74" s="99"/>
      <c r="CI74" s="99"/>
      <c r="CJ74" s="99"/>
      <c r="CK74" s="99"/>
      <c r="CL74" s="99"/>
      <c r="CM74" s="99"/>
      <c r="CN74" s="99"/>
      <c r="CO74" s="99"/>
      <c r="CP74" s="99"/>
      <c r="CQ74" s="99"/>
      <c r="CR74" s="99"/>
      <c r="CS74" s="99"/>
      <c r="CT74" s="99"/>
      <c r="CU74" s="99"/>
      <c r="CV74" s="99"/>
      <c r="CW74" s="99"/>
      <c r="CX74" s="99"/>
      <c r="CY74" s="99"/>
      <c r="CZ74" s="99"/>
      <c r="DA74" s="99"/>
      <c r="DB74" s="99"/>
      <c r="DC74" s="99"/>
      <c r="DD74" s="99"/>
      <c r="DE74" s="99"/>
      <c r="DF74" s="99"/>
      <c r="DG74" s="99"/>
      <c r="DH74" s="99"/>
      <c r="DI74" s="99"/>
      <c r="DJ74" s="99"/>
      <c r="DK74" s="99"/>
      <c r="DL74" s="99"/>
      <c r="DM74" s="99"/>
      <c r="DN74" s="99"/>
      <c r="DO74" s="99"/>
      <c r="DP74" s="99"/>
      <c r="DQ74" s="99"/>
      <c r="DR74" s="99"/>
      <c r="DS74" s="99"/>
      <c r="DT74" s="99"/>
      <c r="DU74" s="99"/>
      <c r="DV74" s="99"/>
      <c r="DW74" s="99"/>
      <c r="DX74" s="99"/>
      <c r="DY74" s="99"/>
      <c r="DZ74" s="99"/>
      <c r="EA74" s="99"/>
      <c r="EB74" s="99"/>
      <c r="EC74" s="99"/>
      <c r="ED74" s="99"/>
      <c r="EE74" s="99"/>
      <c r="EF74" s="99"/>
      <c r="EG74" s="99"/>
      <c r="EH74" s="100"/>
    </row>
    <row r="75" spans="1:138" ht="23.25" customHeight="1" x14ac:dyDescent="0.25">
      <c r="A75" s="101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90"/>
      <c r="DH75" s="90"/>
      <c r="DI75" s="90"/>
      <c r="DJ75" s="90"/>
      <c r="DK75" s="90"/>
      <c r="DL75" s="90"/>
      <c r="DM75" s="90"/>
      <c r="DN75" s="90"/>
      <c r="DO75" s="90"/>
      <c r="DP75" s="90"/>
      <c r="DQ75" s="90"/>
      <c r="DR75" s="90"/>
      <c r="DS75" s="90"/>
      <c r="DT75" s="90"/>
      <c r="DU75" s="90"/>
      <c r="DV75" s="90"/>
      <c r="DW75" s="90"/>
      <c r="DX75" s="90"/>
      <c r="DY75" s="90"/>
      <c r="DZ75" s="90"/>
      <c r="EA75" s="90"/>
      <c r="EB75" s="90"/>
      <c r="EC75" s="90"/>
      <c r="ED75" s="90"/>
      <c r="EE75" s="90"/>
      <c r="EF75" s="90"/>
      <c r="EG75" s="90"/>
      <c r="EH75" s="102"/>
    </row>
    <row r="76" spans="1:138" ht="23.25" customHeight="1" x14ac:dyDescent="0.25">
      <c r="A76" s="9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  <c r="AA76" s="99"/>
      <c r="AB76" s="99"/>
      <c r="AC76" s="99"/>
      <c r="AD76" s="99"/>
      <c r="AE76" s="99"/>
      <c r="AF76" s="99"/>
      <c r="AG76" s="99"/>
      <c r="AH76" s="99"/>
      <c r="AI76" s="99"/>
      <c r="AJ76" s="99"/>
      <c r="AK76" s="99"/>
      <c r="AL76" s="99"/>
      <c r="AM76" s="99"/>
      <c r="AN76" s="99"/>
      <c r="AO76" s="99"/>
      <c r="AP76" s="99"/>
      <c r="AQ76" s="99"/>
      <c r="AR76" s="99"/>
      <c r="AS76" s="99"/>
      <c r="AT76" s="99"/>
      <c r="AU76" s="99"/>
      <c r="AV76" s="99"/>
      <c r="AW76" s="99"/>
      <c r="AX76" s="99"/>
      <c r="AY76" s="99"/>
      <c r="AZ76" s="99"/>
      <c r="BA76" s="99"/>
      <c r="BB76" s="99"/>
      <c r="BC76" s="99"/>
      <c r="BD76" s="99"/>
      <c r="BE76" s="99"/>
      <c r="BF76" s="99"/>
      <c r="BG76" s="99"/>
      <c r="BH76" s="99"/>
      <c r="BI76" s="99"/>
      <c r="BJ76" s="99"/>
      <c r="BK76" s="99"/>
      <c r="BL76" s="99"/>
      <c r="BM76" s="99"/>
      <c r="BN76" s="99"/>
      <c r="BO76" s="99"/>
      <c r="BP76" s="99"/>
      <c r="BQ76" s="99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  <c r="CL76" s="99"/>
      <c r="CM76" s="99"/>
      <c r="CN76" s="99"/>
      <c r="CO76" s="99"/>
      <c r="CP76" s="99"/>
      <c r="CQ76" s="99"/>
      <c r="CR76" s="99"/>
      <c r="CS76" s="99"/>
      <c r="CT76" s="99"/>
      <c r="CU76" s="99"/>
      <c r="CV76" s="99"/>
      <c r="CW76" s="99"/>
      <c r="CX76" s="99"/>
      <c r="CY76" s="99"/>
      <c r="CZ76" s="99"/>
      <c r="DA76" s="99"/>
      <c r="DB76" s="99"/>
      <c r="DC76" s="99"/>
      <c r="DD76" s="99"/>
      <c r="DE76" s="99"/>
      <c r="DF76" s="99"/>
      <c r="DG76" s="99"/>
      <c r="DH76" s="99"/>
      <c r="DI76" s="99"/>
      <c r="DJ76" s="99"/>
      <c r="DK76" s="99"/>
      <c r="DL76" s="99"/>
      <c r="DM76" s="99"/>
      <c r="DN76" s="99"/>
      <c r="DO76" s="99"/>
      <c r="DP76" s="99"/>
      <c r="DQ76" s="99"/>
      <c r="DR76" s="99"/>
      <c r="DS76" s="99"/>
      <c r="DT76" s="99"/>
      <c r="DU76" s="99"/>
      <c r="DV76" s="99"/>
      <c r="DW76" s="99"/>
      <c r="DX76" s="99"/>
      <c r="DY76" s="99"/>
      <c r="DZ76" s="99"/>
      <c r="EA76" s="99"/>
      <c r="EB76" s="99"/>
      <c r="EC76" s="99"/>
      <c r="ED76" s="99"/>
      <c r="EE76" s="99"/>
      <c r="EF76" s="99"/>
      <c r="EG76" s="99"/>
      <c r="EH76" s="100"/>
    </row>
    <row r="77" spans="1:138" ht="23.25" customHeight="1" x14ac:dyDescent="0.25">
      <c r="A77" s="101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90"/>
      <c r="DH77" s="90"/>
      <c r="DI77" s="90"/>
      <c r="DJ77" s="90"/>
      <c r="DK77" s="90"/>
      <c r="DL77" s="90"/>
      <c r="DM77" s="90"/>
      <c r="DN77" s="90"/>
      <c r="DO77" s="90"/>
      <c r="DP77" s="90"/>
      <c r="DQ77" s="90"/>
      <c r="DR77" s="90"/>
      <c r="DS77" s="90"/>
      <c r="DT77" s="90"/>
      <c r="DU77" s="90"/>
      <c r="DV77" s="90"/>
      <c r="DW77" s="90"/>
      <c r="DX77" s="90"/>
      <c r="DY77" s="90"/>
      <c r="DZ77" s="90"/>
      <c r="EA77" s="90"/>
      <c r="EB77" s="90"/>
      <c r="EC77" s="90"/>
      <c r="ED77" s="90"/>
      <c r="EE77" s="90"/>
      <c r="EF77" s="90"/>
      <c r="EG77" s="90"/>
      <c r="EH77" s="102"/>
    </row>
    <row r="78" spans="1:138" ht="23.25" customHeight="1" x14ac:dyDescent="0.25">
      <c r="A78" s="98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  <c r="Y78" s="99"/>
      <c r="Z78" s="99"/>
      <c r="AA78" s="99"/>
      <c r="AB78" s="99"/>
      <c r="AC78" s="99"/>
      <c r="AD78" s="99"/>
      <c r="AE78" s="99"/>
      <c r="AF78" s="99"/>
      <c r="AG78" s="99"/>
      <c r="AH78" s="99"/>
      <c r="AI78" s="99"/>
      <c r="AJ78" s="99"/>
      <c r="AK78" s="99"/>
      <c r="AL78" s="99"/>
      <c r="AM78" s="99"/>
      <c r="AN78" s="99"/>
      <c r="AO78" s="99"/>
      <c r="AP78" s="99"/>
      <c r="AQ78" s="99"/>
      <c r="AR78" s="99"/>
      <c r="AS78" s="99"/>
      <c r="AT78" s="99"/>
      <c r="AU78" s="99"/>
      <c r="AV78" s="99"/>
      <c r="AW78" s="99"/>
      <c r="AX78" s="99"/>
      <c r="AY78" s="99"/>
      <c r="AZ78" s="99"/>
      <c r="BA78" s="99"/>
      <c r="BB78" s="99"/>
      <c r="BC78" s="99"/>
      <c r="BD78" s="99"/>
      <c r="BE78" s="99"/>
      <c r="BF78" s="99"/>
      <c r="BG78" s="99"/>
      <c r="BH78" s="99"/>
      <c r="BI78" s="99"/>
      <c r="BJ78" s="99"/>
      <c r="BK78" s="99"/>
      <c r="BL78" s="99"/>
      <c r="BM78" s="99"/>
      <c r="BN78" s="99"/>
      <c r="BO78" s="99"/>
      <c r="BP78" s="99"/>
      <c r="BQ78" s="99"/>
      <c r="BR78" s="99"/>
      <c r="BS78" s="99"/>
      <c r="BT78" s="99"/>
      <c r="BU78" s="99"/>
      <c r="BV78" s="99"/>
      <c r="BW78" s="99"/>
      <c r="BX78" s="99"/>
      <c r="BY78" s="99"/>
      <c r="BZ78" s="99"/>
      <c r="CA78" s="99"/>
      <c r="CB78" s="99"/>
      <c r="CC78" s="99"/>
      <c r="CD78" s="99"/>
      <c r="CE78" s="99"/>
      <c r="CF78" s="99"/>
      <c r="CG78" s="99"/>
      <c r="CH78" s="99"/>
      <c r="CI78" s="99"/>
      <c r="CJ78" s="99"/>
      <c r="CK78" s="99"/>
      <c r="CL78" s="99"/>
      <c r="CM78" s="99"/>
      <c r="CN78" s="99"/>
      <c r="CO78" s="99"/>
      <c r="CP78" s="99"/>
      <c r="CQ78" s="99"/>
      <c r="CR78" s="99"/>
      <c r="CS78" s="99"/>
      <c r="CT78" s="99"/>
      <c r="CU78" s="99"/>
      <c r="CV78" s="99"/>
      <c r="CW78" s="99"/>
      <c r="CX78" s="99"/>
      <c r="CY78" s="99"/>
      <c r="CZ78" s="99"/>
      <c r="DA78" s="99"/>
      <c r="DB78" s="99"/>
      <c r="DC78" s="99"/>
      <c r="DD78" s="99"/>
      <c r="DE78" s="99"/>
      <c r="DF78" s="99"/>
      <c r="DG78" s="99"/>
      <c r="DH78" s="99"/>
      <c r="DI78" s="99"/>
      <c r="DJ78" s="99"/>
      <c r="DK78" s="99"/>
      <c r="DL78" s="99"/>
      <c r="DM78" s="99"/>
      <c r="DN78" s="99"/>
      <c r="DO78" s="99"/>
      <c r="DP78" s="99"/>
      <c r="DQ78" s="99"/>
      <c r="DR78" s="99"/>
      <c r="DS78" s="99"/>
      <c r="DT78" s="99"/>
      <c r="DU78" s="99"/>
      <c r="DV78" s="99"/>
      <c r="DW78" s="99"/>
      <c r="DX78" s="99"/>
      <c r="DY78" s="99"/>
      <c r="DZ78" s="99"/>
      <c r="EA78" s="99"/>
      <c r="EB78" s="99"/>
      <c r="EC78" s="99"/>
      <c r="ED78" s="99"/>
      <c r="EE78" s="99"/>
      <c r="EF78" s="99"/>
      <c r="EG78" s="99"/>
      <c r="EH78" s="100"/>
    </row>
    <row r="79" spans="1:138" ht="23.25" customHeight="1" x14ac:dyDescent="0.25">
      <c r="A79" s="101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90"/>
      <c r="DH79" s="90"/>
      <c r="DI79" s="90"/>
      <c r="DJ79" s="90"/>
      <c r="DK79" s="90"/>
      <c r="DL79" s="90"/>
      <c r="DM79" s="90"/>
      <c r="DN79" s="90"/>
      <c r="DO79" s="90"/>
      <c r="DP79" s="90"/>
      <c r="DQ79" s="90"/>
      <c r="DR79" s="90"/>
      <c r="DS79" s="90"/>
      <c r="DT79" s="90"/>
      <c r="DU79" s="90"/>
      <c r="DV79" s="90"/>
      <c r="DW79" s="90"/>
      <c r="DX79" s="90"/>
      <c r="DY79" s="90"/>
      <c r="DZ79" s="90"/>
      <c r="EA79" s="90"/>
      <c r="EB79" s="90"/>
      <c r="EC79" s="90"/>
      <c r="ED79" s="90"/>
      <c r="EE79" s="90"/>
      <c r="EF79" s="90"/>
      <c r="EG79" s="90"/>
      <c r="EH79" s="102"/>
    </row>
    <row r="80" spans="1:138" ht="23.25" customHeight="1" x14ac:dyDescent="0.25">
      <c r="A80" s="98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  <c r="Y80" s="99"/>
      <c r="Z80" s="99"/>
      <c r="AA80" s="99"/>
      <c r="AB80" s="99"/>
      <c r="AC80" s="99"/>
      <c r="AD80" s="99"/>
      <c r="AE80" s="99"/>
      <c r="AF80" s="99"/>
      <c r="AG80" s="99"/>
      <c r="AH80" s="99"/>
      <c r="AI80" s="99"/>
      <c r="AJ80" s="99"/>
      <c r="AK80" s="99"/>
      <c r="AL80" s="99"/>
      <c r="AM80" s="99"/>
      <c r="AN80" s="99"/>
      <c r="AO80" s="99"/>
      <c r="AP80" s="99"/>
      <c r="AQ80" s="99"/>
      <c r="AR80" s="99"/>
      <c r="AS80" s="99"/>
      <c r="AT80" s="99"/>
      <c r="AU80" s="99"/>
      <c r="AV80" s="99"/>
      <c r="AW80" s="99"/>
      <c r="AX80" s="99"/>
      <c r="AY80" s="99"/>
      <c r="AZ80" s="99"/>
      <c r="BA80" s="99"/>
      <c r="BB80" s="99"/>
      <c r="BC80" s="99"/>
      <c r="BD80" s="99"/>
      <c r="BE80" s="99"/>
      <c r="BF80" s="99"/>
      <c r="BG80" s="99"/>
      <c r="BH80" s="99"/>
      <c r="BI80" s="99"/>
      <c r="BJ80" s="99"/>
      <c r="BK80" s="99"/>
      <c r="BL80" s="99"/>
      <c r="BM80" s="99"/>
      <c r="BN80" s="99"/>
      <c r="BO80" s="99"/>
      <c r="BP80" s="99"/>
      <c r="BQ80" s="99"/>
      <c r="BR80" s="99"/>
      <c r="BS80" s="99"/>
      <c r="BT80" s="99"/>
      <c r="BU80" s="99"/>
      <c r="BV80" s="99"/>
      <c r="BW80" s="99"/>
      <c r="BX80" s="99"/>
      <c r="BY80" s="99"/>
      <c r="BZ80" s="99"/>
      <c r="CA80" s="99"/>
      <c r="CB80" s="99"/>
      <c r="CC80" s="99"/>
      <c r="CD80" s="99"/>
      <c r="CE80" s="99"/>
      <c r="CF80" s="99"/>
      <c r="CG80" s="99"/>
      <c r="CH80" s="99"/>
      <c r="CI80" s="99"/>
      <c r="CJ80" s="99"/>
      <c r="CK80" s="99"/>
      <c r="CL80" s="99"/>
      <c r="CM80" s="99"/>
      <c r="CN80" s="99"/>
      <c r="CO80" s="99"/>
      <c r="CP80" s="99"/>
      <c r="CQ80" s="99"/>
      <c r="CR80" s="99"/>
      <c r="CS80" s="99"/>
      <c r="CT80" s="99"/>
      <c r="CU80" s="99"/>
      <c r="CV80" s="99"/>
      <c r="CW80" s="99"/>
      <c r="CX80" s="99"/>
      <c r="CY80" s="99"/>
      <c r="CZ80" s="99"/>
      <c r="DA80" s="99"/>
      <c r="DB80" s="99"/>
      <c r="DC80" s="99"/>
      <c r="DD80" s="99"/>
      <c r="DE80" s="99"/>
      <c r="DF80" s="99"/>
      <c r="DG80" s="99"/>
      <c r="DH80" s="99"/>
      <c r="DI80" s="99"/>
      <c r="DJ80" s="99"/>
      <c r="DK80" s="99"/>
      <c r="DL80" s="99"/>
      <c r="DM80" s="99"/>
      <c r="DN80" s="99"/>
      <c r="DO80" s="99"/>
      <c r="DP80" s="99"/>
      <c r="DQ80" s="99"/>
      <c r="DR80" s="99"/>
      <c r="DS80" s="99"/>
      <c r="DT80" s="99"/>
      <c r="DU80" s="99"/>
      <c r="DV80" s="99"/>
      <c r="DW80" s="99"/>
      <c r="DX80" s="99"/>
      <c r="DY80" s="99"/>
      <c r="DZ80" s="99"/>
      <c r="EA80" s="99"/>
      <c r="EB80" s="99"/>
      <c r="EC80" s="99"/>
      <c r="ED80" s="99"/>
      <c r="EE80" s="99"/>
      <c r="EF80" s="99"/>
      <c r="EG80" s="99"/>
      <c r="EH80" s="100"/>
    </row>
    <row r="81" spans="1:138" ht="23.25" customHeight="1" x14ac:dyDescent="0.25">
      <c r="A81" s="101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90"/>
      <c r="DH81" s="90"/>
      <c r="DI81" s="90"/>
      <c r="DJ81" s="90"/>
      <c r="DK81" s="90"/>
      <c r="DL81" s="90"/>
      <c r="DM81" s="90"/>
      <c r="DN81" s="90"/>
      <c r="DO81" s="90"/>
      <c r="DP81" s="90"/>
      <c r="DQ81" s="90"/>
      <c r="DR81" s="90"/>
      <c r="DS81" s="90"/>
      <c r="DT81" s="90"/>
      <c r="DU81" s="90"/>
      <c r="DV81" s="90"/>
      <c r="DW81" s="90"/>
      <c r="DX81" s="90"/>
      <c r="DY81" s="90"/>
      <c r="DZ81" s="90"/>
      <c r="EA81" s="90"/>
      <c r="EB81" s="90"/>
      <c r="EC81" s="90"/>
      <c r="ED81" s="90"/>
      <c r="EE81" s="90"/>
      <c r="EF81" s="90"/>
      <c r="EG81" s="90"/>
      <c r="EH81" s="102"/>
    </row>
    <row r="82" spans="1:138" ht="23.25" customHeight="1" x14ac:dyDescent="0.25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99"/>
      <c r="AU82" s="99"/>
      <c r="AV82" s="99"/>
      <c r="AW82" s="99"/>
      <c r="AX82" s="99"/>
      <c r="AY82" s="99"/>
      <c r="AZ82" s="99"/>
      <c r="BA82" s="99"/>
      <c r="BB82" s="99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/>
      <c r="BT82" s="99"/>
      <c r="BU82" s="99"/>
      <c r="BV82" s="99"/>
      <c r="BW82" s="99"/>
      <c r="BX82" s="99"/>
      <c r="BY82" s="99"/>
      <c r="BZ82" s="99"/>
      <c r="CA82" s="99"/>
      <c r="CB82" s="99"/>
      <c r="CC82" s="99"/>
      <c r="CD82" s="99"/>
      <c r="CE82" s="99"/>
      <c r="CF82" s="99"/>
      <c r="CG82" s="99"/>
      <c r="CH82" s="99"/>
      <c r="CI82" s="99"/>
      <c r="CJ82" s="99"/>
      <c r="CK82" s="99"/>
      <c r="CL82" s="99"/>
      <c r="CM82" s="99"/>
      <c r="CN82" s="99"/>
      <c r="CO82" s="99"/>
      <c r="CP82" s="99"/>
      <c r="CQ82" s="99"/>
      <c r="CR82" s="99"/>
      <c r="CS82" s="99"/>
      <c r="CT82" s="99"/>
      <c r="CU82" s="99"/>
      <c r="CV82" s="99"/>
      <c r="CW82" s="99"/>
      <c r="CX82" s="99"/>
      <c r="CY82" s="99"/>
      <c r="CZ82" s="99"/>
      <c r="DA82" s="99"/>
      <c r="DB82" s="99"/>
      <c r="DC82" s="99"/>
      <c r="DD82" s="99"/>
      <c r="DE82" s="99"/>
      <c r="DF82" s="99"/>
      <c r="DG82" s="99"/>
      <c r="DH82" s="99"/>
      <c r="DI82" s="99"/>
      <c r="DJ82" s="99"/>
      <c r="DK82" s="99"/>
      <c r="DL82" s="99"/>
      <c r="DM82" s="99"/>
      <c r="DN82" s="99"/>
      <c r="DO82" s="99"/>
      <c r="DP82" s="99"/>
      <c r="DQ82" s="99"/>
      <c r="DR82" s="99"/>
      <c r="DS82" s="99"/>
      <c r="DT82" s="99"/>
      <c r="DU82" s="99"/>
      <c r="DV82" s="99"/>
      <c r="DW82" s="99"/>
      <c r="DX82" s="99"/>
      <c r="DY82" s="99"/>
      <c r="DZ82" s="99"/>
      <c r="EA82" s="99"/>
      <c r="EB82" s="99"/>
      <c r="EC82" s="99"/>
      <c r="ED82" s="99"/>
      <c r="EE82" s="99"/>
      <c r="EF82" s="99"/>
      <c r="EG82" s="99"/>
      <c r="EH82" s="100"/>
    </row>
    <row r="83" spans="1:138" ht="23.25" customHeight="1" x14ac:dyDescent="0.25">
      <c r="A83" s="101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102"/>
    </row>
    <row r="84" spans="1:138" ht="23.25" customHeight="1" x14ac:dyDescent="0.25">
      <c r="A84" s="98"/>
      <c r="B84" s="99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9"/>
      <c r="AS84" s="99"/>
      <c r="AT84" s="99"/>
      <c r="AU84" s="99"/>
      <c r="AV84" s="99"/>
      <c r="AW84" s="99"/>
      <c r="AX84" s="99"/>
      <c r="AY84" s="99"/>
      <c r="AZ84" s="99"/>
      <c r="BA84" s="99"/>
      <c r="BB84" s="99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/>
      <c r="BT84" s="99"/>
      <c r="BU84" s="99"/>
      <c r="BV84" s="99"/>
      <c r="BW84" s="99"/>
      <c r="BX84" s="99"/>
      <c r="BY84" s="99"/>
      <c r="BZ84" s="99"/>
      <c r="CA84" s="99"/>
      <c r="CB84" s="99"/>
      <c r="CC84" s="99"/>
      <c r="CD84" s="99"/>
      <c r="CE84" s="99"/>
      <c r="CF84" s="99"/>
      <c r="CG84" s="99"/>
      <c r="CH84" s="99"/>
      <c r="CI84" s="99"/>
      <c r="CJ84" s="99"/>
      <c r="CK84" s="99"/>
      <c r="CL84" s="99"/>
      <c r="CM84" s="99"/>
      <c r="CN84" s="99"/>
      <c r="CO84" s="99"/>
      <c r="CP84" s="99"/>
      <c r="CQ84" s="99"/>
      <c r="CR84" s="99"/>
      <c r="CS84" s="99"/>
      <c r="CT84" s="99"/>
      <c r="CU84" s="99"/>
      <c r="CV84" s="99"/>
      <c r="CW84" s="99"/>
      <c r="CX84" s="99"/>
      <c r="CY84" s="99"/>
      <c r="CZ84" s="99"/>
      <c r="DA84" s="99"/>
      <c r="DB84" s="99"/>
      <c r="DC84" s="99"/>
      <c r="DD84" s="99"/>
      <c r="DE84" s="99"/>
      <c r="DF84" s="99"/>
      <c r="DG84" s="99"/>
      <c r="DH84" s="99"/>
      <c r="DI84" s="99"/>
      <c r="DJ84" s="99"/>
      <c r="DK84" s="99"/>
      <c r="DL84" s="99"/>
      <c r="DM84" s="99"/>
      <c r="DN84" s="99"/>
      <c r="DO84" s="99"/>
      <c r="DP84" s="99"/>
      <c r="DQ84" s="99"/>
      <c r="DR84" s="99"/>
      <c r="DS84" s="99"/>
      <c r="DT84" s="99"/>
      <c r="DU84" s="99"/>
      <c r="DV84" s="99"/>
      <c r="DW84" s="99"/>
      <c r="DX84" s="99"/>
      <c r="DY84" s="99"/>
      <c r="DZ84" s="99"/>
      <c r="EA84" s="99"/>
      <c r="EB84" s="99"/>
      <c r="EC84" s="99"/>
      <c r="ED84" s="99"/>
      <c r="EE84" s="99"/>
      <c r="EF84" s="99"/>
      <c r="EG84" s="99"/>
      <c r="EH84" s="100"/>
    </row>
    <row r="85" spans="1:138" ht="23.25" customHeight="1" x14ac:dyDescent="0.25">
      <c r="A85" s="101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90"/>
      <c r="DH85" s="90"/>
      <c r="DI85" s="90"/>
      <c r="DJ85" s="90"/>
      <c r="DK85" s="90"/>
      <c r="DL85" s="90"/>
      <c r="DM85" s="90"/>
      <c r="DN85" s="90"/>
      <c r="DO85" s="90"/>
      <c r="DP85" s="90"/>
      <c r="DQ85" s="90"/>
      <c r="DR85" s="90"/>
      <c r="DS85" s="90"/>
      <c r="DT85" s="90"/>
      <c r="DU85" s="90"/>
      <c r="DV85" s="90"/>
      <c r="DW85" s="90"/>
      <c r="DX85" s="90"/>
      <c r="DY85" s="90"/>
      <c r="DZ85" s="90"/>
      <c r="EA85" s="90"/>
      <c r="EB85" s="90"/>
      <c r="EC85" s="90"/>
      <c r="ED85" s="90"/>
      <c r="EE85" s="90"/>
      <c r="EF85" s="90"/>
      <c r="EG85" s="90"/>
      <c r="EH85" s="102"/>
    </row>
    <row r="86" spans="1:138" ht="23.25" customHeight="1" x14ac:dyDescent="0.25">
      <c r="A86" s="98"/>
      <c r="B86" s="99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  <c r="AD86" s="99"/>
      <c r="AE86" s="99"/>
      <c r="AF86" s="99"/>
      <c r="AG86" s="99"/>
      <c r="AH86" s="99"/>
      <c r="AI86" s="99"/>
      <c r="AJ86" s="99"/>
      <c r="AK86" s="99"/>
      <c r="AL86" s="99"/>
      <c r="AM86" s="99"/>
      <c r="AN86" s="99"/>
      <c r="AO86" s="99"/>
      <c r="AP86" s="99"/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99"/>
      <c r="BD86" s="99"/>
      <c r="BE86" s="99"/>
      <c r="BF86" s="99"/>
      <c r="BG86" s="99"/>
      <c r="BH86" s="99"/>
      <c r="BI86" s="99"/>
      <c r="BJ86" s="99"/>
      <c r="BK86" s="99"/>
      <c r="BL86" s="99"/>
      <c r="BM86" s="99"/>
      <c r="BN86" s="99"/>
      <c r="BO86" s="99"/>
      <c r="BP86" s="99"/>
      <c r="BQ86" s="99"/>
      <c r="BR86" s="99"/>
      <c r="BS86" s="99"/>
      <c r="BT86" s="99"/>
      <c r="BU86" s="99"/>
      <c r="BV86" s="99"/>
      <c r="BW86" s="99"/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9"/>
      <c r="CI86" s="99"/>
      <c r="CJ86" s="99"/>
      <c r="CK86" s="99"/>
      <c r="CL86" s="99"/>
      <c r="CM86" s="99"/>
      <c r="CN86" s="99"/>
      <c r="CO86" s="99"/>
      <c r="CP86" s="99"/>
      <c r="CQ86" s="99"/>
      <c r="CR86" s="99"/>
      <c r="CS86" s="99"/>
      <c r="CT86" s="99"/>
      <c r="CU86" s="99"/>
      <c r="CV86" s="99"/>
      <c r="CW86" s="99"/>
      <c r="CX86" s="99"/>
      <c r="CY86" s="99"/>
      <c r="CZ86" s="99"/>
      <c r="DA86" s="99"/>
      <c r="DB86" s="99"/>
      <c r="DC86" s="99"/>
      <c r="DD86" s="99"/>
      <c r="DE86" s="99"/>
      <c r="DF86" s="99"/>
      <c r="DG86" s="99"/>
      <c r="DH86" s="99"/>
      <c r="DI86" s="99"/>
      <c r="DJ86" s="99"/>
      <c r="DK86" s="99"/>
      <c r="DL86" s="99"/>
      <c r="DM86" s="99"/>
      <c r="DN86" s="99"/>
      <c r="DO86" s="99"/>
      <c r="DP86" s="99"/>
      <c r="DQ86" s="99"/>
      <c r="DR86" s="99"/>
      <c r="DS86" s="99"/>
      <c r="DT86" s="99"/>
      <c r="DU86" s="99"/>
      <c r="DV86" s="99"/>
      <c r="DW86" s="99"/>
      <c r="DX86" s="99"/>
      <c r="DY86" s="99"/>
      <c r="DZ86" s="99"/>
      <c r="EA86" s="99"/>
      <c r="EB86" s="99"/>
      <c r="EC86" s="99"/>
      <c r="ED86" s="99"/>
      <c r="EE86" s="99"/>
      <c r="EF86" s="99"/>
      <c r="EG86" s="99"/>
      <c r="EH86" s="100"/>
    </row>
    <row r="87" spans="1:138" ht="23.25" customHeight="1" x14ac:dyDescent="0.25">
      <c r="A87" s="101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90"/>
      <c r="DH87" s="90"/>
      <c r="DI87" s="90"/>
      <c r="DJ87" s="90"/>
      <c r="DK87" s="90"/>
      <c r="DL87" s="90"/>
      <c r="DM87" s="90"/>
      <c r="DN87" s="90"/>
      <c r="DO87" s="90"/>
      <c r="DP87" s="90"/>
      <c r="DQ87" s="90"/>
      <c r="DR87" s="90"/>
      <c r="DS87" s="90"/>
      <c r="DT87" s="90"/>
      <c r="DU87" s="90"/>
      <c r="DV87" s="90"/>
      <c r="DW87" s="90"/>
      <c r="DX87" s="90"/>
      <c r="DY87" s="90"/>
      <c r="DZ87" s="90"/>
      <c r="EA87" s="90"/>
      <c r="EB87" s="90"/>
      <c r="EC87" s="90"/>
      <c r="ED87" s="90"/>
      <c r="EE87" s="90"/>
      <c r="EF87" s="90"/>
      <c r="EG87" s="90"/>
      <c r="EH87" s="102"/>
    </row>
    <row r="88" spans="1:138" ht="23.25" customHeight="1" x14ac:dyDescent="0.25">
      <c r="A88" s="98"/>
      <c r="B88" s="99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  <c r="AD88" s="99"/>
      <c r="AE88" s="99"/>
      <c r="AF88" s="99"/>
      <c r="AG88" s="99"/>
      <c r="AH88" s="99"/>
      <c r="AI88" s="99"/>
      <c r="AJ88" s="99"/>
      <c r="AK88" s="99"/>
      <c r="AL88" s="99"/>
      <c r="AM88" s="99"/>
      <c r="AN88" s="99"/>
      <c r="AO88" s="99"/>
      <c r="AP88" s="99"/>
      <c r="AQ88" s="99"/>
      <c r="AR88" s="99"/>
      <c r="AS88" s="99"/>
      <c r="AT88" s="99"/>
      <c r="AU88" s="99"/>
      <c r="AV88" s="99"/>
      <c r="AW88" s="99"/>
      <c r="AX88" s="99"/>
      <c r="AY88" s="99"/>
      <c r="AZ88" s="99"/>
      <c r="BA88" s="99"/>
      <c r="BB88" s="99"/>
      <c r="BC88" s="99"/>
      <c r="BD88" s="99"/>
      <c r="BE88" s="99"/>
      <c r="BF88" s="99"/>
      <c r="BG88" s="99"/>
      <c r="BH88" s="99"/>
      <c r="BI88" s="99"/>
      <c r="BJ88" s="99"/>
      <c r="BK88" s="99"/>
      <c r="BL88" s="99"/>
      <c r="BM88" s="99"/>
      <c r="BN88" s="99"/>
      <c r="BO88" s="99"/>
      <c r="BP88" s="99"/>
      <c r="BQ88" s="99"/>
      <c r="BR88" s="99"/>
      <c r="BS88" s="99"/>
      <c r="BT88" s="99"/>
      <c r="BU88" s="99"/>
      <c r="BV88" s="99"/>
      <c r="BW88" s="99"/>
      <c r="BX88" s="99"/>
      <c r="BY88" s="99"/>
      <c r="BZ88" s="99"/>
      <c r="CA88" s="99"/>
      <c r="CB88" s="99"/>
      <c r="CC88" s="99"/>
      <c r="CD88" s="99"/>
      <c r="CE88" s="99"/>
      <c r="CF88" s="99"/>
      <c r="CG88" s="99"/>
      <c r="CH88" s="99"/>
      <c r="CI88" s="99"/>
      <c r="CJ88" s="99"/>
      <c r="CK88" s="99"/>
      <c r="CL88" s="99"/>
      <c r="CM88" s="99"/>
      <c r="CN88" s="99"/>
      <c r="CO88" s="99"/>
      <c r="CP88" s="99"/>
      <c r="CQ88" s="99"/>
      <c r="CR88" s="99"/>
      <c r="CS88" s="99"/>
      <c r="CT88" s="99"/>
      <c r="CU88" s="99"/>
      <c r="CV88" s="99"/>
      <c r="CW88" s="99"/>
      <c r="CX88" s="99"/>
      <c r="CY88" s="99"/>
      <c r="CZ88" s="99"/>
      <c r="DA88" s="99"/>
      <c r="DB88" s="99"/>
      <c r="DC88" s="99"/>
      <c r="DD88" s="99"/>
      <c r="DE88" s="99"/>
      <c r="DF88" s="99"/>
      <c r="DG88" s="99"/>
      <c r="DH88" s="99"/>
      <c r="DI88" s="99"/>
      <c r="DJ88" s="99"/>
      <c r="DK88" s="99"/>
      <c r="DL88" s="99"/>
      <c r="DM88" s="99"/>
      <c r="DN88" s="99"/>
      <c r="DO88" s="99"/>
      <c r="DP88" s="99"/>
      <c r="DQ88" s="99"/>
      <c r="DR88" s="99"/>
      <c r="DS88" s="99"/>
      <c r="DT88" s="99"/>
      <c r="DU88" s="99"/>
      <c r="DV88" s="99"/>
      <c r="DW88" s="99"/>
      <c r="DX88" s="99"/>
      <c r="DY88" s="99"/>
      <c r="DZ88" s="99"/>
      <c r="EA88" s="99"/>
      <c r="EB88" s="99"/>
      <c r="EC88" s="99"/>
      <c r="ED88" s="99"/>
      <c r="EE88" s="99"/>
      <c r="EF88" s="99"/>
      <c r="EG88" s="99"/>
      <c r="EH88" s="100"/>
    </row>
    <row r="89" spans="1:138" ht="23.25" customHeight="1" x14ac:dyDescent="0.25">
      <c r="A89" s="101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90"/>
      <c r="DH89" s="90"/>
      <c r="DI89" s="90"/>
      <c r="DJ89" s="90"/>
      <c r="DK89" s="90"/>
      <c r="DL89" s="90"/>
      <c r="DM89" s="90"/>
      <c r="DN89" s="90"/>
      <c r="DO89" s="90"/>
      <c r="DP89" s="90"/>
      <c r="DQ89" s="90"/>
      <c r="DR89" s="90"/>
      <c r="DS89" s="90"/>
      <c r="DT89" s="90"/>
      <c r="DU89" s="90"/>
      <c r="DV89" s="90"/>
      <c r="DW89" s="90"/>
      <c r="DX89" s="90"/>
      <c r="DY89" s="90"/>
      <c r="DZ89" s="90"/>
      <c r="EA89" s="90"/>
      <c r="EB89" s="90"/>
      <c r="EC89" s="90"/>
      <c r="ED89" s="90"/>
      <c r="EE89" s="90"/>
      <c r="EF89" s="90"/>
      <c r="EG89" s="90"/>
      <c r="EH89" s="102"/>
    </row>
    <row r="90" spans="1:138" ht="23.25" customHeight="1" x14ac:dyDescent="0.25">
      <c r="A90" s="98"/>
      <c r="B90" s="99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  <c r="Z90" s="99"/>
      <c r="AA90" s="99"/>
      <c r="AB90" s="99"/>
      <c r="AC90" s="99"/>
      <c r="AD90" s="99"/>
      <c r="AE90" s="99"/>
      <c r="AF90" s="99"/>
      <c r="AG90" s="99"/>
      <c r="AH90" s="99"/>
      <c r="AI90" s="99"/>
      <c r="AJ90" s="99"/>
      <c r="AK90" s="99"/>
      <c r="AL90" s="99"/>
      <c r="AM90" s="99"/>
      <c r="AN90" s="99"/>
      <c r="AO90" s="99"/>
      <c r="AP90" s="99"/>
      <c r="AQ90" s="99"/>
      <c r="AR90" s="99"/>
      <c r="AS90" s="99"/>
      <c r="AT90" s="99"/>
      <c r="AU90" s="99"/>
      <c r="AV90" s="99"/>
      <c r="AW90" s="99"/>
      <c r="AX90" s="99"/>
      <c r="AY90" s="99"/>
      <c r="AZ90" s="99"/>
      <c r="BA90" s="99"/>
      <c r="BB90" s="99"/>
      <c r="BC90" s="99"/>
      <c r="BD90" s="99"/>
      <c r="BE90" s="99"/>
      <c r="BF90" s="99"/>
      <c r="BG90" s="99"/>
      <c r="BH90" s="99"/>
      <c r="BI90" s="99"/>
      <c r="BJ90" s="99"/>
      <c r="BK90" s="99"/>
      <c r="BL90" s="99"/>
      <c r="BM90" s="99"/>
      <c r="BN90" s="99"/>
      <c r="BO90" s="99"/>
      <c r="BP90" s="99"/>
      <c r="BQ90" s="99"/>
      <c r="BR90" s="99"/>
      <c r="BS90" s="99"/>
      <c r="BT90" s="99"/>
      <c r="BU90" s="99"/>
      <c r="BV90" s="99"/>
      <c r="BW90" s="99"/>
      <c r="BX90" s="99"/>
      <c r="BY90" s="99"/>
      <c r="BZ90" s="99"/>
      <c r="CA90" s="99"/>
      <c r="CB90" s="99"/>
      <c r="CC90" s="99"/>
      <c r="CD90" s="99"/>
      <c r="CE90" s="99"/>
      <c r="CF90" s="99"/>
      <c r="CG90" s="99"/>
      <c r="CH90" s="99"/>
      <c r="CI90" s="99"/>
      <c r="CJ90" s="99"/>
      <c r="CK90" s="99"/>
      <c r="CL90" s="99"/>
      <c r="CM90" s="99"/>
      <c r="CN90" s="99"/>
      <c r="CO90" s="99"/>
      <c r="CP90" s="99"/>
      <c r="CQ90" s="99"/>
      <c r="CR90" s="99"/>
      <c r="CS90" s="99"/>
      <c r="CT90" s="99"/>
      <c r="CU90" s="99"/>
      <c r="CV90" s="99"/>
      <c r="CW90" s="99"/>
      <c r="CX90" s="99"/>
      <c r="CY90" s="99"/>
      <c r="CZ90" s="99"/>
      <c r="DA90" s="99"/>
      <c r="DB90" s="99"/>
      <c r="DC90" s="99"/>
      <c r="DD90" s="99"/>
      <c r="DE90" s="99"/>
      <c r="DF90" s="99"/>
      <c r="DG90" s="99"/>
      <c r="DH90" s="99"/>
      <c r="DI90" s="99"/>
      <c r="DJ90" s="99"/>
      <c r="DK90" s="99"/>
      <c r="DL90" s="99"/>
      <c r="DM90" s="99"/>
      <c r="DN90" s="99"/>
      <c r="DO90" s="99"/>
      <c r="DP90" s="99"/>
      <c r="DQ90" s="99"/>
      <c r="DR90" s="99"/>
      <c r="DS90" s="99"/>
      <c r="DT90" s="99"/>
      <c r="DU90" s="99"/>
      <c r="DV90" s="99"/>
      <c r="DW90" s="99"/>
      <c r="DX90" s="99"/>
      <c r="DY90" s="99"/>
      <c r="DZ90" s="99"/>
      <c r="EA90" s="99"/>
      <c r="EB90" s="99"/>
      <c r="EC90" s="99"/>
      <c r="ED90" s="99"/>
      <c r="EE90" s="99"/>
      <c r="EF90" s="99"/>
      <c r="EG90" s="99"/>
      <c r="EH90" s="100"/>
    </row>
    <row r="91" spans="1:138" ht="23.25" customHeight="1" x14ac:dyDescent="0.25">
      <c r="A91" s="101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90"/>
      <c r="DH91" s="90"/>
      <c r="DI91" s="90"/>
      <c r="DJ91" s="90"/>
      <c r="DK91" s="90"/>
      <c r="DL91" s="90"/>
      <c r="DM91" s="90"/>
      <c r="DN91" s="90"/>
      <c r="DO91" s="90"/>
      <c r="DP91" s="90"/>
      <c r="DQ91" s="90"/>
      <c r="DR91" s="90"/>
      <c r="DS91" s="90"/>
      <c r="DT91" s="90"/>
      <c r="DU91" s="90"/>
      <c r="DV91" s="90"/>
      <c r="DW91" s="90"/>
      <c r="DX91" s="90"/>
      <c r="DY91" s="90"/>
      <c r="DZ91" s="90"/>
      <c r="EA91" s="90"/>
      <c r="EB91" s="90"/>
      <c r="EC91" s="90"/>
      <c r="ED91" s="90"/>
      <c r="EE91" s="90"/>
      <c r="EF91" s="90"/>
      <c r="EG91" s="90"/>
      <c r="EH91" s="102"/>
    </row>
    <row r="92" spans="1:138" ht="23.25" customHeight="1" x14ac:dyDescent="0.25">
      <c r="A92" s="98"/>
      <c r="B92" s="99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  <c r="Z92" s="99"/>
      <c r="AA92" s="99"/>
      <c r="AB92" s="99"/>
      <c r="AC92" s="99"/>
      <c r="AD92" s="99"/>
      <c r="AE92" s="99"/>
      <c r="AF92" s="99"/>
      <c r="AG92" s="99"/>
      <c r="AH92" s="99"/>
      <c r="AI92" s="99"/>
      <c r="AJ92" s="99"/>
      <c r="AK92" s="99"/>
      <c r="AL92" s="99"/>
      <c r="AM92" s="99"/>
      <c r="AN92" s="99"/>
      <c r="AO92" s="99"/>
      <c r="AP92" s="99"/>
      <c r="AQ92" s="99"/>
      <c r="AR92" s="99"/>
      <c r="AS92" s="99"/>
      <c r="AT92" s="99"/>
      <c r="AU92" s="99"/>
      <c r="AV92" s="99"/>
      <c r="AW92" s="99"/>
      <c r="AX92" s="99"/>
      <c r="AY92" s="99"/>
      <c r="AZ92" s="99"/>
      <c r="BA92" s="99"/>
      <c r="BB92" s="99"/>
      <c r="BC92" s="99"/>
      <c r="BD92" s="99"/>
      <c r="BE92" s="99"/>
      <c r="BF92" s="99"/>
      <c r="BG92" s="99"/>
      <c r="BH92" s="99"/>
      <c r="BI92" s="99"/>
      <c r="BJ92" s="99"/>
      <c r="BK92" s="99"/>
      <c r="BL92" s="99"/>
      <c r="BM92" s="99"/>
      <c r="BN92" s="99"/>
      <c r="BO92" s="99"/>
      <c r="BP92" s="99"/>
      <c r="BQ92" s="99"/>
      <c r="BR92" s="99"/>
      <c r="BS92" s="99"/>
      <c r="BT92" s="99"/>
      <c r="BU92" s="99"/>
      <c r="BV92" s="99"/>
      <c r="BW92" s="99"/>
      <c r="BX92" s="99"/>
      <c r="BY92" s="99"/>
      <c r="BZ92" s="99"/>
      <c r="CA92" s="99"/>
      <c r="CB92" s="99"/>
      <c r="CC92" s="99"/>
      <c r="CD92" s="99"/>
      <c r="CE92" s="99"/>
      <c r="CF92" s="99"/>
      <c r="CG92" s="99"/>
      <c r="CH92" s="99"/>
      <c r="CI92" s="99"/>
      <c r="CJ92" s="99"/>
      <c r="CK92" s="99"/>
      <c r="CL92" s="99"/>
      <c r="CM92" s="99"/>
      <c r="CN92" s="99"/>
      <c r="CO92" s="99"/>
      <c r="CP92" s="99"/>
      <c r="CQ92" s="99"/>
      <c r="CR92" s="99"/>
      <c r="CS92" s="99"/>
      <c r="CT92" s="99"/>
      <c r="CU92" s="99"/>
      <c r="CV92" s="99"/>
      <c r="CW92" s="99"/>
      <c r="CX92" s="99"/>
      <c r="CY92" s="99"/>
      <c r="CZ92" s="99"/>
      <c r="DA92" s="99"/>
      <c r="DB92" s="99"/>
      <c r="DC92" s="99"/>
      <c r="DD92" s="99"/>
      <c r="DE92" s="99"/>
      <c r="DF92" s="99"/>
      <c r="DG92" s="99"/>
      <c r="DH92" s="99"/>
      <c r="DI92" s="99"/>
      <c r="DJ92" s="99"/>
      <c r="DK92" s="99"/>
      <c r="DL92" s="99"/>
      <c r="DM92" s="99"/>
      <c r="DN92" s="99"/>
      <c r="DO92" s="99"/>
      <c r="DP92" s="99"/>
      <c r="DQ92" s="99"/>
      <c r="DR92" s="99"/>
      <c r="DS92" s="99"/>
      <c r="DT92" s="99"/>
      <c r="DU92" s="99"/>
      <c r="DV92" s="99"/>
      <c r="DW92" s="99"/>
      <c r="DX92" s="99"/>
      <c r="DY92" s="99"/>
      <c r="DZ92" s="99"/>
      <c r="EA92" s="99"/>
      <c r="EB92" s="99"/>
      <c r="EC92" s="99"/>
      <c r="ED92" s="99"/>
      <c r="EE92" s="99"/>
      <c r="EF92" s="99"/>
      <c r="EG92" s="99"/>
      <c r="EH92" s="100"/>
    </row>
    <row r="93" spans="1:138" ht="23.25" customHeight="1" x14ac:dyDescent="0.25">
      <c r="A93" s="101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102"/>
    </row>
    <row r="94" spans="1:138" ht="23.25" customHeight="1" x14ac:dyDescent="0.25">
      <c r="A94" s="98"/>
      <c r="B94" s="99"/>
      <c r="C94" s="99"/>
      <c r="D94" s="99"/>
      <c r="E94" s="99"/>
      <c r="F94" s="99"/>
      <c r="G94" s="99"/>
      <c r="H94" s="99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  <c r="Z94" s="99"/>
      <c r="AA94" s="99"/>
      <c r="AB94" s="99"/>
      <c r="AC94" s="99"/>
      <c r="AD94" s="99"/>
      <c r="AE94" s="99"/>
      <c r="AF94" s="99"/>
      <c r="AG94" s="99"/>
      <c r="AH94" s="99"/>
      <c r="AI94" s="99"/>
      <c r="AJ94" s="99"/>
      <c r="AK94" s="99"/>
      <c r="AL94" s="99"/>
      <c r="AM94" s="99"/>
      <c r="AN94" s="99"/>
      <c r="AO94" s="99"/>
      <c r="AP94" s="99"/>
      <c r="AQ94" s="99"/>
      <c r="AR94" s="99"/>
      <c r="AS94" s="99"/>
      <c r="AT94" s="99"/>
      <c r="AU94" s="99"/>
      <c r="AV94" s="99"/>
      <c r="AW94" s="99"/>
      <c r="AX94" s="99"/>
      <c r="AY94" s="99"/>
      <c r="AZ94" s="99"/>
      <c r="BA94" s="99"/>
      <c r="BB94" s="99"/>
      <c r="BC94" s="99"/>
      <c r="BD94" s="99"/>
      <c r="BE94" s="99"/>
      <c r="BF94" s="99"/>
      <c r="BG94" s="99"/>
      <c r="BH94" s="99"/>
      <c r="BI94" s="99"/>
      <c r="BJ94" s="99"/>
      <c r="BK94" s="99"/>
      <c r="BL94" s="99"/>
      <c r="BM94" s="99"/>
      <c r="BN94" s="99"/>
      <c r="BO94" s="99"/>
      <c r="BP94" s="99"/>
      <c r="BQ94" s="99"/>
      <c r="BR94" s="99"/>
      <c r="BS94" s="99"/>
      <c r="BT94" s="99"/>
      <c r="BU94" s="99"/>
      <c r="BV94" s="99"/>
      <c r="BW94" s="99"/>
      <c r="BX94" s="99"/>
      <c r="BY94" s="99"/>
      <c r="BZ94" s="99"/>
      <c r="CA94" s="99"/>
      <c r="CB94" s="99"/>
      <c r="CC94" s="99"/>
      <c r="CD94" s="99"/>
      <c r="CE94" s="99"/>
      <c r="CF94" s="99"/>
      <c r="CG94" s="99"/>
      <c r="CH94" s="99"/>
      <c r="CI94" s="99"/>
      <c r="CJ94" s="99"/>
      <c r="CK94" s="99"/>
      <c r="CL94" s="99"/>
      <c r="CM94" s="99"/>
      <c r="CN94" s="99"/>
      <c r="CO94" s="99"/>
      <c r="CP94" s="99"/>
      <c r="CQ94" s="99"/>
      <c r="CR94" s="99"/>
      <c r="CS94" s="99"/>
      <c r="CT94" s="99"/>
      <c r="CU94" s="99"/>
      <c r="CV94" s="99"/>
      <c r="CW94" s="99"/>
      <c r="CX94" s="99"/>
      <c r="CY94" s="99"/>
      <c r="CZ94" s="99"/>
      <c r="DA94" s="99"/>
      <c r="DB94" s="99"/>
      <c r="DC94" s="99"/>
      <c r="DD94" s="99"/>
      <c r="DE94" s="99"/>
      <c r="DF94" s="99"/>
      <c r="DG94" s="99"/>
      <c r="DH94" s="99"/>
      <c r="DI94" s="99"/>
      <c r="DJ94" s="99"/>
      <c r="DK94" s="99"/>
      <c r="DL94" s="99"/>
      <c r="DM94" s="99"/>
      <c r="DN94" s="99"/>
      <c r="DO94" s="99"/>
      <c r="DP94" s="99"/>
      <c r="DQ94" s="99"/>
      <c r="DR94" s="99"/>
      <c r="DS94" s="99"/>
      <c r="DT94" s="99"/>
      <c r="DU94" s="99"/>
      <c r="DV94" s="99"/>
      <c r="DW94" s="99"/>
      <c r="DX94" s="99"/>
      <c r="DY94" s="99"/>
      <c r="DZ94" s="99"/>
      <c r="EA94" s="99"/>
      <c r="EB94" s="99"/>
      <c r="EC94" s="99"/>
      <c r="ED94" s="99"/>
      <c r="EE94" s="99"/>
      <c r="EF94" s="99"/>
      <c r="EG94" s="99"/>
      <c r="EH94" s="100"/>
    </row>
    <row r="95" spans="1:138" ht="23.25" customHeight="1" x14ac:dyDescent="0.25">
      <c r="A95" s="101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102"/>
    </row>
    <row r="96" spans="1:138" ht="23.25" customHeight="1" x14ac:dyDescent="0.25">
      <c r="A96" s="98"/>
      <c r="B96" s="99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  <c r="Z96" s="99"/>
      <c r="AA96" s="99"/>
      <c r="AB96" s="99"/>
      <c r="AC96" s="99"/>
      <c r="AD96" s="99"/>
      <c r="AE96" s="99"/>
      <c r="AF96" s="99"/>
      <c r="AG96" s="99"/>
      <c r="AH96" s="99"/>
      <c r="AI96" s="99"/>
      <c r="AJ96" s="99"/>
      <c r="AK96" s="99"/>
      <c r="AL96" s="99"/>
      <c r="AM96" s="99"/>
      <c r="AN96" s="99"/>
      <c r="AO96" s="99"/>
      <c r="AP96" s="99"/>
      <c r="AQ96" s="99"/>
      <c r="AR96" s="99"/>
      <c r="AS96" s="99"/>
      <c r="AT96" s="99"/>
      <c r="AU96" s="99"/>
      <c r="AV96" s="99"/>
      <c r="AW96" s="99"/>
      <c r="AX96" s="99"/>
      <c r="AY96" s="99"/>
      <c r="AZ96" s="99"/>
      <c r="BA96" s="99"/>
      <c r="BB96" s="99"/>
      <c r="BC96" s="99"/>
      <c r="BD96" s="99"/>
      <c r="BE96" s="99"/>
      <c r="BF96" s="99"/>
      <c r="BG96" s="99"/>
      <c r="BH96" s="99"/>
      <c r="BI96" s="99"/>
      <c r="BJ96" s="99"/>
      <c r="BK96" s="99"/>
      <c r="BL96" s="99"/>
      <c r="BM96" s="99"/>
      <c r="BN96" s="99"/>
      <c r="BO96" s="99"/>
      <c r="BP96" s="99"/>
      <c r="BQ96" s="99"/>
      <c r="BR96" s="99"/>
      <c r="BS96" s="99"/>
      <c r="BT96" s="99"/>
      <c r="BU96" s="99"/>
      <c r="BV96" s="99"/>
      <c r="BW96" s="99"/>
      <c r="BX96" s="99"/>
      <c r="BY96" s="99"/>
      <c r="BZ96" s="99"/>
      <c r="CA96" s="99"/>
      <c r="CB96" s="99"/>
      <c r="CC96" s="99"/>
      <c r="CD96" s="99"/>
      <c r="CE96" s="99"/>
      <c r="CF96" s="99"/>
      <c r="CG96" s="99"/>
      <c r="CH96" s="99"/>
      <c r="CI96" s="99"/>
      <c r="CJ96" s="99"/>
      <c r="CK96" s="99"/>
      <c r="CL96" s="99"/>
      <c r="CM96" s="99"/>
      <c r="CN96" s="99"/>
      <c r="CO96" s="99"/>
      <c r="CP96" s="99"/>
      <c r="CQ96" s="99"/>
      <c r="CR96" s="99"/>
      <c r="CS96" s="99"/>
      <c r="CT96" s="99"/>
      <c r="CU96" s="99"/>
      <c r="CV96" s="99"/>
      <c r="CW96" s="99"/>
      <c r="CX96" s="99"/>
      <c r="CY96" s="99"/>
      <c r="CZ96" s="99"/>
      <c r="DA96" s="99"/>
      <c r="DB96" s="99"/>
      <c r="DC96" s="99"/>
      <c r="DD96" s="99"/>
      <c r="DE96" s="99"/>
      <c r="DF96" s="99"/>
      <c r="DG96" s="99"/>
      <c r="DH96" s="99"/>
      <c r="DI96" s="99"/>
      <c r="DJ96" s="99"/>
      <c r="DK96" s="99"/>
      <c r="DL96" s="99"/>
      <c r="DM96" s="99"/>
      <c r="DN96" s="99"/>
      <c r="DO96" s="99"/>
      <c r="DP96" s="99"/>
      <c r="DQ96" s="99"/>
      <c r="DR96" s="99"/>
      <c r="DS96" s="99"/>
      <c r="DT96" s="99"/>
      <c r="DU96" s="99"/>
      <c r="DV96" s="99"/>
      <c r="DW96" s="99"/>
      <c r="DX96" s="99"/>
      <c r="DY96" s="99"/>
      <c r="DZ96" s="99"/>
      <c r="EA96" s="99"/>
      <c r="EB96" s="99"/>
      <c r="EC96" s="99"/>
      <c r="ED96" s="99"/>
      <c r="EE96" s="99"/>
      <c r="EF96" s="99"/>
      <c r="EG96" s="99"/>
      <c r="EH96" s="100"/>
    </row>
    <row r="97" spans="1:138" ht="23.25" customHeight="1" x14ac:dyDescent="0.25">
      <c r="A97" s="101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90"/>
      <c r="DH97" s="90"/>
      <c r="DI97" s="90"/>
      <c r="DJ97" s="90"/>
      <c r="DK97" s="90"/>
      <c r="DL97" s="90"/>
      <c r="DM97" s="90"/>
      <c r="DN97" s="90"/>
      <c r="DO97" s="90"/>
      <c r="DP97" s="90"/>
      <c r="DQ97" s="90"/>
      <c r="DR97" s="90"/>
      <c r="DS97" s="90"/>
      <c r="DT97" s="90"/>
      <c r="DU97" s="90"/>
      <c r="DV97" s="90"/>
      <c r="DW97" s="90"/>
      <c r="DX97" s="90"/>
      <c r="DY97" s="90"/>
      <c r="DZ97" s="90"/>
      <c r="EA97" s="90"/>
      <c r="EB97" s="90"/>
      <c r="EC97" s="90"/>
      <c r="ED97" s="90"/>
      <c r="EE97" s="90"/>
      <c r="EF97" s="90"/>
      <c r="EG97" s="90"/>
      <c r="EH97" s="102"/>
    </row>
    <row r="98" spans="1:138" ht="23.25" customHeight="1" x14ac:dyDescent="0.25">
      <c r="A98" s="98"/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  <c r="Z98" s="99"/>
      <c r="AA98" s="99"/>
      <c r="AB98" s="99"/>
      <c r="AC98" s="99"/>
      <c r="AD98" s="99"/>
      <c r="AE98" s="99"/>
      <c r="AF98" s="99"/>
      <c r="AG98" s="99"/>
      <c r="AH98" s="99"/>
      <c r="AI98" s="99"/>
      <c r="AJ98" s="99"/>
      <c r="AK98" s="99"/>
      <c r="AL98" s="99"/>
      <c r="AM98" s="99"/>
      <c r="AN98" s="99"/>
      <c r="AO98" s="99"/>
      <c r="AP98" s="99"/>
      <c r="AQ98" s="99"/>
      <c r="AR98" s="99"/>
      <c r="AS98" s="99"/>
      <c r="AT98" s="99"/>
      <c r="AU98" s="99"/>
      <c r="AV98" s="99"/>
      <c r="AW98" s="99"/>
      <c r="AX98" s="99"/>
      <c r="AY98" s="99"/>
      <c r="AZ98" s="99"/>
      <c r="BA98" s="99"/>
      <c r="BB98" s="99"/>
      <c r="BC98" s="99"/>
      <c r="BD98" s="99"/>
      <c r="BE98" s="99"/>
      <c r="BF98" s="99"/>
      <c r="BG98" s="99"/>
      <c r="BH98" s="99"/>
      <c r="BI98" s="99"/>
      <c r="BJ98" s="99"/>
      <c r="BK98" s="99"/>
      <c r="BL98" s="99"/>
      <c r="BM98" s="99"/>
      <c r="BN98" s="99"/>
      <c r="BO98" s="99"/>
      <c r="BP98" s="99"/>
      <c r="BQ98" s="99"/>
      <c r="BR98" s="99"/>
      <c r="BS98" s="99"/>
      <c r="BT98" s="99"/>
      <c r="BU98" s="99"/>
      <c r="BV98" s="99"/>
      <c r="BW98" s="99"/>
      <c r="BX98" s="99"/>
      <c r="BY98" s="99"/>
      <c r="BZ98" s="99"/>
      <c r="CA98" s="99"/>
      <c r="CB98" s="99"/>
      <c r="CC98" s="99"/>
      <c r="CD98" s="99"/>
      <c r="CE98" s="99"/>
      <c r="CF98" s="99"/>
      <c r="CG98" s="99"/>
      <c r="CH98" s="99"/>
      <c r="CI98" s="99"/>
      <c r="CJ98" s="99"/>
      <c r="CK98" s="99"/>
      <c r="CL98" s="99"/>
      <c r="CM98" s="99"/>
      <c r="CN98" s="99"/>
      <c r="CO98" s="99"/>
      <c r="CP98" s="99"/>
      <c r="CQ98" s="99"/>
      <c r="CR98" s="99"/>
      <c r="CS98" s="99"/>
      <c r="CT98" s="99"/>
      <c r="CU98" s="99"/>
      <c r="CV98" s="99"/>
      <c r="CW98" s="99"/>
      <c r="CX98" s="99"/>
      <c r="CY98" s="99"/>
      <c r="CZ98" s="99"/>
      <c r="DA98" s="99"/>
      <c r="DB98" s="99"/>
      <c r="DC98" s="99"/>
      <c r="DD98" s="99"/>
      <c r="DE98" s="99"/>
      <c r="DF98" s="99"/>
      <c r="DG98" s="99"/>
      <c r="DH98" s="99"/>
      <c r="DI98" s="99"/>
      <c r="DJ98" s="99"/>
      <c r="DK98" s="99"/>
      <c r="DL98" s="99"/>
      <c r="DM98" s="99"/>
      <c r="DN98" s="99"/>
      <c r="DO98" s="99"/>
      <c r="DP98" s="99"/>
      <c r="DQ98" s="99"/>
      <c r="DR98" s="99"/>
      <c r="DS98" s="99"/>
      <c r="DT98" s="99"/>
      <c r="DU98" s="99"/>
      <c r="DV98" s="99"/>
      <c r="DW98" s="99"/>
      <c r="DX98" s="99"/>
      <c r="DY98" s="99"/>
      <c r="DZ98" s="99"/>
      <c r="EA98" s="99"/>
      <c r="EB98" s="99"/>
      <c r="EC98" s="99"/>
      <c r="ED98" s="99"/>
      <c r="EE98" s="99"/>
      <c r="EF98" s="99"/>
      <c r="EG98" s="99"/>
      <c r="EH98" s="100"/>
    </row>
    <row r="99" spans="1:138" ht="23.25" customHeight="1" x14ac:dyDescent="0.25">
      <c r="A99" s="101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90"/>
      <c r="DH99" s="90"/>
      <c r="DI99" s="90"/>
      <c r="DJ99" s="90"/>
      <c r="DK99" s="90"/>
      <c r="DL99" s="90"/>
      <c r="DM99" s="90"/>
      <c r="DN99" s="90"/>
      <c r="DO99" s="90"/>
      <c r="DP99" s="90"/>
      <c r="DQ99" s="90"/>
      <c r="DR99" s="90"/>
      <c r="DS99" s="90"/>
      <c r="DT99" s="90"/>
      <c r="DU99" s="90"/>
      <c r="DV99" s="90"/>
      <c r="DW99" s="90"/>
      <c r="DX99" s="90"/>
      <c r="DY99" s="90"/>
      <c r="DZ99" s="90"/>
      <c r="EA99" s="90"/>
      <c r="EB99" s="90"/>
      <c r="EC99" s="90"/>
      <c r="ED99" s="90"/>
      <c r="EE99" s="90"/>
      <c r="EF99" s="90"/>
      <c r="EG99" s="90"/>
      <c r="EH99" s="102"/>
    </row>
    <row r="100" spans="1:138" ht="23.25" customHeight="1" x14ac:dyDescent="0.25">
      <c r="A100" s="98"/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  <c r="Y100" s="99"/>
      <c r="Z100" s="99"/>
      <c r="AA100" s="99"/>
      <c r="AB100" s="99"/>
      <c r="AC100" s="99"/>
      <c r="AD100" s="99"/>
      <c r="AE100" s="99"/>
      <c r="AF100" s="99"/>
      <c r="AG100" s="99"/>
      <c r="AH100" s="99"/>
      <c r="AI100" s="99"/>
      <c r="AJ100" s="99"/>
      <c r="AK100" s="99"/>
      <c r="AL100" s="99"/>
      <c r="AM100" s="99"/>
      <c r="AN100" s="99"/>
      <c r="AO100" s="99"/>
      <c r="AP100" s="99"/>
      <c r="AQ100" s="99"/>
      <c r="AR100" s="99"/>
      <c r="AS100" s="99"/>
      <c r="AT100" s="99"/>
      <c r="AU100" s="99"/>
      <c r="AV100" s="99"/>
      <c r="AW100" s="99"/>
      <c r="AX100" s="99"/>
      <c r="AY100" s="99"/>
      <c r="AZ100" s="99"/>
      <c r="BA100" s="99"/>
      <c r="BB100" s="99"/>
      <c r="BC100" s="99"/>
      <c r="BD100" s="99"/>
      <c r="BE100" s="99"/>
      <c r="BF100" s="99"/>
      <c r="BG100" s="99"/>
      <c r="BH100" s="99"/>
      <c r="BI100" s="99"/>
      <c r="BJ100" s="99"/>
      <c r="BK100" s="99"/>
      <c r="BL100" s="99"/>
      <c r="BM100" s="99"/>
      <c r="BN100" s="99"/>
      <c r="BO100" s="99"/>
      <c r="BP100" s="99"/>
      <c r="BQ100" s="99"/>
      <c r="BR100" s="99"/>
      <c r="BS100" s="99"/>
      <c r="BT100" s="99"/>
      <c r="BU100" s="99"/>
      <c r="BV100" s="99"/>
      <c r="BW100" s="99"/>
      <c r="BX100" s="99"/>
      <c r="BY100" s="99"/>
      <c r="BZ100" s="99"/>
      <c r="CA100" s="99"/>
      <c r="CB100" s="99"/>
      <c r="CC100" s="99"/>
      <c r="CD100" s="99"/>
      <c r="CE100" s="99"/>
      <c r="CF100" s="99"/>
      <c r="CG100" s="99"/>
      <c r="CH100" s="99"/>
      <c r="CI100" s="99"/>
      <c r="CJ100" s="99"/>
      <c r="CK100" s="99"/>
      <c r="CL100" s="99"/>
      <c r="CM100" s="99"/>
      <c r="CN100" s="99"/>
      <c r="CO100" s="99"/>
      <c r="CP100" s="99"/>
      <c r="CQ100" s="99"/>
      <c r="CR100" s="99"/>
      <c r="CS100" s="99"/>
      <c r="CT100" s="99"/>
      <c r="CU100" s="99"/>
      <c r="CV100" s="99"/>
      <c r="CW100" s="99"/>
      <c r="CX100" s="99"/>
      <c r="CY100" s="99"/>
      <c r="CZ100" s="99"/>
      <c r="DA100" s="99"/>
      <c r="DB100" s="99"/>
      <c r="DC100" s="99"/>
      <c r="DD100" s="99"/>
      <c r="DE100" s="99"/>
      <c r="DF100" s="99"/>
      <c r="DG100" s="99"/>
      <c r="DH100" s="99"/>
      <c r="DI100" s="99"/>
      <c r="DJ100" s="99"/>
      <c r="DK100" s="99"/>
      <c r="DL100" s="99"/>
      <c r="DM100" s="99"/>
      <c r="DN100" s="99"/>
      <c r="DO100" s="99"/>
      <c r="DP100" s="99"/>
      <c r="DQ100" s="99"/>
      <c r="DR100" s="99"/>
      <c r="DS100" s="99"/>
      <c r="DT100" s="99"/>
      <c r="DU100" s="99"/>
      <c r="DV100" s="99"/>
      <c r="DW100" s="99"/>
      <c r="DX100" s="99"/>
      <c r="DY100" s="99"/>
      <c r="DZ100" s="99"/>
      <c r="EA100" s="99"/>
      <c r="EB100" s="99"/>
      <c r="EC100" s="99"/>
      <c r="ED100" s="99"/>
      <c r="EE100" s="99"/>
      <c r="EF100" s="99"/>
      <c r="EG100" s="99"/>
      <c r="EH100" s="100"/>
    </row>
    <row r="101" spans="1:138" ht="23.25" customHeight="1" x14ac:dyDescent="0.25">
      <c r="A101" s="101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90"/>
      <c r="DH101" s="90"/>
      <c r="DI101" s="90"/>
      <c r="DJ101" s="90"/>
      <c r="DK101" s="90"/>
      <c r="DL101" s="90"/>
      <c r="DM101" s="90"/>
      <c r="DN101" s="90"/>
      <c r="DO101" s="90"/>
      <c r="DP101" s="90"/>
      <c r="DQ101" s="90"/>
      <c r="DR101" s="90"/>
      <c r="DS101" s="90"/>
      <c r="DT101" s="90"/>
      <c r="DU101" s="90"/>
      <c r="DV101" s="90"/>
      <c r="DW101" s="90"/>
      <c r="DX101" s="90"/>
      <c r="DY101" s="90"/>
      <c r="DZ101" s="90"/>
      <c r="EA101" s="90"/>
      <c r="EB101" s="90"/>
      <c r="EC101" s="90"/>
      <c r="ED101" s="90"/>
      <c r="EE101" s="90"/>
      <c r="EF101" s="90"/>
      <c r="EG101" s="90"/>
      <c r="EH101" s="102"/>
    </row>
    <row r="102" spans="1:138" ht="23.25" customHeight="1" x14ac:dyDescent="0.25">
      <c r="A102" s="98"/>
      <c r="B102" s="99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  <c r="Z102" s="99"/>
      <c r="AA102" s="99"/>
      <c r="AB102" s="99"/>
      <c r="AC102" s="99"/>
      <c r="AD102" s="99"/>
      <c r="AE102" s="99"/>
      <c r="AF102" s="99"/>
      <c r="AG102" s="99"/>
      <c r="AH102" s="99"/>
      <c r="AI102" s="99"/>
      <c r="AJ102" s="99"/>
      <c r="AK102" s="99"/>
      <c r="AL102" s="99"/>
      <c r="AM102" s="99"/>
      <c r="AN102" s="99"/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99"/>
      <c r="BD102" s="99"/>
      <c r="BE102" s="99"/>
      <c r="BF102" s="99"/>
      <c r="BG102" s="99"/>
      <c r="BH102" s="99"/>
      <c r="BI102" s="99"/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9"/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99"/>
      <c r="CJ102" s="99"/>
      <c r="CK102" s="99"/>
      <c r="CL102" s="99"/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99"/>
      <c r="DB102" s="99"/>
      <c r="DC102" s="99"/>
      <c r="DD102" s="99"/>
      <c r="DE102" s="99"/>
      <c r="DF102" s="99"/>
      <c r="DG102" s="99"/>
      <c r="DH102" s="99"/>
      <c r="DI102" s="99"/>
      <c r="DJ102" s="99"/>
      <c r="DK102" s="99"/>
      <c r="DL102" s="99"/>
      <c r="DM102" s="99"/>
      <c r="DN102" s="99"/>
      <c r="DO102" s="99"/>
      <c r="DP102" s="99"/>
      <c r="DQ102" s="99"/>
      <c r="DR102" s="99"/>
      <c r="DS102" s="99"/>
      <c r="DT102" s="99"/>
      <c r="DU102" s="99"/>
      <c r="DV102" s="99"/>
      <c r="DW102" s="99"/>
      <c r="DX102" s="99"/>
      <c r="DY102" s="99"/>
      <c r="DZ102" s="99"/>
      <c r="EA102" s="99"/>
      <c r="EB102" s="99"/>
      <c r="EC102" s="99"/>
      <c r="ED102" s="99"/>
      <c r="EE102" s="99"/>
      <c r="EF102" s="99"/>
      <c r="EG102" s="99"/>
      <c r="EH102" s="100"/>
    </row>
    <row r="103" spans="1:138" ht="23.25" customHeight="1" x14ac:dyDescent="0.25">
      <c r="A103" s="101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90"/>
      <c r="DH103" s="90"/>
      <c r="DI103" s="90"/>
      <c r="DJ103" s="90"/>
      <c r="DK103" s="90"/>
      <c r="DL103" s="90"/>
      <c r="DM103" s="90"/>
      <c r="DN103" s="90"/>
      <c r="DO103" s="90"/>
      <c r="DP103" s="90"/>
      <c r="DQ103" s="90"/>
      <c r="DR103" s="90"/>
      <c r="DS103" s="90"/>
      <c r="DT103" s="90"/>
      <c r="DU103" s="90"/>
      <c r="DV103" s="90"/>
      <c r="DW103" s="90"/>
      <c r="DX103" s="90"/>
      <c r="DY103" s="90"/>
      <c r="DZ103" s="90"/>
      <c r="EA103" s="90"/>
      <c r="EB103" s="90"/>
      <c r="EC103" s="90"/>
      <c r="ED103" s="90"/>
      <c r="EE103" s="90"/>
      <c r="EF103" s="90"/>
      <c r="EG103" s="90"/>
      <c r="EH103" s="102"/>
    </row>
    <row r="104" spans="1:138" ht="23.25" customHeight="1" x14ac:dyDescent="0.25">
      <c r="A104" s="98"/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  <c r="CG104" s="99"/>
      <c r="CH104" s="99"/>
      <c r="CI104" s="99"/>
      <c r="CJ104" s="99"/>
      <c r="CK104" s="99"/>
      <c r="CL104" s="99"/>
      <c r="CM104" s="99"/>
      <c r="CN104" s="99"/>
      <c r="CO104" s="99"/>
      <c r="CP104" s="99"/>
      <c r="CQ104" s="99"/>
      <c r="CR104" s="99"/>
      <c r="CS104" s="99"/>
      <c r="CT104" s="99"/>
      <c r="CU104" s="99"/>
      <c r="CV104" s="99"/>
      <c r="CW104" s="99"/>
      <c r="CX104" s="99"/>
      <c r="CY104" s="99"/>
      <c r="CZ104" s="99"/>
      <c r="DA104" s="99"/>
      <c r="DB104" s="99"/>
      <c r="DC104" s="99"/>
      <c r="DD104" s="99"/>
      <c r="DE104" s="99"/>
      <c r="DF104" s="99"/>
      <c r="DG104" s="99"/>
      <c r="DH104" s="99"/>
      <c r="DI104" s="99"/>
      <c r="DJ104" s="99"/>
      <c r="DK104" s="99"/>
      <c r="DL104" s="99"/>
      <c r="DM104" s="99"/>
      <c r="DN104" s="99"/>
      <c r="DO104" s="99"/>
      <c r="DP104" s="99"/>
      <c r="DQ104" s="99"/>
      <c r="DR104" s="99"/>
      <c r="DS104" s="99"/>
      <c r="DT104" s="99"/>
      <c r="DU104" s="99"/>
      <c r="DV104" s="99"/>
      <c r="DW104" s="99"/>
      <c r="DX104" s="99"/>
      <c r="DY104" s="99"/>
      <c r="DZ104" s="99"/>
      <c r="EA104" s="99"/>
      <c r="EB104" s="99"/>
      <c r="EC104" s="99"/>
      <c r="ED104" s="99"/>
      <c r="EE104" s="99"/>
      <c r="EF104" s="99"/>
      <c r="EG104" s="99"/>
      <c r="EH104" s="100"/>
    </row>
    <row r="105" spans="1:138" ht="23.25" customHeight="1" x14ac:dyDescent="0.25">
      <c r="A105" s="101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90"/>
      <c r="DH105" s="90"/>
      <c r="DI105" s="90"/>
      <c r="DJ105" s="90"/>
      <c r="DK105" s="90"/>
      <c r="DL105" s="90"/>
      <c r="DM105" s="90"/>
      <c r="DN105" s="90"/>
      <c r="DO105" s="90"/>
      <c r="DP105" s="90"/>
      <c r="DQ105" s="90"/>
      <c r="DR105" s="90"/>
      <c r="DS105" s="90"/>
      <c r="DT105" s="90"/>
      <c r="DU105" s="90"/>
      <c r="DV105" s="90"/>
      <c r="DW105" s="90"/>
      <c r="DX105" s="90"/>
      <c r="DY105" s="90"/>
      <c r="DZ105" s="90"/>
      <c r="EA105" s="90"/>
      <c r="EB105" s="90"/>
      <c r="EC105" s="90"/>
      <c r="ED105" s="90"/>
      <c r="EE105" s="90"/>
      <c r="EF105" s="90"/>
      <c r="EG105" s="90"/>
      <c r="EH105" s="102"/>
    </row>
    <row r="106" spans="1:138" ht="23.25" customHeight="1" x14ac:dyDescent="0.25">
      <c r="A106" s="98"/>
      <c r="B106" s="99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  <c r="CG106" s="99"/>
      <c r="CH106" s="99"/>
      <c r="CI106" s="99"/>
      <c r="CJ106" s="99"/>
      <c r="CK106" s="99"/>
      <c r="CL106" s="99"/>
      <c r="CM106" s="99"/>
      <c r="CN106" s="99"/>
      <c r="CO106" s="99"/>
      <c r="CP106" s="99"/>
      <c r="CQ106" s="99"/>
      <c r="CR106" s="99"/>
      <c r="CS106" s="99"/>
      <c r="CT106" s="99"/>
      <c r="CU106" s="99"/>
      <c r="CV106" s="99"/>
      <c r="CW106" s="99"/>
      <c r="CX106" s="99"/>
      <c r="CY106" s="99"/>
      <c r="CZ106" s="99"/>
      <c r="DA106" s="99"/>
      <c r="DB106" s="99"/>
      <c r="DC106" s="99"/>
      <c r="DD106" s="99"/>
      <c r="DE106" s="99"/>
      <c r="DF106" s="99"/>
      <c r="DG106" s="99"/>
      <c r="DH106" s="99"/>
      <c r="DI106" s="99"/>
      <c r="DJ106" s="99"/>
      <c r="DK106" s="99"/>
      <c r="DL106" s="99"/>
      <c r="DM106" s="99"/>
      <c r="DN106" s="99"/>
      <c r="DO106" s="99"/>
      <c r="DP106" s="99"/>
      <c r="DQ106" s="99"/>
      <c r="DR106" s="99"/>
      <c r="DS106" s="99"/>
      <c r="DT106" s="99"/>
      <c r="DU106" s="99"/>
      <c r="DV106" s="99"/>
      <c r="DW106" s="99"/>
      <c r="DX106" s="99"/>
      <c r="DY106" s="99"/>
      <c r="DZ106" s="99"/>
      <c r="EA106" s="99"/>
      <c r="EB106" s="99"/>
      <c r="EC106" s="99"/>
      <c r="ED106" s="99"/>
      <c r="EE106" s="99"/>
      <c r="EF106" s="99"/>
      <c r="EG106" s="99"/>
      <c r="EH106" s="100"/>
    </row>
    <row r="107" spans="1:138" ht="23.25" customHeight="1" x14ac:dyDescent="0.25">
      <c r="A107" s="101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90"/>
      <c r="DH107" s="90"/>
      <c r="DI107" s="90"/>
      <c r="DJ107" s="90"/>
      <c r="DK107" s="90"/>
      <c r="DL107" s="90"/>
      <c r="DM107" s="90"/>
      <c r="DN107" s="90"/>
      <c r="DO107" s="90"/>
      <c r="DP107" s="90"/>
      <c r="DQ107" s="90"/>
      <c r="DR107" s="90"/>
      <c r="DS107" s="90"/>
      <c r="DT107" s="90"/>
      <c r="DU107" s="90"/>
      <c r="DV107" s="90"/>
      <c r="DW107" s="90"/>
      <c r="DX107" s="90"/>
      <c r="DY107" s="90"/>
      <c r="DZ107" s="90"/>
      <c r="EA107" s="90"/>
      <c r="EB107" s="90"/>
      <c r="EC107" s="90"/>
      <c r="ED107" s="90"/>
      <c r="EE107" s="90"/>
      <c r="EF107" s="90"/>
      <c r="EG107" s="90"/>
      <c r="EH107" s="102"/>
    </row>
    <row r="108" spans="1:138" ht="23.25" customHeight="1" x14ac:dyDescent="0.25">
      <c r="A108" s="98"/>
      <c r="B108" s="99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  <c r="CG108" s="99"/>
      <c r="CH108" s="99"/>
      <c r="CI108" s="99"/>
      <c r="CJ108" s="99"/>
      <c r="CK108" s="99"/>
      <c r="CL108" s="99"/>
      <c r="CM108" s="99"/>
      <c r="CN108" s="99"/>
      <c r="CO108" s="99"/>
      <c r="CP108" s="99"/>
      <c r="CQ108" s="99"/>
      <c r="CR108" s="99"/>
      <c r="CS108" s="99"/>
      <c r="CT108" s="99"/>
      <c r="CU108" s="99"/>
      <c r="CV108" s="99"/>
      <c r="CW108" s="99"/>
      <c r="CX108" s="99"/>
      <c r="CY108" s="99"/>
      <c r="CZ108" s="99"/>
      <c r="DA108" s="99"/>
      <c r="DB108" s="99"/>
      <c r="DC108" s="99"/>
      <c r="DD108" s="99"/>
      <c r="DE108" s="99"/>
      <c r="DF108" s="99"/>
      <c r="DG108" s="99"/>
      <c r="DH108" s="99"/>
      <c r="DI108" s="99"/>
      <c r="DJ108" s="99"/>
      <c r="DK108" s="99"/>
      <c r="DL108" s="99"/>
      <c r="DM108" s="99"/>
      <c r="DN108" s="99"/>
      <c r="DO108" s="99"/>
      <c r="DP108" s="99"/>
      <c r="DQ108" s="99"/>
      <c r="DR108" s="99"/>
      <c r="DS108" s="99"/>
      <c r="DT108" s="99"/>
      <c r="DU108" s="99"/>
      <c r="DV108" s="99"/>
      <c r="DW108" s="99"/>
      <c r="DX108" s="99"/>
      <c r="DY108" s="99"/>
      <c r="DZ108" s="99"/>
      <c r="EA108" s="99"/>
      <c r="EB108" s="99"/>
      <c r="EC108" s="99"/>
      <c r="ED108" s="99"/>
      <c r="EE108" s="99"/>
      <c r="EF108" s="99"/>
      <c r="EG108" s="99"/>
      <c r="EH108" s="100"/>
    </row>
    <row r="109" spans="1:138" ht="23.25" customHeight="1" x14ac:dyDescent="0.25">
      <c r="A109" s="101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90"/>
      <c r="DH109" s="90"/>
      <c r="DI109" s="90"/>
      <c r="DJ109" s="90"/>
      <c r="DK109" s="90"/>
      <c r="DL109" s="90"/>
      <c r="DM109" s="90"/>
      <c r="DN109" s="90"/>
      <c r="DO109" s="90"/>
      <c r="DP109" s="90"/>
      <c r="DQ109" s="90"/>
      <c r="DR109" s="90"/>
      <c r="DS109" s="90"/>
      <c r="DT109" s="90"/>
      <c r="DU109" s="90"/>
      <c r="DV109" s="90"/>
      <c r="DW109" s="90"/>
      <c r="DX109" s="90"/>
      <c r="DY109" s="90"/>
      <c r="DZ109" s="90"/>
      <c r="EA109" s="90"/>
      <c r="EB109" s="90"/>
      <c r="EC109" s="90"/>
      <c r="ED109" s="90"/>
      <c r="EE109" s="90"/>
      <c r="EF109" s="90"/>
      <c r="EG109" s="90"/>
      <c r="EH109" s="102"/>
    </row>
    <row r="110" spans="1:138" ht="23.25" customHeight="1" x14ac:dyDescent="0.25">
      <c r="A110" s="98"/>
      <c r="B110" s="99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  <c r="Z110" s="99"/>
      <c r="AA110" s="99"/>
      <c r="AB110" s="99"/>
      <c r="AC110" s="99"/>
      <c r="AD110" s="99"/>
      <c r="AE110" s="99"/>
      <c r="AF110" s="99"/>
      <c r="AG110" s="99"/>
      <c r="AH110" s="99"/>
      <c r="AI110" s="99"/>
      <c r="AJ110" s="99"/>
      <c r="AK110" s="99"/>
      <c r="AL110" s="99"/>
      <c r="AM110" s="99"/>
      <c r="AN110" s="99"/>
      <c r="AO110" s="99"/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99"/>
      <c r="BD110" s="99"/>
      <c r="BE110" s="99"/>
      <c r="BF110" s="99"/>
      <c r="BG110" s="99"/>
      <c r="BH110" s="99"/>
      <c r="BI110" s="99"/>
      <c r="BJ110" s="99"/>
      <c r="BK110" s="99"/>
      <c r="BL110" s="99"/>
      <c r="BM110" s="99"/>
      <c r="BN110" s="99"/>
      <c r="BO110" s="99"/>
      <c r="BP110" s="99"/>
      <c r="BQ110" s="99"/>
      <c r="BR110" s="99"/>
      <c r="BS110" s="99"/>
      <c r="BT110" s="99"/>
      <c r="BU110" s="99"/>
      <c r="BV110" s="99"/>
      <c r="BW110" s="99"/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/>
      <c r="CI110" s="99"/>
      <c r="CJ110" s="99"/>
      <c r="CK110" s="99"/>
      <c r="CL110" s="99"/>
      <c r="CM110" s="99"/>
      <c r="CN110" s="99"/>
      <c r="CO110" s="99"/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99"/>
      <c r="DB110" s="99"/>
      <c r="DC110" s="99"/>
      <c r="DD110" s="99"/>
      <c r="DE110" s="99"/>
      <c r="DF110" s="99"/>
      <c r="DG110" s="99"/>
      <c r="DH110" s="99"/>
      <c r="DI110" s="99"/>
      <c r="DJ110" s="99"/>
      <c r="DK110" s="99"/>
      <c r="DL110" s="99"/>
      <c r="DM110" s="99"/>
      <c r="DN110" s="99"/>
      <c r="DO110" s="99"/>
      <c r="DP110" s="99"/>
      <c r="DQ110" s="99"/>
      <c r="DR110" s="99"/>
      <c r="DS110" s="99"/>
      <c r="DT110" s="99"/>
      <c r="DU110" s="99"/>
      <c r="DV110" s="99"/>
      <c r="DW110" s="99"/>
      <c r="DX110" s="99"/>
      <c r="DY110" s="99"/>
      <c r="DZ110" s="99"/>
      <c r="EA110" s="99"/>
      <c r="EB110" s="99"/>
      <c r="EC110" s="99"/>
      <c r="ED110" s="99"/>
      <c r="EE110" s="99"/>
      <c r="EF110" s="99"/>
      <c r="EG110" s="99"/>
      <c r="EH110" s="100"/>
    </row>
    <row r="111" spans="1:138" ht="23.25" customHeight="1" x14ac:dyDescent="0.25">
      <c r="A111" s="101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90"/>
      <c r="DH111" s="90"/>
      <c r="DI111" s="90"/>
      <c r="DJ111" s="90"/>
      <c r="DK111" s="90"/>
      <c r="DL111" s="90"/>
      <c r="DM111" s="90"/>
      <c r="DN111" s="90"/>
      <c r="DO111" s="90"/>
      <c r="DP111" s="90"/>
      <c r="DQ111" s="90"/>
      <c r="DR111" s="90"/>
      <c r="DS111" s="90"/>
      <c r="DT111" s="90"/>
      <c r="DU111" s="90"/>
      <c r="DV111" s="90"/>
      <c r="DW111" s="90"/>
      <c r="DX111" s="90"/>
      <c r="DY111" s="90"/>
      <c r="DZ111" s="90"/>
      <c r="EA111" s="90"/>
      <c r="EB111" s="90"/>
      <c r="EC111" s="90"/>
      <c r="ED111" s="90"/>
      <c r="EE111" s="90"/>
      <c r="EF111" s="90"/>
      <c r="EG111" s="90"/>
      <c r="EH111" s="102"/>
    </row>
    <row r="112" spans="1:138" ht="23.25" customHeight="1" x14ac:dyDescent="0.25">
      <c r="A112" s="98"/>
      <c r="B112" s="99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  <c r="Y112" s="99"/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100"/>
    </row>
    <row r="113" spans="1:138" ht="23.25" customHeight="1" x14ac:dyDescent="0.25">
      <c r="A113" s="101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90"/>
      <c r="DH113" s="90"/>
      <c r="DI113" s="90"/>
      <c r="DJ113" s="90"/>
      <c r="DK113" s="90"/>
      <c r="DL113" s="90"/>
      <c r="DM113" s="90"/>
      <c r="DN113" s="90"/>
      <c r="DO113" s="90"/>
      <c r="DP113" s="90"/>
      <c r="DQ113" s="90"/>
      <c r="DR113" s="90"/>
      <c r="DS113" s="90"/>
      <c r="DT113" s="90"/>
      <c r="DU113" s="90"/>
      <c r="DV113" s="90"/>
      <c r="DW113" s="90"/>
      <c r="DX113" s="90"/>
      <c r="DY113" s="90"/>
      <c r="DZ113" s="90"/>
      <c r="EA113" s="90"/>
      <c r="EB113" s="90"/>
      <c r="EC113" s="90"/>
      <c r="ED113" s="90"/>
      <c r="EE113" s="90"/>
      <c r="EF113" s="90"/>
      <c r="EG113" s="90"/>
      <c r="EH113" s="102"/>
    </row>
    <row r="114" spans="1:138" ht="23.25" customHeight="1" x14ac:dyDescent="0.25">
      <c r="A114" s="98"/>
      <c r="B114" s="99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  <c r="Z114" s="99"/>
      <c r="AA114" s="99"/>
      <c r="AB114" s="99"/>
      <c r="AC114" s="99"/>
      <c r="AD114" s="99"/>
      <c r="AE114" s="99"/>
      <c r="AF114" s="99"/>
      <c r="AG114" s="99"/>
      <c r="AH114" s="99"/>
      <c r="AI114" s="99"/>
      <c r="AJ114" s="99"/>
      <c r="AK114" s="99"/>
      <c r="AL114" s="99"/>
      <c r="AM114" s="99"/>
      <c r="AN114" s="99"/>
      <c r="AO114" s="99"/>
      <c r="AP114" s="99"/>
      <c r="AQ114" s="99"/>
      <c r="AR114" s="99"/>
      <c r="AS114" s="99"/>
      <c r="AT114" s="99"/>
      <c r="AU114" s="99"/>
      <c r="AV114" s="99"/>
      <c r="AW114" s="99"/>
      <c r="AX114" s="99"/>
      <c r="AY114" s="99"/>
      <c r="AZ114" s="99"/>
      <c r="BA114" s="99"/>
      <c r="BB114" s="99"/>
      <c r="BC114" s="99"/>
      <c r="BD114" s="99"/>
      <c r="BE114" s="99"/>
      <c r="BF114" s="99"/>
      <c r="BG114" s="99"/>
      <c r="BH114" s="99"/>
      <c r="BI114" s="99"/>
      <c r="BJ114" s="99"/>
      <c r="BK114" s="99"/>
      <c r="BL114" s="99"/>
      <c r="BM114" s="99"/>
      <c r="BN114" s="99"/>
      <c r="BO114" s="99"/>
      <c r="BP114" s="99"/>
      <c r="BQ114" s="99"/>
      <c r="BR114" s="99"/>
      <c r="BS114" s="99"/>
      <c r="BT114" s="99"/>
      <c r="BU114" s="99"/>
      <c r="BV114" s="99"/>
      <c r="BW114" s="99"/>
      <c r="BX114" s="99"/>
      <c r="BY114" s="99"/>
      <c r="BZ114" s="99"/>
      <c r="CA114" s="99"/>
      <c r="CB114" s="99"/>
      <c r="CC114" s="99"/>
      <c r="CD114" s="99"/>
      <c r="CE114" s="99"/>
      <c r="CF114" s="99"/>
      <c r="CG114" s="99"/>
      <c r="CH114" s="99"/>
      <c r="CI114" s="99"/>
      <c r="CJ114" s="99"/>
      <c r="CK114" s="99"/>
      <c r="CL114" s="99"/>
      <c r="CM114" s="99"/>
      <c r="CN114" s="99"/>
      <c r="CO114" s="99"/>
      <c r="CP114" s="99"/>
      <c r="CQ114" s="99"/>
      <c r="CR114" s="99"/>
      <c r="CS114" s="99"/>
      <c r="CT114" s="99"/>
      <c r="CU114" s="99"/>
      <c r="CV114" s="99"/>
      <c r="CW114" s="99"/>
      <c r="CX114" s="99"/>
      <c r="CY114" s="99"/>
      <c r="CZ114" s="99"/>
      <c r="DA114" s="99"/>
      <c r="DB114" s="99"/>
      <c r="DC114" s="99"/>
      <c r="DD114" s="99"/>
      <c r="DE114" s="99"/>
      <c r="DF114" s="99"/>
      <c r="DG114" s="99"/>
      <c r="DH114" s="99"/>
      <c r="DI114" s="99"/>
      <c r="DJ114" s="99"/>
      <c r="DK114" s="99"/>
      <c r="DL114" s="99"/>
      <c r="DM114" s="99"/>
      <c r="DN114" s="99"/>
      <c r="DO114" s="99"/>
      <c r="DP114" s="99"/>
      <c r="DQ114" s="99"/>
      <c r="DR114" s="99"/>
      <c r="DS114" s="99"/>
      <c r="DT114" s="99"/>
      <c r="DU114" s="99"/>
      <c r="DV114" s="99"/>
      <c r="DW114" s="99"/>
      <c r="DX114" s="99"/>
      <c r="DY114" s="99"/>
      <c r="DZ114" s="99"/>
      <c r="EA114" s="99"/>
      <c r="EB114" s="99"/>
      <c r="EC114" s="99"/>
      <c r="ED114" s="99"/>
      <c r="EE114" s="99"/>
      <c r="EF114" s="99"/>
      <c r="EG114" s="99"/>
      <c r="EH114" s="100"/>
    </row>
    <row r="115" spans="1:138" ht="23.25" customHeight="1" x14ac:dyDescent="0.25">
      <c r="A115" s="101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90"/>
      <c r="DH115" s="90"/>
      <c r="DI115" s="90"/>
      <c r="DJ115" s="90"/>
      <c r="DK115" s="90"/>
      <c r="DL115" s="90"/>
      <c r="DM115" s="90"/>
      <c r="DN115" s="90"/>
      <c r="DO115" s="90"/>
      <c r="DP115" s="90"/>
      <c r="DQ115" s="90"/>
      <c r="DR115" s="90"/>
      <c r="DS115" s="90"/>
      <c r="DT115" s="90"/>
      <c r="DU115" s="90"/>
      <c r="DV115" s="90"/>
      <c r="DW115" s="90"/>
      <c r="DX115" s="90"/>
      <c r="DY115" s="90"/>
      <c r="DZ115" s="90"/>
      <c r="EA115" s="90"/>
      <c r="EB115" s="90"/>
      <c r="EC115" s="90"/>
      <c r="ED115" s="90"/>
      <c r="EE115" s="90"/>
      <c r="EF115" s="90"/>
      <c r="EG115" s="90"/>
      <c r="EH115" s="102"/>
    </row>
    <row r="116" spans="1:138" ht="23.25" customHeight="1" x14ac:dyDescent="0.25">
      <c r="A116" s="98"/>
      <c r="B116" s="99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  <c r="Y116" s="99"/>
      <c r="Z116" s="99"/>
      <c r="AA116" s="99"/>
      <c r="AB116" s="99"/>
      <c r="AC116" s="99"/>
      <c r="AD116" s="99"/>
      <c r="AE116" s="99"/>
      <c r="AF116" s="99"/>
      <c r="AG116" s="99"/>
      <c r="AH116" s="99"/>
      <c r="AI116" s="99"/>
      <c r="AJ116" s="99"/>
      <c r="AK116" s="99"/>
      <c r="AL116" s="99"/>
      <c r="AM116" s="99"/>
      <c r="AN116" s="99"/>
      <c r="AO116" s="99"/>
      <c r="AP116" s="99"/>
      <c r="AQ116" s="99"/>
      <c r="AR116" s="99"/>
      <c r="AS116" s="99"/>
      <c r="AT116" s="99"/>
      <c r="AU116" s="99"/>
      <c r="AV116" s="99"/>
      <c r="AW116" s="99"/>
      <c r="AX116" s="99"/>
      <c r="AY116" s="99"/>
      <c r="AZ116" s="99"/>
      <c r="BA116" s="99"/>
      <c r="BB116" s="99"/>
      <c r="BC116" s="99"/>
      <c r="BD116" s="99"/>
      <c r="BE116" s="99"/>
      <c r="BF116" s="99"/>
      <c r="BG116" s="99"/>
      <c r="BH116" s="99"/>
      <c r="BI116" s="99"/>
      <c r="BJ116" s="99"/>
      <c r="BK116" s="99"/>
      <c r="BL116" s="99"/>
      <c r="BM116" s="99"/>
      <c r="BN116" s="99"/>
      <c r="BO116" s="99"/>
      <c r="BP116" s="99"/>
      <c r="BQ116" s="99"/>
      <c r="BR116" s="99"/>
      <c r="BS116" s="99"/>
      <c r="BT116" s="99"/>
      <c r="BU116" s="99"/>
      <c r="BV116" s="99"/>
      <c r="BW116" s="99"/>
      <c r="BX116" s="99"/>
      <c r="BY116" s="99"/>
      <c r="BZ116" s="99"/>
      <c r="CA116" s="99"/>
      <c r="CB116" s="99"/>
      <c r="CC116" s="99"/>
      <c r="CD116" s="99"/>
      <c r="CE116" s="99"/>
      <c r="CF116" s="99"/>
      <c r="CG116" s="99"/>
      <c r="CH116" s="99"/>
      <c r="CI116" s="99"/>
      <c r="CJ116" s="99"/>
      <c r="CK116" s="99"/>
      <c r="CL116" s="99"/>
      <c r="CM116" s="99"/>
      <c r="CN116" s="99"/>
      <c r="CO116" s="99"/>
      <c r="CP116" s="99"/>
      <c r="CQ116" s="99"/>
      <c r="CR116" s="99"/>
      <c r="CS116" s="99"/>
      <c r="CT116" s="99"/>
      <c r="CU116" s="99"/>
      <c r="CV116" s="99"/>
      <c r="CW116" s="99"/>
      <c r="CX116" s="99"/>
      <c r="CY116" s="99"/>
      <c r="CZ116" s="99"/>
      <c r="DA116" s="99"/>
      <c r="DB116" s="99"/>
      <c r="DC116" s="99"/>
      <c r="DD116" s="99"/>
      <c r="DE116" s="99"/>
      <c r="DF116" s="99"/>
      <c r="DG116" s="99"/>
      <c r="DH116" s="99"/>
      <c r="DI116" s="99"/>
      <c r="DJ116" s="99"/>
      <c r="DK116" s="99"/>
      <c r="DL116" s="99"/>
      <c r="DM116" s="99"/>
      <c r="DN116" s="99"/>
      <c r="DO116" s="99"/>
      <c r="DP116" s="99"/>
      <c r="DQ116" s="99"/>
      <c r="DR116" s="99"/>
      <c r="DS116" s="99"/>
      <c r="DT116" s="99"/>
      <c r="DU116" s="99"/>
      <c r="DV116" s="99"/>
      <c r="DW116" s="99"/>
      <c r="DX116" s="99"/>
      <c r="DY116" s="99"/>
      <c r="DZ116" s="99"/>
      <c r="EA116" s="99"/>
      <c r="EB116" s="99"/>
      <c r="EC116" s="99"/>
      <c r="ED116" s="99"/>
      <c r="EE116" s="99"/>
      <c r="EF116" s="99"/>
      <c r="EG116" s="99"/>
      <c r="EH116" s="100"/>
    </row>
    <row r="117" spans="1:138" ht="23.25" customHeight="1" x14ac:dyDescent="0.25">
      <c r="A117" s="101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90"/>
      <c r="DH117" s="90"/>
      <c r="DI117" s="90"/>
      <c r="DJ117" s="90"/>
      <c r="DK117" s="90"/>
      <c r="DL117" s="90"/>
      <c r="DM117" s="90"/>
      <c r="DN117" s="90"/>
      <c r="DO117" s="90"/>
      <c r="DP117" s="90"/>
      <c r="DQ117" s="90"/>
      <c r="DR117" s="90"/>
      <c r="DS117" s="90"/>
      <c r="DT117" s="90"/>
      <c r="DU117" s="90"/>
      <c r="DV117" s="90"/>
      <c r="DW117" s="90"/>
      <c r="DX117" s="90"/>
      <c r="DY117" s="90"/>
      <c r="DZ117" s="90"/>
      <c r="EA117" s="90"/>
      <c r="EB117" s="90"/>
      <c r="EC117" s="90"/>
      <c r="ED117" s="90"/>
      <c r="EE117" s="90"/>
      <c r="EF117" s="90"/>
      <c r="EG117" s="90"/>
      <c r="EH117" s="102"/>
    </row>
    <row r="118" spans="1:138" ht="23.25" customHeight="1" x14ac:dyDescent="0.25">
      <c r="A118" s="98"/>
      <c r="B118" s="99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  <c r="Y118" s="99"/>
      <c r="Z118" s="99"/>
      <c r="AA118" s="99"/>
      <c r="AB118" s="99"/>
      <c r="AC118" s="99"/>
      <c r="AD118" s="99"/>
      <c r="AE118" s="99"/>
      <c r="AF118" s="99"/>
      <c r="AG118" s="99"/>
      <c r="AH118" s="99"/>
      <c r="AI118" s="99"/>
      <c r="AJ118" s="99"/>
      <c r="AK118" s="99"/>
      <c r="AL118" s="99"/>
      <c r="AM118" s="99"/>
      <c r="AN118" s="99"/>
      <c r="AO118" s="99"/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99"/>
      <c r="BD118" s="99"/>
      <c r="BE118" s="99"/>
      <c r="BF118" s="99"/>
      <c r="BG118" s="99"/>
      <c r="BH118" s="99"/>
      <c r="BI118" s="99"/>
      <c r="BJ118" s="99"/>
      <c r="BK118" s="99"/>
      <c r="BL118" s="99"/>
      <c r="BM118" s="99"/>
      <c r="BN118" s="99"/>
      <c r="BO118" s="99"/>
      <c r="BP118" s="99"/>
      <c r="BQ118" s="99"/>
      <c r="BR118" s="99"/>
      <c r="BS118" s="99"/>
      <c r="BT118" s="99"/>
      <c r="BU118" s="99"/>
      <c r="BV118" s="99"/>
      <c r="BW118" s="99"/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99"/>
      <c r="CJ118" s="99"/>
      <c r="CK118" s="99"/>
      <c r="CL118" s="99"/>
      <c r="CM118" s="99"/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/>
      <c r="DA118" s="99"/>
      <c r="DB118" s="99"/>
      <c r="DC118" s="99"/>
      <c r="DD118" s="99"/>
      <c r="DE118" s="99"/>
      <c r="DF118" s="99"/>
      <c r="DG118" s="99"/>
      <c r="DH118" s="99"/>
      <c r="DI118" s="99"/>
      <c r="DJ118" s="99"/>
      <c r="DK118" s="99"/>
      <c r="DL118" s="99"/>
      <c r="DM118" s="99"/>
      <c r="DN118" s="99"/>
      <c r="DO118" s="99"/>
      <c r="DP118" s="99"/>
      <c r="DQ118" s="99"/>
      <c r="DR118" s="99"/>
      <c r="DS118" s="99"/>
      <c r="DT118" s="99"/>
      <c r="DU118" s="99"/>
      <c r="DV118" s="99"/>
      <c r="DW118" s="99"/>
      <c r="DX118" s="99"/>
      <c r="DY118" s="99"/>
      <c r="DZ118" s="99"/>
      <c r="EA118" s="99"/>
      <c r="EB118" s="99"/>
      <c r="EC118" s="99"/>
      <c r="ED118" s="99"/>
      <c r="EE118" s="99"/>
      <c r="EF118" s="99"/>
      <c r="EG118" s="99"/>
      <c r="EH118" s="100"/>
    </row>
    <row r="119" spans="1:138" ht="23.25" customHeight="1" x14ac:dyDescent="0.25">
      <c r="A119" s="101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90"/>
      <c r="DH119" s="90"/>
      <c r="DI119" s="90"/>
      <c r="DJ119" s="90"/>
      <c r="DK119" s="90"/>
      <c r="DL119" s="90"/>
      <c r="DM119" s="90"/>
      <c r="DN119" s="90"/>
      <c r="DO119" s="90"/>
      <c r="DP119" s="90"/>
      <c r="DQ119" s="90"/>
      <c r="DR119" s="90"/>
      <c r="DS119" s="90"/>
      <c r="DT119" s="90"/>
      <c r="DU119" s="90"/>
      <c r="DV119" s="90"/>
      <c r="DW119" s="90"/>
      <c r="DX119" s="90"/>
      <c r="DY119" s="90"/>
      <c r="DZ119" s="90"/>
      <c r="EA119" s="90"/>
      <c r="EB119" s="90"/>
      <c r="EC119" s="90"/>
      <c r="ED119" s="90"/>
      <c r="EE119" s="90"/>
      <c r="EF119" s="90"/>
      <c r="EG119" s="90"/>
      <c r="EH119" s="102"/>
    </row>
    <row r="120" spans="1:138" ht="23.25" customHeight="1" x14ac:dyDescent="0.25">
      <c r="A120" s="98"/>
      <c r="B120" s="99"/>
      <c r="C120" s="99"/>
      <c r="D120" s="99"/>
      <c r="E120" s="99"/>
      <c r="F120" s="99"/>
      <c r="G120" s="99"/>
      <c r="H120" s="99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  <c r="AD120" s="99"/>
      <c r="AE120" s="99"/>
      <c r="AF120" s="99"/>
      <c r="AG120" s="99"/>
      <c r="AH120" s="99"/>
      <c r="AI120" s="99"/>
      <c r="AJ120" s="99"/>
      <c r="AK120" s="99"/>
      <c r="AL120" s="99"/>
      <c r="AM120" s="99"/>
      <c r="AN120" s="99"/>
      <c r="AO120" s="99"/>
      <c r="AP120" s="99"/>
      <c r="AQ120" s="99"/>
      <c r="AR120" s="99"/>
      <c r="AS120" s="99"/>
      <c r="AT120" s="99"/>
      <c r="AU120" s="99"/>
      <c r="AV120" s="99"/>
      <c r="AW120" s="99"/>
      <c r="AX120" s="99"/>
      <c r="AY120" s="99"/>
      <c r="AZ120" s="99"/>
      <c r="BA120" s="99"/>
      <c r="BB120" s="99"/>
      <c r="BC120" s="99"/>
      <c r="BD120" s="99"/>
      <c r="BE120" s="99"/>
      <c r="BF120" s="99"/>
      <c r="BG120" s="99"/>
      <c r="BH120" s="99"/>
      <c r="BI120" s="99"/>
      <c r="BJ120" s="99"/>
      <c r="BK120" s="99"/>
      <c r="BL120" s="99"/>
      <c r="BM120" s="99"/>
      <c r="BN120" s="99"/>
      <c r="BO120" s="99"/>
      <c r="BP120" s="99"/>
      <c r="BQ120" s="99"/>
      <c r="BR120" s="99"/>
      <c r="BS120" s="99"/>
      <c r="BT120" s="99"/>
      <c r="BU120" s="99"/>
      <c r="BV120" s="99"/>
      <c r="BW120" s="99"/>
      <c r="BX120" s="99"/>
      <c r="BY120" s="99"/>
      <c r="BZ120" s="99"/>
      <c r="CA120" s="99"/>
      <c r="CB120" s="99"/>
      <c r="CC120" s="99"/>
      <c r="CD120" s="99"/>
      <c r="CE120" s="99"/>
      <c r="CF120" s="99"/>
      <c r="CG120" s="99"/>
      <c r="CH120" s="99"/>
      <c r="CI120" s="99"/>
      <c r="CJ120" s="99"/>
      <c r="CK120" s="99"/>
      <c r="CL120" s="99"/>
      <c r="CM120" s="99"/>
      <c r="CN120" s="99"/>
      <c r="CO120" s="99"/>
      <c r="CP120" s="99"/>
      <c r="CQ120" s="99"/>
      <c r="CR120" s="99"/>
      <c r="CS120" s="99"/>
      <c r="CT120" s="99"/>
      <c r="CU120" s="99"/>
      <c r="CV120" s="99"/>
      <c r="CW120" s="99"/>
      <c r="CX120" s="99"/>
      <c r="CY120" s="99"/>
      <c r="CZ120" s="99"/>
      <c r="DA120" s="99"/>
      <c r="DB120" s="99"/>
      <c r="DC120" s="99"/>
      <c r="DD120" s="99"/>
      <c r="DE120" s="99"/>
      <c r="DF120" s="99"/>
      <c r="DG120" s="99"/>
      <c r="DH120" s="99"/>
      <c r="DI120" s="99"/>
      <c r="DJ120" s="99"/>
      <c r="DK120" s="99"/>
      <c r="DL120" s="99"/>
      <c r="DM120" s="99"/>
      <c r="DN120" s="99"/>
      <c r="DO120" s="99"/>
      <c r="DP120" s="99"/>
      <c r="DQ120" s="99"/>
      <c r="DR120" s="99"/>
      <c r="DS120" s="99"/>
      <c r="DT120" s="99"/>
      <c r="DU120" s="99"/>
      <c r="DV120" s="99"/>
      <c r="DW120" s="99"/>
      <c r="DX120" s="99"/>
      <c r="DY120" s="99"/>
      <c r="DZ120" s="99"/>
      <c r="EA120" s="99"/>
      <c r="EB120" s="99"/>
      <c r="EC120" s="99"/>
      <c r="ED120" s="99"/>
      <c r="EE120" s="99"/>
      <c r="EF120" s="99"/>
      <c r="EG120" s="99"/>
      <c r="EH120" s="100"/>
    </row>
    <row r="121" spans="1:138" ht="23.25" customHeight="1" x14ac:dyDescent="0.25">
      <c r="A121" s="101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90"/>
      <c r="DH121" s="90"/>
      <c r="DI121" s="90"/>
      <c r="DJ121" s="90"/>
      <c r="DK121" s="90"/>
      <c r="DL121" s="90"/>
      <c r="DM121" s="90"/>
      <c r="DN121" s="90"/>
      <c r="DO121" s="90"/>
      <c r="DP121" s="90"/>
      <c r="DQ121" s="90"/>
      <c r="DR121" s="90"/>
      <c r="DS121" s="90"/>
      <c r="DT121" s="90"/>
      <c r="DU121" s="90"/>
      <c r="DV121" s="90"/>
      <c r="DW121" s="90"/>
      <c r="DX121" s="90"/>
      <c r="DY121" s="90"/>
      <c r="DZ121" s="90"/>
      <c r="EA121" s="90"/>
      <c r="EB121" s="90"/>
      <c r="EC121" s="90"/>
      <c r="ED121" s="90"/>
      <c r="EE121" s="90"/>
      <c r="EF121" s="90"/>
      <c r="EG121" s="90"/>
      <c r="EH121" s="102"/>
    </row>
    <row r="122" spans="1:138" ht="23.25" customHeight="1" x14ac:dyDescent="0.25">
      <c r="A122" s="98"/>
      <c r="B122" s="99"/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  <c r="AL122" s="99"/>
      <c r="AM122" s="99"/>
      <c r="AN122" s="99"/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99"/>
      <c r="BD122" s="99"/>
      <c r="BE122" s="99"/>
      <c r="BF122" s="99"/>
      <c r="BG122" s="99"/>
      <c r="BH122" s="99"/>
      <c r="BI122" s="99"/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9"/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99"/>
      <c r="CJ122" s="99"/>
      <c r="CK122" s="99"/>
      <c r="CL122" s="99"/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99"/>
      <c r="DB122" s="99"/>
      <c r="DC122" s="99"/>
      <c r="DD122" s="99"/>
      <c r="DE122" s="99"/>
      <c r="DF122" s="99"/>
      <c r="DG122" s="99"/>
      <c r="DH122" s="99"/>
      <c r="DI122" s="99"/>
      <c r="DJ122" s="99"/>
      <c r="DK122" s="99"/>
      <c r="DL122" s="99"/>
      <c r="DM122" s="99"/>
      <c r="DN122" s="99"/>
      <c r="DO122" s="99"/>
      <c r="DP122" s="99"/>
      <c r="DQ122" s="99"/>
      <c r="DR122" s="99"/>
      <c r="DS122" s="99"/>
      <c r="DT122" s="99"/>
      <c r="DU122" s="99"/>
      <c r="DV122" s="99"/>
      <c r="DW122" s="99"/>
      <c r="DX122" s="99"/>
      <c r="DY122" s="99"/>
      <c r="DZ122" s="99"/>
      <c r="EA122" s="99"/>
      <c r="EB122" s="99"/>
      <c r="EC122" s="99"/>
      <c r="ED122" s="99"/>
      <c r="EE122" s="99"/>
      <c r="EF122" s="99"/>
      <c r="EG122" s="99"/>
      <c r="EH122" s="100"/>
    </row>
    <row r="123" spans="1:138" ht="23.25" customHeight="1" x14ac:dyDescent="0.25">
      <c r="A123" s="101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90"/>
      <c r="DH123" s="90"/>
      <c r="DI123" s="90"/>
      <c r="DJ123" s="90"/>
      <c r="DK123" s="90"/>
      <c r="DL123" s="90"/>
      <c r="DM123" s="90"/>
      <c r="DN123" s="90"/>
      <c r="DO123" s="90"/>
      <c r="DP123" s="90"/>
      <c r="DQ123" s="90"/>
      <c r="DR123" s="90"/>
      <c r="DS123" s="90"/>
      <c r="DT123" s="90"/>
      <c r="DU123" s="90"/>
      <c r="DV123" s="90"/>
      <c r="DW123" s="90"/>
      <c r="DX123" s="90"/>
      <c r="DY123" s="90"/>
      <c r="DZ123" s="90"/>
      <c r="EA123" s="90"/>
      <c r="EB123" s="90"/>
      <c r="EC123" s="90"/>
      <c r="ED123" s="90"/>
      <c r="EE123" s="90"/>
      <c r="EF123" s="90"/>
      <c r="EG123" s="90"/>
      <c r="EH123" s="102"/>
    </row>
    <row r="124" spans="1:138" ht="23.25" customHeight="1" x14ac:dyDescent="0.25">
      <c r="A124" s="98"/>
      <c r="B124" s="99"/>
      <c r="C124" s="99"/>
      <c r="D124" s="99"/>
      <c r="E124" s="99"/>
      <c r="F124" s="99"/>
      <c r="G124" s="99"/>
      <c r="H124" s="99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  <c r="AL124" s="99"/>
      <c r="AM124" s="99"/>
      <c r="AN124" s="99"/>
      <c r="AO124" s="99"/>
      <c r="AP124" s="99"/>
      <c r="AQ124" s="99"/>
      <c r="AR124" s="99"/>
      <c r="AS124" s="99"/>
      <c r="AT124" s="99"/>
      <c r="AU124" s="99"/>
      <c r="AV124" s="99"/>
      <c r="AW124" s="99"/>
      <c r="AX124" s="99"/>
      <c r="AY124" s="99"/>
      <c r="AZ124" s="99"/>
      <c r="BA124" s="99"/>
      <c r="BB124" s="99"/>
      <c r="BC124" s="99"/>
      <c r="BD124" s="99"/>
      <c r="BE124" s="99"/>
      <c r="BF124" s="99"/>
      <c r="BG124" s="99"/>
      <c r="BH124" s="99"/>
      <c r="BI124" s="99"/>
      <c r="BJ124" s="99"/>
      <c r="BK124" s="99"/>
      <c r="BL124" s="99"/>
      <c r="BM124" s="99"/>
      <c r="BN124" s="99"/>
      <c r="BO124" s="99"/>
      <c r="BP124" s="99"/>
      <c r="BQ124" s="99"/>
      <c r="BR124" s="99"/>
      <c r="BS124" s="99"/>
      <c r="BT124" s="99"/>
      <c r="BU124" s="99"/>
      <c r="BV124" s="99"/>
      <c r="BW124" s="99"/>
      <c r="BX124" s="99"/>
      <c r="BY124" s="99"/>
      <c r="BZ124" s="99"/>
      <c r="CA124" s="99"/>
      <c r="CB124" s="99"/>
      <c r="CC124" s="99"/>
      <c r="CD124" s="99"/>
      <c r="CE124" s="99"/>
      <c r="CF124" s="99"/>
      <c r="CG124" s="99"/>
      <c r="CH124" s="99"/>
      <c r="CI124" s="99"/>
      <c r="CJ124" s="99"/>
      <c r="CK124" s="99"/>
      <c r="CL124" s="99"/>
      <c r="CM124" s="99"/>
      <c r="CN124" s="99"/>
      <c r="CO124" s="99"/>
      <c r="CP124" s="99"/>
      <c r="CQ124" s="99"/>
      <c r="CR124" s="99"/>
      <c r="CS124" s="99"/>
      <c r="CT124" s="99"/>
      <c r="CU124" s="99"/>
      <c r="CV124" s="99"/>
      <c r="CW124" s="99"/>
      <c r="CX124" s="99"/>
      <c r="CY124" s="99"/>
      <c r="CZ124" s="99"/>
      <c r="DA124" s="99"/>
      <c r="DB124" s="99"/>
      <c r="DC124" s="99"/>
      <c r="DD124" s="99"/>
      <c r="DE124" s="99"/>
      <c r="DF124" s="99"/>
      <c r="DG124" s="99"/>
      <c r="DH124" s="99"/>
      <c r="DI124" s="99"/>
      <c r="DJ124" s="99"/>
      <c r="DK124" s="99"/>
      <c r="DL124" s="99"/>
      <c r="DM124" s="99"/>
      <c r="DN124" s="99"/>
      <c r="DO124" s="99"/>
      <c r="DP124" s="99"/>
      <c r="DQ124" s="99"/>
      <c r="DR124" s="99"/>
      <c r="DS124" s="99"/>
      <c r="DT124" s="99"/>
      <c r="DU124" s="99"/>
      <c r="DV124" s="99"/>
      <c r="DW124" s="99"/>
      <c r="DX124" s="99"/>
      <c r="DY124" s="99"/>
      <c r="DZ124" s="99"/>
      <c r="EA124" s="99"/>
      <c r="EB124" s="99"/>
      <c r="EC124" s="99"/>
      <c r="ED124" s="99"/>
      <c r="EE124" s="99"/>
      <c r="EF124" s="99"/>
      <c r="EG124" s="99"/>
      <c r="EH124" s="100"/>
    </row>
    <row r="125" spans="1:138" ht="23.25" customHeight="1" x14ac:dyDescent="0.25">
      <c r="A125" s="101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90"/>
      <c r="DH125" s="90"/>
      <c r="DI125" s="90"/>
      <c r="DJ125" s="90"/>
      <c r="DK125" s="90"/>
      <c r="DL125" s="90"/>
      <c r="DM125" s="90"/>
      <c r="DN125" s="90"/>
      <c r="DO125" s="90"/>
      <c r="DP125" s="90"/>
      <c r="DQ125" s="90"/>
      <c r="DR125" s="90"/>
      <c r="DS125" s="90"/>
      <c r="DT125" s="90"/>
      <c r="DU125" s="90"/>
      <c r="DV125" s="90"/>
      <c r="DW125" s="90"/>
      <c r="DX125" s="90"/>
      <c r="DY125" s="90"/>
      <c r="DZ125" s="90"/>
      <c r="EA125" s="90"/>
      <c r="EB125" s="90"/>
      <c r="EC125" s="90"/>
      <c r="ED125" s="90"/>
      <c r="EE125" s="90"/>
      <c r="EF125" s="90"/>
      <c r="EG125" s="90"/>
      <c r="EH125" s="102"/>
    </row>
    <row r="126" spans="1:138" ht="23.25" customHeight="1" x14ac:dyDescent="0.25">
      <c r="A126" s="98"/>
      <c r="B126" s="99"/>
      <c r="C126" s="99"/>
      <c r="D126" s="99"/>
      <c r="E126" s="99"/>
      <c r="F126" s="99"/>
      <c r="G126" s="99"/>
      <c r="H126" s="99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  <c r="AD126" s="99"/>
      <c r="AE126" s="99"/>
      <c r="AF126" s="99"/>
      <c r="AG126" s="99"/>
      <c r="AH126" s="99"/>
      <c r="AI126" s="99"/>
      <c r="AJ126" s="99"/>
      <c r="AK126" s="99"/>
      <c r="AL126" s="99"/>
      <c r="AM126" s="99"/>
      <c r="AN126" s="99"/>
      <c r="AO126" s="99"/>
      <c r="AP126" s="99"/>
      <c r="AQ126" s="99"/>
      <c r="AR126" s="99"/>
      <c r="AS126" s="99"/>
      <c r="AT126" s="99"/>
      <c r="AU126" s="99"/>
      <c r="AV126" s="99"/>
      <c r="AW126" s="99"/>
      <c r="AX126" s="99"/>
      <c r="AY126" s="99"/>
      <c r="AZ126" s="99"/>
      <c r="BA126" s="99"/>
      <c r="BB126" s="99"/>
      <c r="BC126" s="99"/>
      <c r="BD126" s="99"/>
      <c r="BE126" s="99"/>
      <c r="BF126" s="99"/>
      <c r="BG126" s="99"/>
      <c r="BH126" s="99"/>
      <c r="BI126" s="99"/>
      <c r="BJ126" s="99"/>
      <c r="BK126" s="99"/>
      <c r="BL126" s="99"/>
      <c r="BM126" s="99"/>
      <c r="BN126" s="99"/>
      <c r="BO126" s="99"/>
      <c r="BP126" s="99"/>
      <c r="BQ126" s="99"/>
      <c r="BR126" s="99"/>
      <c r="BS126" s="99"/>
      <c r="BT126" s="99"/>
      <c r="BU126" s="99"/>
      <c r="BV126" s="99"/>
      <c r="BW126" s="99"/>
      <c r="BX126" s="99"/>
      <c r="BY126" s="99"/>
      <c r="BZ126" s="99"/>
      <c r="CA126" s="99"/>
      <c r="CB126" s="99"/>
      <c r="CC126" s="99"/>
      <c r="CD126" s="99"/>
      <c r="CE126" s="99"/>
      <c r="CF126" s="99"/>
      <c r="CG126" s="99"/>
      <c r="CH126" s="99"/>
      <c r="CI126" s="99"/>
      <c r="CJ126" s="99"/>
      <c r="CK126" s="99"/>
      <c r="CL126" s="99"/>
      <c r="CM126" s="99"/>
      <c r="CN126" s="99"/>
      <c r="CO126" s="99"/>
      <c r="CP126" s="99"/>
      <c r="CQ126" s="99"/>
      <c r="CR126" s="99"/>
      <c r="CS126" s="99"/>
      <c r="CT126" s="99"/>
      <c r="CU126" s="99"/>
      <c r="CV126" s="99"/>
      <c r="CW126" s="99"/>
      <c r="CX126" s="99"/>
      <c r="CY126" s="99"/>
      <c r="CZ126" s="99"/>
      <c r="DA126" s="99"/>
      <c r="DB126" s="99"/>
      <c r="DC126" s="99"/>
      <c r="DD126" s="99"/>
      <c r="DE126" s="99"/>
      <c r="DF126" s="99"/>
      <c r="DG126" s="99"/>
      <c r="DH126" s="99"/>
      <c r="DI126" s="99"/>
      <c r="DJ126" s="99"/>
      <c r="DK126" s="99"/>
      <c r="DL126" s="99"/>
      <c r="DM126" s="99"/>
      <c r="DN126" s="99"/>
      <c r="DO126" s="99"/>
      <c r="DP126" s="99"/>
      <c r="DQ126" s="99"/>
      <c r="DR126" s="99"/>
      <c r="DS126" s="99"/>
      <c r="DT126" s="99"/>
      <c r="DU126" s="99"/>
      <c r="DV126" s="99"/>
      <c r="DW126" s="99"/>
      <c r="DX126" s="99"/>
      <c r="DY126" s="99"/>
      <c r="DZ126" s="99"/>
      <c r="EA126" s="99"/>
      <c r="EB126" s="99"/>
      <c r="EC126" s="99"/>
      <c r="ED126" s="99"/>
      <c r="EE126" s="99"/>
      <c r="EF126" s="99"/>
      <c r="EG126" s="99"/>
      <c r="EH126" s="100"/>
    </row>
    <row r="127" spans="1:138" ht="23.25" customHeight="1" x14ac:dyDescent="0.25">
      <c r="A127" s="101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90"/>
      <c r="DH127" s="90"/>
      <c r="DI127" s="90"/>
      <c r="DJ127" s="90"/>
      <c r="DK127" s="90"/>
      <c r="DL127" s="90"/>
      <c r="DM127" s="90"/>
      <c r="DN127" s="90"/>
      <c r="DO127" s="90"/>
      <c r="DP127" s="90"/>
      <c r="DQ127" s="90"/>
      <c r="DR127" s="90"/>
      <c r="DS127" s="90"/>
      <c r="DT127" s="90"/>
      <c r="DU127" s="90"/>
      <c r="DV127" s="90"/>
      <c r="DW127" s="90"/>
      <c r="DX127" s="90"/>
      <c r="DY127" s="90"/>
      <c r="DZ127" s="90"/>
      <c r="EA127" s="90"/>
      <c r="EB127" s="90"/>
      <c r="EC127" s="90"/>
      <c r="ED127" s="90"/>
      <c r="EE127" s="90"/>
      <c r="EF127" s="90"/>
      <c r="EG127" s="90"/>
      <c r="EH127" s="102"/>
    </row>
    <row r="128" spans="1:138" ht="23.25" customHeight="1" x14ac:dyDescent="0.25">
      <c r="A128" s="98"/>
      <c r="B128" s="99"/>
      <c r="C128" s="99"/>
      <c r="D128" s="99"/>
      <c r="E128" s="99"/>
      <c r="F128" s="99"/>
      <c r="G128" s="99"/>
      <c r="H128" s="99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  <c r="AD128" s="99"/>
      <c r="AE128" s="99"/>
      <c r="AF128" s="99"/>
      <c r="AG128" s="99"/>
      <c r="AH128" s="99"/>
      <c r="AI128" s="99"/>
      <c r="AJ128" s="99"/>
      <c r="AK128" s="99"/>
      <c r="AL128" s="99"/>
      <c r="AM128" s="99"/>
      <c r="AN128" s="99"/>
      <c r="AO128" s="99"/>
      <c r="AP128" s="99"/>
      <c r="AQ128" s="99"/>
      <c r="AR128" s="99"/>
      <c r="AS128" s="99"/>
      <c r="AT128" s="99"/>
      <c r="AU128" s="99"/>
      <c r="AV128" s="99"/>
      <c r="AW128" s="99"/>
      <c r="AX128" s="99"/>
      <c r="AY128" s="99"/>
      <c r="AZ128" s="99"/>
      <c r="BA128" s="99"/>
      <c r="BB128" s="99"/>
      <c r="BC128" s="99"/>
      <c r="BD128" s="99"/>
      <c r="BE128" s="99"/>
      <c r="BF128" s="99"/>
      <c r="BG128" s="99"/>
      <c r="BH128" s="99"/>
      <c r="BI128" s="99"/>
      <c r="BJ128" s="99"/>
      <c r="BK128" s="99"/>
      <c r="BL128" s="99"/>
      <c r="BM128" s="99"/>
      <c r="BN128" s="99"/>
      <c r="BO128" s="99"/>
      <c r="BP128" s="99"/>
      <c r="BQ128" s="99"/>
      <c r="BR128" s="99"/>
      <c r="BS128" s="99"/>
      <c r="BT128" s="99"/>
      <c r="BU128" s="99"/>
      <c r="BV128" s="99"/>
      <c r="BW128" s="99"/>
      <c r="BX128" s="99"/>
      <c r="BY128" s="99"/>
      <c r="BZ128" s="99"/>
      <c r="CA128" s="99"/>
      <c r="CB128" s="99"/>
      <c r="CC128" s="99"/>
      <c r="CD128" s="99"/>
      <c r="CE128" s="99"/>
      <c r="CF128" s="99"/>
      <c r="CG128" s="99"/>
      <c r="CH128" s="99"/>
      <c r="CI128" s="99"/>
      <c r="CJ128" s="99"/>
      <c r="CK128" s="99"/>
      <c r="CL128" s="99"/>
      <c r="CM128" s="99"/>
      <c r="CN128" s="99"/>
      <c r="CO128" s="99"/>
      <c r="CP128" s="99"/>
      <c r="CQ128" s="99"/>
      <c r="CR128" s="99"/>
      <c r="CS128" s="99"/>
      <c r="CT128" s="99"/>
      <c r="CU128" s="99"/>
      <c r="CV128" s="99"/>
      <c r="CW128" s="99"/>
      <c r="CX128" s="99"/>
      <c r="CY128" s="99"/>
      <c r="CZ128" s="99"/>
      <c r="DA128" s="99"/>
      <c r="DB128" s="99"/>
      <c r="DC128" s="99"/>
      <c r="DD128" s="99"/>
      <c r="DE128" s="99"/>
      <c r="DF128" s="99"/>
      <c r="DG128" s="99"/>
      <c r="DH128" s="99"/>
      <c r="DI128" s="99"/>
      <c r="DJ128" s="99"/>
      <c r="DK128" s="99"/>
      <c r="DL128" s="99"/>
      <c r="DM128" s="99"/>
      <c r="DN128" s="99"/>
      <c r="DO128" s="99"/>
      <c r="DP128" s="99"/>
      <c r="DQ128" s="99"/>
      <c r="DR128" s="99"/>
      <c r="DS128" s="99"/>
      <c r="DT128" s="99"/>
      <c r="DU128" s="99"/>
      <c r="DV128" s="99"/>
      <c r="DW128" s="99"/>
      <c r="DX128" s="99"/>
      <c r="DY128" s="99"/>
      <c r="DZ128" s="99"/>
      <c r="EA128" s="99"/>
      <c r="EB128" s="99"/>
      <c r="EC128" s="99"/>
      <c r="ED128" s="99"/>
      <c r="EE128" s="99"/>
      <c r="EF128" s="99"/>
      <c r="EG128" s="99"/>
      <c r="EH128" s="100"/>
    </row>
    <row r="129" spans="1:138" ht="23.25" customHeight="1" x14ac:dyDescent="0.25">
      <c r="A129" s="101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90"/>
      <c r="DH129" s="90"/>
      <c r="DI129" s="90"/>
      <c r="DJ129" s="90"/>
      <c r="DK129" s="90"/>
      <c r="DL129" s="90"/>
      <c r="DM129" s="90"/>
      <c r="DN129" s="90"/>
      <c r="DO129" s="90"/>
      <c r="DP129" s="90"/>
      <c r="DQ129" s="90"/>
      <c r="DR129" s="90"/>
      <c r="DS129" s="90"/>
      <c r="DT129" s="90"/>
      <c r="DU129" s="90"/>
      <c r="DV129" s="90"/>
      <c r="DW129" s="90"/>
      <c r="DX129" s="90"/>
      <c r="DY129" s="90"/>
      <c r="DZ129" s="90"/>
      <c r="EA129" s="90"/>
      <c r="EB129" s="90"/>
      <c r="EC129" s="90"/>
      <c r="ED129" s="90"/>
      <c r="EE129" s="90"/>
      <c r="EF129" s="90"/>
      <c r="EG129" s="90"/>
      <c r="EH129" s="102"/>
    </row>
    <row r="130" spans="1:138" ht="23.25" customHeight="1" x14ac:dyDescent="0.25">
      <c r="A130" s="98"/>
      <c r="B130" s="99"/>
      <c r="C130" s="99"/>
      <c r="D130" s="99"/>
      <c r="E130" s="99"/>
      <c r="F130" s="99"/>
      <c r="G130" s="99"/>
      <c r="H130" s="99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  <c r="U130" s="99"/>
      <c r="V130" s="99"/>
      <c r="W130" s="99"/>
      <c r="X130" s="99"/>
      <c r="Y130" s="99"/>
      <c r="Z130" s="99"/>
      <c r="AA130" s="99"/>
      <c r="AB130" s="99"/>
      <c r="AC130" s="99"/>
      <c r="AD130" s="99"/>
      <c r="AE130" s="99"/>
      <c r="AF130" s="99"/>
      <c r="AG130" s="99"/>
      <c r="AH130" s="99"/>
      <c r="AI130" s="99"/>
      <c r="AJ130" s="99"/>
      <c r="AK130" s="99"/>
      <c r="AL130" s="99"/>
      <c r="AM130" s="99"/>
      <c r="AN130" s="99"/>
      <c r="AO130" s="99"/>
      <c r="AP130" s="99"/>
      <c r="AQ130" s="99"/>
      <c r="AR130" s="99"/>
      <c r="AS130" s="99"/>
      <c r="AT130" s="99"/>
      <c r="AU130" s="99"/>
      <c r="AV130" s="99"/>
      <c r="AW130" s="99"/>
      <c r="AX130" s="99"/>
      <c r="AY130" s="99"/>
      <c r="AZ130" s="99"/>
      <c r="BA130" s="99"/>
      <c r="BB130" s="99"/>
      <c r="BC130" s="99"/>
      <c r="BD130" s="99"/>
      <c r="BE130" s="99"/>
      <c r="BF130" s="99"/>
      <c r="BG130" s="99"/>
      <c r="BH130" s="99"/>
      <c r="BI130" s="99"/>
      <c r="BJ130" s="99"/>
      <c r="BK130" s="99"/>
      <c r="BL130" s="99"/>
      <c r="BM130" s="99"/>
      <c r="BN130" s="99"/>
      <c r="BO130" s="99"/>
      <c r="BP130" s="99"/>
      <c r="BQ130" s="99"/>
      <c r="BR130" s="99"/>
      <c r="BS130" s="99"/>
      <c r="BT130" s="99"/>
      <c r="BU130" s="99"/>
      <c r="BV130" s="99"/>
      <c r="BW130" s="99"/>
      <c r="BX130" s="99"/>
      <c r="BY130" s="99"/>
      <c r="BZ130" s="99"/>
      <c r="CA130" s="99"/>
      <c r="CB130" s="99"/>
      <c r="CC130" s="99"/>
      <c r="CD130" s="99"/>
      <c r="CE130" s="99"/>
      <c r="CF130" s="99"/>
      <c r="CG130" s="99"/>
      <c r="CH130" s="99"/>
      <c r="CI130" s="99"/>
      <c r="CJ130" s="99"/>
      <c r="CK130" s="99"/>
      <c r="CL130" s="99"/>
      <c r="CM130" s="99"/>
      <c r="CN130" s="99"/>
      <c r="CO130" s="99"/>
      <c r="CP130" s="99"/>
      <c r="CQ130" s="99"/>
      <c r="CR130" s="99"/>
      <c r="CS130" s="99"/>
      <c r="CT130" s="99"/>
      <c r="CU130" s="99"/>
      <c r="CV130" s="99"/>
      <c r="CW130" s="99"/>
      <c r="CX130" s="99"/>
      <c r="CY130" s="99"/>
      <c r="CZ130" s="99"/>
      <c r="DA130" s="99"/>
      <c r="DB130" s="99"/>
      <c r="DC130" s="99"/>
      <c r="DD130" s="99"/>
      <c r="DE130" s="99"/>
      <c r="DF130" s="99"/>
      <c r="DG130" s="99"/>
      <c r="DH130" s="99"/>
      <c r="DI130" s="99"/>
      <c r="DJ130" s="99"/>
      <c r="DK130" s="99"/>
      <c r="DL130" s="99"/>
      <c r="DM130" s="99"/>
      <c r="DN130" s="99"/>
      <c r="DO130" s="99"/>
      <c r="DP130" s="99"/>
      <c r="DQ130" s="99"/>
      <c r="DR130" s="99"/>
      <c r="DS130" s="99"/>
      <c r="DT130" s="99"/>
      <c r="DU130" s="99"/>
      <c r="DV130" s="99"/>
      <c r="DW130" s="99"/>
      <c r="DX130" s="99"/>
      <c r="DY130" s="99"/>
      <c r="DZ130" s="99"/>
      <c r="EA130" s="99"/>
      <c r="EB130" s="99"/>
      <c r="EC130" s="99"/>
      <c r="ED130" s="99"/>
      <c r="EE130" s="99"/>
      <c r="EF130" s="99"/>
      <c r="EG130" s="99"/>
      <c r="EH130" s="100"/>
    </row>
    <row r="131" spans="1:138" ht="23.25" customHeight="1" x14ac:dyDescent="0.25">
      <c r="A131" s="101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90"/>
      <c r="DH131" s="90"/>
      <c r="DI131" s="90"/>
      <c r="DJ131" s="90"/>
      <c r="DK131" s="90"/>
      <c r="DL131" s="90"/>
      <c r="DM131" s="90"/>
      <c r="DN131" s="90"/>
      <c r="DO131" s="90"/>
      <c r="DP131" s="90"/>
      <c r="DQ131" s="90"/>
      <c r="DR131" s="90"/>
      <c r="DS131" s="90"/>
      <c r="DT131" s="90"/>
      <c r="DU131" s="90"/>
      <c r="DV131" s="90"/>
      <c r="DW131" s="90"/>
      <c r="DX131" s="90"/>
      <c r="DY131" s="90"/>
      <c r="DZ131" s="90"/>
      <c r="EA131" s="90"/>
      <c r="EB131" s="90"/>
      <c r="EC131" s="90"/>
      <c r="ED131" s="90"/>
      <c r="EE131" s="90"/>
      <c r="EF131" s="90"/>
      <c r="EG131" s="90"/>
      <c r="EH131" s="102"/>
    </row>
    <row r="132" spans="1:138" ht="23.25" customHeight="1" x14ac:dyDescent="0.25">
      <c r="A132" s="98"/>
      <c r="B132" s="99"/>
      <c r="C132" s="99"/>
      <c r="D132" s="99"/>
      <c r="E132" s="99"/>
      <c r="F132" s="99"/>
      <c r="G132" s="99"/>
      <c r="H132" s="99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99"/>
      <c r="AA132" s="99"/>
      <c r="AB132" s="99"/>
      <c r="AC132" s="99"/>
      <c r="AD132" s="99"/>
      <c r="AE132" s="99"/>
      <c r="AF132" s="99"/>
      <c r="AG132" s="99"/>
      <c r="AH132" s="99"/>
      <c r="AI132" s="99"/>
      <c r="AJ132" s="99"/>
      <c r="AK132" s="99"/>
      <c r="AL132" s="99"/>
      <c r="AM132" s="99"/>
      <c r="AN132" s="99"/>
      <c r="AO132" s="99"/>
      <c r="AP132" s="99"/>
      <c r="AQ132" s="99"/>
      <c r="AR132" s="99"/>
      <c r="AS132" s="99"/>
      <c r="AT132" s="99"/>
      <c r="AU132" s="99"/>
      <c r="AV132" s="99"/>
      <c r="AW132" s="99"/>
      <c r="AX132" s="99"/>
      <c r="AY132" s="99"/>
      <c r="AZ132" s="99"/>
      <c r="BA132" s="99"/>
      <c r="BB132" s="99"/>
      <c r="BC132" s="99"/>
      <c r="BD132" s="99"/>
      <c r="BE132" s="99"/>
      <c r="BF132" s="99"/>
      <c r="BG132" s="99"/>
      <c r="BH132" s="99"/>
      <c r="BI132" s="99"/>
      <c r="BJ132" s="99"/>
      <c r="BK132" s="99"/>
      <c r="BL132" s="99"/>
      <c r="BM132" s="99"/>
      <c r="BN132" s="99"/>
      <c r="BO132" s="99"/>
      <c r="BP132" s="99"/>
      <c r="BQ132" s="99"/>
      <c r="BR132" s="99"/>
      <c r="BS132" s="99"/>
      <c r="BT132" s="99"/>
      <c r="BU132" s="99"/>
      <c r="BV132" s="99"/>
      <c r="BW132" s="99"/>
      <c r="BX132" s="99"/>
      <c r="BY132" s="99"/>
      <c r="BZ132" s="99"/>
      <c r="CA132" s="99"/>
      <c r="CB132" s="99"/>
      <c r="CC132" s="99"/>
      <c r="CD132" s="99"/>
      <c r="CE132" s="99"/>
      <c r="CF132" s="99"/>
      <c r="CG132" s="99"/>
      <c r="CH132" s="99"/>
      <c r="CI132" s="99"/>
      <c r="CJ132" s="99"/>
      <c r="CK132" s="99"/>
      <c r="CL132" s="99"/>
      <c r="CM132" s="99"/>
      <c r="CN132" s="99"/>
      <c r="CO132" s="99"/>
      <c r="CP132" s="99"/>
      <c r="CQ132" s="99"/>
      <c r="CR132" s="99"/>
      <c r="CS132" s="99"/>
      <c r="CT132" s="99"/>
      <c r="CU132" s="99"/>
      <c r="CV132" s="99"/>
      <c r="CW132" s="99"/>
      <c r="CX132" s="99"/>
      <c r="CY132" s="99"/>
      <c r="CZ132" s="99"/>
      <c r="DA132" s="99"/>
      <c r="DB132" s="99"/>
      <c r="DC132" s="99"/>
      <c r="DD132" s="99"/>
      <c r="DE132" s="99"/>
      <c r="DF132" s="99"/>
      <c r="DG132" s="99"/>
      <c r="DH132" s="99"/>
      <c r="DI132" s="99"/>
      <c r="DJ132" s="99"/>
      <c r="DK132" s="99"/>
      <c r="DL132" s="99"/>
      <c r="DM132" s="99"/>
      <c r="DN132" s="99"/>
      <c r="DO132" s="99"/>
      <c r="DP132" s="99"/>
      <c r="DQ132" s="99"/>
      <c r="DR132" s="99"/>
      <c r="DS132" s="99"/>
      <c r="DT132" s="99"/>
      <c r="DU132" s="99"/>
      <c r="DV132" s="99"/>
      <c r="DW132" s="99"/>
      <c r="DX132" s="99"/>
      <c r="DY132" s="99"/>
      <c r="DZ132" s="99"/>
      <c r="EA132" s="99"/>
      <c r="EB132" s="99"/>
      <c r="EC132" s="99"/>
      <c r="ED132" s="99"/>
      <c r="EE132" s="99"/>
      <c r="EF132" s="99"/>
      <c r="EG132" s="99"/>
      <c r="EH132" s="100"/>
    </row>
    <row r="133" spans="1:138" ht="23.25" customHeight="1" x14ac:dyDescent="0.25">
      <c r="A133" s="101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90"/>
      <c r="DH133" s="90"/>
      <c r="DI133" s="90"/>
      <c r="DJ133" s="90"/>
      <c r="DK133" s="90"/>
      <c r="DL133" s="90"/>
      <c r="DM133" s="90"/>
      <c r="DN133" s="90"/>
      <c r="DO133" s="90"/>
      <c r="DP133" s="90"/>
      <c r="DQ133" s="90"/>
      <c r="DR133" s="90"/>
      <c r="DS133" s="90"/>
      <c r="DT133" s="90"/>
      <c r="DU133" s="90"/>
      <c r="DV133" s="90"/>
      <c r="DW133" s="90"/>
      <c r="DX133" s="90"/>
      <c r="DY133" s="90"/>
      <c r="DZ133" s="90"/>
      <c r="EA133" s="90"/>
      <c r="EB133" s="90"/>
      <c r="EC133" s="90"/>
      <c r="ED133" s="90"/>
      <c r="EE133" s="90"/>
      <c r="EF133" s="90"/>
      <c r="EG133" s="90"/>
      <c r="EH133" s="102"/>
    </row>
    <row r="134" spans="1:138" ht="23.25" customHeight="1" x14ac:dyDescent="0.25">
      <c r="A134" s="98"/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  <c r="U134" s="99"/>
      <c r="V134" s="99"/>
      <c r="W134" s="99"/>
      <c r="X134" s="99"/>
      <c r="Y134" s="99"/>
      <c r="Z134" s="99"/>
      <c r="AA134" s="99"/>
      <c r="AB134" s="99"/>
      <c r="AC134" s="99"/>
      <c r="AD134" s="99"/>
      <c r="AE134" s="99"/>
      <c r="AF134" s="99"/>
      <c r="AG134" s="99"/>
      <c r="AH134" s="99"/>
      <c r="AI134" s="99"/>
      <c r="AJ134" s="99"/>
      <c r="AK134" s="99"/>
      <c r="AL134" s="99"/>
      <c r="AM134" s="99"/>
      <c r="AN134" s="99"/>
      <c r="AO134" s="99"/>
      <c r="AP134" s="99"/>
      <c r="AQ134" s="99"/>
      <c r="AR134" s="99"/>
      <c r="AS134" s="99"/>
      <c r="AT134" s="99"/>
      <c r="AU134" s="99"/>
      <c r="AV134" s="99"/>
      <c r="AW134" s="99"/>
      <c r="AX134" s="99"/>
      <c r="AY134" s="99"/>
      <c r="AZ134" s="99"/>
      <c r="BA134" s="99"/>
      <c r="BB134" s="99"/>
      <c r="BC134" s="99"/>
      <c r="BD134" s="99"/>
      <c r="BE134" s="99"/>
      <c r="BF134" s="99"/>
      <c r="BG134" s="99"/>
      <c r="BH134" s="99"/>
      <c r="BI134" s="99"/>
      <c r="BJ134" s="99"/>
      <c r="BK134" s="99"/>
      <c r="BL134" s="99"/>
      <c r="BM134" s="99"/>
      <c r="BN134" s="99"/>
      <c r="BO134" s="99"/>
      <c r="BP134" s="99"/>
      <c r="BQ134" s="99"/>
      <c r="BR134" s="99"/>
      <c r="BS134" s="99"/>
      <c r="BT134" s="99"/>
      <c r="BU134" s="99"/>
      <c r="BV134" s="99"/>
      <c r="BW134" s="99"/>
      <c r="BX134" s="99"/>
      <c r="BY134" s="99"/>
      <c r="BZ134" s="99"/>
      <c r="CA134" s="99"/>
      <c r="CB134" s="99"/>
      <c r="CC134" s="99"/>
      <c r="CD134" s="99"/>
      <c r="CE134" s="99"/>
      <c r="CF134" s="99"/>
      <c r="CG134" s="99"/>
      <c r="CH134" s="99"/>
      <c r="CI134" s="99"/>
      <c r="CJ134" s="99"/>
      <c r="CK134" s="99"/>
      <c r="CL134" s="99"/>
      <c r="CM134" s="99"/>
      <c r="CN134" s="99"/>
      <c r="CO134" s="99"/>
      <c r="CP134" s="99"/>
      <c r="CQ134" s="99"/>
      <c r="CR134" s="99"/>
      <c r="CS134" s="99"/>
      <c r="CT134" s="99"/>
      <c r="CU134" s="99"/>
      <c r="CV134" s="99"/>
      <c r="CW134" s="99"/>
      <c r="CX134" s="99"/>
      <c r="CY134" s="99"/>
      <c r="CZ134" s="99"/>
      <c r="DA134" s="99"/>
      <c r="DB134" s="99"/>
      <c r="DC134" s="99"/>
      <c r="DD134" s="99"/>
      <c r="DE134" s="99"/>
      <c r="DF134" s="99"/>
      <c r="DG134" s="99"/>
      <c r="DH134" s="99"/>
      <c r="DI134" s="99"/>
      <c r="DJ134" s="99"/>
      <c r="DK134" s="99"/>
      <c r="DL134" s="99"/>
      <c r="DM134" s="99"/>
      <c r="DN134" s="99"/>
      <c r="DO134" s="99"/>
      <c r="DP134" s="99"/>
      <c r="DQ134" s="99"/>
      <c r="DR134" s="99"/>
      <c r="DS134" s="99"/>
      <c r="DT134" s="99"/>
      <c r="DU134" s="99"/>
      <c r="DV134" s="99"/>
      <c r="DW134" s="99"/>
      <c r="DX134" s="99"/>
      <c r="DY134" s="99"/>
      <c r="DZ134" s="99"/>
      <c r="EA134" s="99"/>
      <c r="EB134" s="99"/>
      <c r="EC134" s="99"/>
      <c r="ED134" s="99"/>
      <c r="EE134" s="99"/>
      <c r="EF134" s="99"/>
      <c r="EG134" s="99"/>
      <c r="EH134" s="100"/>
    </row>
    <row r="135" spans="1:138" ht="23.25" customHeight="1" x14ac:dyDescent="0.25">
      <c r="A135" s="101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90"/>
      <c r="DH135" s="90"/>
      <c r="DI135" s="90"/>
      <c r="DJ135" s="90"/>
      <c r="DK135" s="90"/>
      <c r="DL135" s="90"/>
      <c r="DM135" s="90"/>
      <c r="DN135" s="90"/>
      <c r="DO135" s="90"/>
      <c r="DP135" s="90"/>
      <c r="DQ135" s="90"/>
      <c r="DR135" s="90"/>
      <c r="DS135" s="90"/>
      <c r="DT135" s="90"/>
      <c r="DU135" s="90"/>
      <c r="DV135" s="90"/>
      <c r="DW135" s="90"/>
      <c r="DX135" s="90"/>
      <c r="DY135" s="90"/>
      <c r="DZ135" s="90"/>
      <c r="EA135" s="90"/>
      <c r="EB135" s="90"/>
      <c r="EC135" s="90"/>
      <c r="ED135" s="90"/>
      <c r="EE135" s="90"/>
      <c r="EF135" s="90"/>
      <c r="EG135" s="90"/>
      <c r="EH135" s="102"/>
    </row>
    <row r="136" spans="1:138" ht="23.25" customHeight="1" x14ac:dyDescent="0.25">
      <c r="A136" s="98"/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  <c r="AD136" s="99"/>
      <c r="AE136" s="99"/>
      <c r="AF136" s="99"/>
      <c r="AG136" s="99"/>
      <c r="AH136" s="99"/>
      <c r="AI136" s="99"/>
      <c r="AJ136" s="99"/>
      <c r="AK136" s="99"/>
      <c r="AL136" s="99"/>
      <c r="AM136" s="99"/>
      <c r="AN136" s="99"/>
      <c r="AO136" s="99"/>
      <c r="AP136" s="99"/>
      <c r="AQ136" s="99"/>
      <c r="AR136" s="99"/>
      <c r="AS136" s="99"/>
      <c r="AT136" s="99"/>
      <c r="AU136" s="99"/>
      <c r="AV136" s="99"/>
      <c r="AW136" s="99"/>
      <c r="AX136" s="99"/>
      <c r="AY136" s="99"/>
      <c r="AZ136" s="99"/>
      <c r="BA136" s="99"/>
      <c r="BB136" s="99"/>
      <c r="BC136" s="99"/>
      <c r="BD136" s="99"/>
      <c r="BE136" s="99"/>
      <c r="BF136" s="99"/>
      <c r="BG136" s="99"/>
      <c r="BH136" s="99"/>
      <c r="BI136" s="99"/>
      <c r="BJ136" s="99"/>
      <c r="BK136" s="99"/>
      <c r="BL136" s="99"/>
      <c r="BM136" s="99"/>
      <c r="BN136" s="99"/>
      <c r="BO136" s="99"/>
      <c r="BP136" s="99"/>
      <c r="BQ136" s="99"/>
      <c r="BR136" s="99"/>
      <c r="BS136" s="99"/>
      <c r="BT136" s="99"/>
      <c r="BU136" s="99"/>
      <c r="BV136" s="99"/>
      <c r="BW136" s="99"/>
      <c r="BX136" s="99"/>
      <c r="BY136" s="99"/>
      <c r="BZ136" s="99"/>
      <c r="CA136" s="99"/>
      <c r="CB136" s="99"/>
      <c r="CC136" s="99"/>
      <c r="CD136" s="99"/>
      <c r="CE136" s="99"/>
      <c r="CF136" s="99"/>
      <c r="CG136" s="99"/>
      <c r="CH136" s="99"/>
      <c r="CI136" s="99"/>
      <c r="CJ136" s="99"/>
      <c r="CK136" s="99"/>
      <c r="CL136" s="99"/>
      <c r="CM136" s="99"/>
      <c r="CN136" s="99"/>
      <c r="CO136" s="99"/>
      <c r="CP136" s="99"/>
      <c r="CQ136" s="99"/>
      <c r="CR136" s="99"/>
      <c r="CS136" s="99"/>
      <c r="CT136" s="99"/>
      <c r="CU136" s="99"/>
      <c r="CV136" s="99"/>
      <c r="CW136" s="99"/>
      <c r="CX136" s="99"/>
      <c r="CY136" s="99"/>
      <c r="CZ136" s="99"/>
      <c r="DA136" s="99"/>
      <c r="DB136" s="99"/>
      <c r="DC136" s="99"/>
      <c r="DD136" s="99"/>
      <c r="DE136" s="99"/>
      <c r="DF136" s="99"/>
      <c r="DG136" s="99"/>
      <c r="DH136" s="99"/>
      <c r="DI136" s="99"/>
      <c r="DJ136" s="99"/>
      <c r="DK136" s="99"/>
      <c r="DL136" s="99"/>
      <c r="DM136" s="99"/>
      <c r="DN136" s="99"/>
      <c r="DO136" s="99"/>
      <c r="DP136" s="99"/>
      <c r="DQ136" s="99"/>
      <c r="DR136" s="99"/>
      <c r="DS136" s="99"/>
      <c r="DT136" s="99"/>
      <c r="DU136" s="99"/>
      <c r="DV136" s="99"/>
      <c r="DW136" s="99"/>
      <c r="DX136" s="99"/>
      <c r="DY136" s="99"/>
      <c r="DZ136" s="99"/>
      <c r="EA136" s="99"/>
      <c r="EB136" s="99"/>
      <c r="EC136" s="99"/>
      <c r="ED136" s="99"/>
      <c r="EE136" s="99"/>
      <c r="EF136" s="99"/>
      <c r="EG136" s="99"/>
      <c r="EH136" s="100"/>
    </row>
    <row r="137" spans="1:138" ht="23.25" customHeight="1" x14ac:dyDescent="0.25">
      <c r="A137" s="101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90"/>
      <c r="DH137" s="90"/>
      <c r="DI137" s="90"/>
      <c r="DJ137" s="90"/>
      <c r="DK137" s="90"/>
      <c r="DL137" s="90"/>
      <c r="DM137" s="90"/>
      <c r="DN137" s="90"/>
      <c r="DO137" s="90"/>
      <c r="DP137" s="90"/>
      <c r="DQ137" s="90"/>
      <c r="DR137" s="90"/>
      <c r="DS137" s="90"/>
      <c r="DT137" s="90"/>
      <c r="DU137" s="90"/>
      <c r="DV137" s="90"/>
      <c r="DW137" s="90"/>
      <c r="DX137" s="90"/>
      <c r="DY137" s="90"/>
      <c r="DZ137" s="90"/>
      <c r="EA137" s="90"/>
      <c r="EB137" s="90"/>
      <c r="EC137" s="90"/>
      <c r="ED137" s="90"/>
      <c r="EE137" s="90"/>
      <c r="EF137" s="90"/>
      <c r="EG137" s="90"/>
      <c r="EH137" s="102"/>
    </row>
    <row r="138" spans="1:138" ht="23.25" customHeight="1" x14ac:dyDescent="0.25">
      <c r="A138" s="98"/>
      <c r="B138" s="99"/>
      <c r="C138" s="99"/>
      <c r="D138" s="99"/>
      <c r="E138" s="99"/>
      <c r="F138" s="99"/>
      <c r="G138" s="99"/>
      <c r="H138" s="99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  <c r="AD138" s="99"/>
      <c r="AE138" s="99"/>
      <c r="AF138" s="99"/>
      <c r="AG138" s="99"/>
      <c r="AH138" s="99"/>
      <c r="AI138" s="99"/>
      <c r="AJ138" s="99"/>
      <c r="AK138" s="99"/>
      <c r="AL138" s="99"/>
      <c r="AM138" s="99"/>
      <c r="AN138" s="99"/>
      <c r="AO138" s="99"/>
      <c r="AP138" s="99"/>
      <c r="AQ138" s="99"/>
      <c r="AR138" s="99"/>
      <c r="AS138" s="99"/>
      <c r="AT138" s="99"/>
      <c r="AU138" s="99"/>
      <c r="AV138" s="99"/>
      <c r="AW138" s="99"/>
      <c r="AX138" s="99"/>
      <c r="AY138" s="99"/>
      <c r="AZ138" s="99"/>
      <c r="BA138" s="99"/>
      <c r="BB138" s="99"/>
      <c r="BC138" s="99"/>
      <c r="BD138" s="99"/>
      <c r="BE138" s="99"/>
      <c r="BF138" s="99"/>
      <c r="BG138" s="99"/>
      <c r="BH138" s="99"/>
      <c r="BI138" s="99"/>
      <c r="BJ138" s="99"/>
      <c r="BK138" s="99"/>
      <c r="BL138" s="99"/>
      <c r="BM138" s="99"/>
      <c r="BN138" s="99"/>
      <c r="BO138" s="99"/>
      <c r="BP138" s="99"/>
      <c r="BQ138" s="99"/>
      <c r="BR138" s="99"/>
      <c r="BS138" s="99"/>
      <c r="BT138" s="99"/>
      <c r="BU138" s="99"/>
      <c r="BV138" s="99"/>
      <c r="BW138" s="99"/>
      <c r="BX138" s="99"/>
      <c r="BY138" s="99"/>
      <c r="BZ138" s="99"/>
      <c r="CA138" s="99"/>
      <c r="CB138" s="99"/>
      <c r="CC138" s="99"/>
      <c r="CD138" s="99"/>
      <c r="CE138" s="99"/>
      <c r="CF138" s="99"/>
      <c r="CG138" s="99"/>
      <c r="CH138" s="99"/>
      <c r="CI138" s="99"/>
      <c r="CJ138" s="99"/>
      <c r="CK138" s="99"/>
      <c r="CL138" s="99"/>
      <c r="CM138" s="99"/>
      <c r="CN138" s="99"/>
      <c r="CO138" s="99"/>
      <c r="CP138" s="99"/>
      <c r="CQ138" s="99"/>
      <c r="CR138" s="99"/>
      <c r="CS138" s="99"/>
      <c r="CT138" s="99"/>
      <c r="CU138" s="99"/>
      <c r="CV138" s="99"/>
      <c r="CW138" s="99"/>
      <c r="CX138" s="99"/>
      <c r="CY138" s="99"/>
      <c r="CZ138" s="99"/>
      <c r="DA138" s="99"/>
      <c r="DB138" s="99"/>
      <c r="DC138" s="99"/>
      <c r="DD138" s="99"/>
      <c r="DE138" s="99"/>
      <c r="DF138" s="99"/>
      <c r="DG138" s="99"/>
      <c r="DH138" s="99"/>
      <c r="DI138" s="99"/>
      <c r="DJ138" s="99"/>
      <c r="DK138" s="99"/>
      <c r="DL138" s="99"/>
      <c r="DM138" s="99"/>
      <c r="DN138" s="99"/>
      <c r="DO138" s="99"/>
      <c r="DP138" s="99"/>
      <c r="DQ138" s="99"/>
      <c r="DR138" s="99"/>
      <c r="DS138" s="99"/>
      <c r="DT138" s="99"/>
      <c r="DU138" s="99"/>
      <c r="DV138" s="99"/>
      <c r="DW138" s="99"/>
      <c r="DX138" s="99"/>
      <c r="DY138" s="99"/>
      <c r="DZ138" s="99"/>
      <c r="EA138" s="99"/>
      <c r="EB138" s="99"/>
      <c r="EC138" s="99"/>
      <c r="ED138" s="99"/>
      <c r="EE138" s="99"/>
      <c r="EF138" s="99"/>
      <c r="EG138" s="99"/>
      <c r="EH138" s="100"/>
    </row>
    <row r="139" spans="1:138" ht="23.25" customHeight="1" x14ac:dyDescent="0.25">
      <c r="A139" s="101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90"/>
      <c r="DH139" s="90"/>
      <c r="DI139" s="90"/>
      <c r="DJ139" s="90"/>
      <c r="DK139" s="90"/>
      <c r="DL139" s="90"/>
      <c r="DM139" s="90"/>
      <c r="DN139" s="90"/>
      <c r="DO139" s="90"/>
      <c r="DP139" s="90"/>
      <c r="DQ139" s="90"/>
      <c r="DR139" s="90"/>
      <c r="DS139" s="90"/>
      <c r="DT139" s="90"/>
      <c r="DU139" s="90"/>
      <c r="DV139" s="90"/>
      <c r="DW139" s="90"/>
      <c r="DX139" s="90"/>
      <c r="DY139" s="90"/>
      <c r="DZ139" s="90"/>
      <c r="EA139" s="90"/>
      <c r="EB139" s="90"/>
      <c r="EC139" s="90"/>
      <c r="ED139" s="90"/>
      <c r="EE139" s="90"/>
      <c r="EF139" s="90"/>
      <c r="EG139" s="90"/>
      <c r="EH139" s="102"/>
    </row>
    <row r="140" spans="1:138" ht="23.25" customHeight="1" x14ac:dyDescent="0.25">
      <c r="A140" s="98"/>
      <c r="B140" s="99"/>
      <c r="C140" s="99"/>
      <c r="D140" s="99"/>
      <c r="E140" s="99"/>
      <c r="F140" s="99"/>
      <c r="G140" s="99"/>
      <c r="H140" s="99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  <c r="AD140" s="99"/>
      <c r="AE140" s="99"/>
      <c r="AF140" s="99"/>
      <c r="AG140" s="99"/>
      <c r="AH140" s="99"/>
      <c r="AI140" s="99"/>
      <c r="AJ140" s="99"/>
      <c r="AK140" s="99"/>
      <c r="AL140" s="99"/>
      <c r="AM140" s="99"/>
      <c r="AN140" s="99"/>
      <c r="AO140" s="99"/>
      <c r="AP140" s="99"/>
      <c r="AQ140" s="99"/>
      <c r="AR140" s="99"/>
      <c r="AS140" s="99"/>
      <c r="AT140" s="99"/>
      <c r="AU140" s="99"/>
      <c r="AV140" s="99"/>
      <c r="AW140" s="99"/>
      <c r="AX140" s="99"/>
      <c r="AY140" s="99"/>
      <c r="AZ140" s="99"/>
      <c r="BA140" s="99"/>
      <c r="BB140" s="99"/>
      <c r="BC140" s="99"/>
      <c r="BD140" s="99"/>
      <c r="BE140" s="99"/>
      <c r="BF140" s="99"/>
      <c r="BG140" s="99"/>
      <c r="BH140" s="99"/>
      <c r="BI140" s="99"/>
      <c r="BJ140" s="99"/>
      <c r="BK140" s="99"/>
      <c r="BL140" s="99"/>
      <c r="BM140" s="99"/>
      <c r="BN140" s="99"/>
      <c r="BO140" s="99"/>
      <c r="BP140" s="99"/>
      <c r="BQ140" s="99"/>
      <c r="BR140" s="99"/>
      <c r="BS140" s="99"/>
      <c r="BT140" s="99"/>
      <c r="BU140" s="99"/>
      <c r="BV140" s="99"/>
      <c r="BW140" s="99"/>
      <c r="BX140" s="99"/>
      <c r="BY140" s="99"/>
      <c r="BZ140" s="99"/>
      <c r="CA140" s="99"/>
      <c r="CB140" s="99"/>
      <c r="CC140" s="99"/>
      <c r="CD140" s="99"/>
      <c r="CE140" s="99"/>
      <c r="CF140" s="99"/>
      <c r="CG140" s="99"/>
      <c r="CH140" s="99"/>
      <c r="CI140" s="99"/>
      <c r="CJ140" s="99"/>
      <c r="CK140" s="99"/>
      <c r="CL140" s="99"/>
      <c r="CM140" s="99"/>
      <c r="CN140" s="99"/>
      <c r="CO140" s="99"/>
      <c r="CP140" s="99"/>
      <c r="CQ140" s="99"/>
      <c r="CR140" s="99"/>
      <c r="CS140" s="99"/>
      <c r="CT140" s="99"/>
      <c r="CU140" s="99"/>
      <c r="CV140" s="99"/>
      <c r="CW140" s="99"/>
      <c r="CX140" s="99"/>
      <c r="CY140" s="99"/>
      <c r="CZ140" s="99"/>
      <c r="DA140" s="99"/>
      <c r="DB140" s="99"/>
      <c r="DC140" s="99"/>
      <c r="DD140" s="99"/>
      <c r="DE140" s="99"/>
      <c r="DF140" s="99"/>
      <c r="DG140" s="99"/>
      <c r="DH140" s="99"/>
      <c r="DI140" s="99"/>
      <c r="DJ140" s="99"/>
      <c r="DK140" s="99"/>
      <c r="DL140" s="99"/>
      <c r="DM140" s="99"/>
      <c r="DN140" s="99"/>
      <c r="DO140" s="99"/>
      <c r="DP140" s="99"/>
      <c r="DQ140" s="99"/>
      <c r="DR140" s="99"/>
      <c r="DS140" s="99"/>
      <c r="DT140" s="99"/>
      <c r="DU140" s="99"/>
      <c r="DV140" s="99"/>
      <c r="DW140" s="99"/>
      <c r="DX140" s="99"/>
      <c r="DY140" s="99"/>
      <c r="DZ140" s="99"/>
      <c r="EA140" s="99"/>
      <c r="EB140" s="99"/>
      <c r="EC140" s="99"/>
      <c r="ED140" s="99"/>
      <c r="EE140" s="99"/>
      <c r="EF140" s="99"/>
      <c r="EG140" s="99"/>
      <c r="EH140" s="100"/>
    </row>
    <row r="141" spans="1:138" ht="23.25" customHeight="1" x14ac:dyDescent="0.25">
      <c r="A141" s="101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90"/>
      <c r="DH141" s="90"/>
      <c r="DI141" s="90"/>
      <c r="DJ141" s="90"/>
      <c r="DK141" s="90"/>
      <c r="DL141" s="90"/>
      <c r="DM141" s="90"/>
      <c r="DN141" s="90"/>
      <c r="DO141" s="90"/>
      <c r="DP141" s="90"/>
      <c r="DQ141" s="90"/>
      <c r="DR141" s="90"/>
      <c r="DS141" s="90"/>
      <c r="DT141" s="90"/>
      <c r="DU141" s="90"/>
      <c r="DV141" s="90"/>
      <c r="DW141" s="90"/>
      <c r="DX141" s="90"/>
      <c r="DY141" s="90"/>
      <c r="DZ141" s="90"/>
      <c r="EA141" s="90"/>
      <c r="EB141" s="90"/>
      <c r="EC141" s="90"/>
      <c r="ED141" s="90"/>
      <c r="EE141" s="90"/>
      <c r="EF141" s="90"/>
      <c r="EG141" s="90"/>
      <c r="EH141" s="102"/>
    </row>
    <row r="1414" spans="1:138" ht="23.25" customHeight="1" x14ac:dyDescent="0.25">
      <c r="A1414" s="98"/>
      <c r="B1414" s="99"/>
      <c r="C1414" s="99"/>
      <c r="D1414" s="99"/>
      <c r="E1414" s="99"/>
      <c r="F1414" s="99"/>
      <c r="G1414" s="99"/>
      <c r="H1414" s="99"/>
      <c r="I1414" s="99"/>
      <c r="J1414" s="99"/>
      <c r="K1414" s="99"/>
      <c r="L1414" s="99"/>
      <c r="M1414" s="99"/>
      <c r="N1414" s="99"/>
      <c r="O1414" s="99"/>
      <c r="P1414" s="99"/>
      <c r="Q1414" s="99"/>
      <c r="R1414" s="99"/>
      <c r="S1414" s="99"/>
      <c r="T1414" s="99"/>
      <c r="U1414" s="99"/>
      <c r="V1414" s="99"/>
      <c r="W1414" s="99"/>
      <c r="X1414" s="99"/>
      <c r="Y1414" s="99"/>
      <c r="Z1414" s="99"/>
      <c r="AA1414" s="99"/>
      <c r="AB1414" s="99"/>
      <c r="AC1414" s="99"/>
      <c r="AD1414" s="99"/>
      <c r="AE1414" s="99"/>
      <c r="AF1414" s="99"/>
      <c r="AG1414" s="99"/>
      <c r="AH1414" s="99"/>
      <c r="AI1414" s="99"/>
      <c r="AJ1414" s="99"/>
      <c r="AK1414" s="99"/>
      <c r="AL1414" s="99"/>
      <c r="AM1414" s="99"/>
      <c r="AN1414" s="99"/>
      <c r="AO1414" s="99"/>
      <c r="AP1414" s="99"/>
      <c r="AQ1414" s="99"/>
      <c r="AR1414" s="99"/>
      <c r="AS1414" s="99"/>
      <c r="AT1414" s="99"/>
      <c r="AU1414" s="99"/>
      <c r="AV1414" s="99"/>
      <c r="AW1414" s="99"/>
      <c r="AX1414" s="99"/>
      <c r="AY1414" s="99"/>
      <c r="AZ1414" s="99"/>
      <c r="BA1414" s="99"/>
      <c r="BB1414" s="99"/>
      <c r="BC1414" s="99"/>
      <c r="BD1414" s="99"/>
      <c r="BE1414" s="99"/>
      <c r="BF1414" s="99"/>
      <c r="BG1414" s="99"/>
      <c r="BH1414" s="99"/>
      <c r="BI1414" s="99"/>
      <c r="BJ1414" s="99"/>
      <c r="BK1414" s="99"/>
      <c r="BL1414" s="99"/>
      <c r="BM1414" s="99"/>
      <c r="BN1414" s="99"/>
      <c r="BO1414" s="99"/>
      <c r="BP1414" s="99"/>
      <c r="BQ1414" s="99"/>
      <c r="BR1414" s="99"/>
      <c r="BS1414" s="99"/>
      <c r="BT1414" s="99"/>
      <c r="BU1414" s="99"/>
      <c r="BV1414" s="99"/>
      <c r="BW1414" s="99"/>
      <c r="BX1414" s="99"/>
      <c r="BY1414" s="99"/>
      <c r="BZ1414" s="99"/>
      <c r="CA1414" s="99"/>
      <c r="CB1414" s="99"/>
      <c r="CC1414" s="99"/>
      <c r="CD1414" s="99"/>
      <c r="CE1414" s="99"/>
      <c r="CF1414" s="99"/>
      <c r="CG1414" s="99"/>
      <c r="CH1414" s="99"/>
      <c r="CI1414" s="99"/>
      <c r="CJ1414" s="99"/>
      <c r="CK1414" s="99"/>
      <c r="CL1414" s="99"/>
      <c r="CM1414" s="99"/>
      <c r="CN1414" s="99"/>
      <c r="CO1414" s="99"/>
      <c r="CP1414" s="99"/>
      <c r="CQ1414" s="99"/>
      <c r="CR1414" s="99"/>
      <c r="CS1414" s="99"/>
      <c r="CT1414" s="99"/>
      <c r="CU1414" s="99"/>
      <c r="CV1414" s="99"/>
      <c r="CW1414" s="99"/>
      <c r="CX1414" s="99"/>
      <c r="CY1414" s="99"/>
      <c r="CZ1414" s="99"/>
      <c r="DA1414" s="99"/>
      <c r="DB1414" s="99"/>
      <c r="DC1414" s="99"/>
      <c r="DD1414" s="99"/>
      <c r="DE1414" s="99"/>
      <c r="DF1414" s="99"/>
      <c r="DG1414" s="99"/>
      <c r="DH1414" s="99"/>
      <c r="DI1414" s="99"/>
      <c r="DJ1414" s="99"/>
      <c r="DK1414" s="99"/>
      <c r="DL1414" s="99"/>
      <c r="DM1414" s="99"/>
      <c r="DN1414" s="99"/>
      <c r="DO1414" s="99"/>
      <c r="DP1414" s="99"/>
      <c r="DQ1414" s="99"/>
      <c r="DR1414" s="99"/>
      <c r="DS1414" s="99"/>
      <c r="DT1414" s="99"/>
      <c r="DU1414" s="99"/>
      <c r="DV1414" s="99"/>
      <c r="DW1414" s="99"/>
      <c r="DX1414" s="99"/>
      <c r="DY1414" s="99"/>
      <c r="DZ1414" s="99"/>
      <c r="EA1414" s="99"/>
      <c r="EB1414" s="99"/>
      <c r="EC1414" s="99"/>
      <c r="ED1414" s="99"/>
      <c r="EE1414" s="99"/>
      <c r="EF1414" s="99"/>
      <c r="EG1414" s="99"/>
      <c r="EH1414" s="100"/>
    </row>
    <row r="1415" spans="1:138" ht="23.25" customHeight="1" x14ac:dyDescent="0.25">
      <c r="A1415" s="101"/>
      <c r="B1415" s="90"/>
      <c r="C1415" s="90"/>
      <c r="D1415" s="90"/>
      <c r="E1415" s="90"/>
      <c r="F1415" s="90"/>
      <c r="G1415" s="90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  <c r="U1415" s="90"/>
      <c r="V1415" s="90"/>
      <c r="W1415" s="90"/>
      <c r="X1415" s="90"/>
      <c r="Y1415" s="90"/>
      <c r="Z1415" s="90"/>
      <c r="AA1415" s="90"/>
      <c r="AB1415" s="90"/>
      <c r="AC1415" s="90"/>
      <c r="AD1415" s="90"/>
      <c r="AE1415" s="90"/>
      <c r="AF1415" s="90"/>
      <c r="AG1415" s="90"/>
      <c r="AH1415" s="90"/>
      <c r="AI1415" s="90"/>
      <c r="AJ1415" s="90"/>
      <c r="AK1415" s="90"/>
      <c r="AL1415" s="90"/>
      <c r="AM1415" s="90"/>
      <c r="AN1415" s="90"/>
      <c r="AO1415" s="90"/>
      <c r="AP1415" s="90"/>
      <c r="AQ1415" s="90"/>
      <c r="AR1415" s="90"/>
      <c r="AS1415" s="90"/>
      <c r="AT1415" s="90"/>
      <c r="AU1415" s="90"/>
      <c r="AV1415" s="90"/>
      <c r="AW1415" s="90"/>
      <c r="AX1415" s="90"/>
      <c r="AY1415" s="90"/>
      <c r="AZ1415" s="90"/>
      <c r="BA1415" s="90"/>
      <c r="BB1415" s="90"/>
      <c r="BC1415" s="90"/>
      <c r="BD1415" s="90"/>
      <c r="BE1415" s="90"/>
      <c r="BF1415" s="90"/>
      <c r="BG1415" s="90"/>
      <c r="BH1415" s="90"/>
      <c r="BI1415" s="90"/>
      <c r="BJ1415" s="90"/>
      <c r="BK1415" s="90"/>
      <c r="BL1415" s="90"/>
      <c r="BM1415" s="90"/>
      <c r="BN1415" s="90"/>
      <c r="BO1415" s="90"/>
      <c r="BP1415" s="90"/>
      <c r="BQ1415" s="90"/>
      <c r="BR1415" s="90"/>
      <c r="BS1415" s="90"/>
      <c r="BT1415" s="90"/>
      <c r="BU1415" s="90"/>
      <c r="BV1415" s="90"/>
      <c r="BW1415" s="90"/>
      <c r="BX1415" s="90"/>
      <c r="BY1415" s="90"/>
      <c r="BZ1415" s="90"/>
      <c r="CA1415" s="90"/>
      <c r="CB1415" s="90"/>
      <c r="CC1415" s="90"/>
      <c r="CD1415" s="90"/>
      <c r="CE1415" s="90"/>
      <c r="CF1415" s="90"/>
      <c r="CG1415" s="90"/>
      <c r="CH1415" s="90"/>
      <c r="CI1415" s="90"/>
      <c r="CJ1415" s="90"/>
      <c r="CK1415" s="90"/>
      <c r="CL1415" s="90"/>
      <c r="CM1415" s="90"/>
      <c r="CN1415" s="90"/>
      <c r="CO1415" s="90"/>
      <c r="CP1415" s="90"/>
      <c r="CQ1415" s="90"/>
      <c r="CR1415" s="90"/>
      <c r="CS1415" s="90"/>
      <c r="CT1415" s="90"/>
      <c r="CU1415" s="90"/>
      <c r="CV1415" s="90"/>
      <c r="CW1415" s="90"/>
      <c r="CX1415" s="90"/>
      <c r="CY1415" s="90"/>
      <c r="CZ1415" s="90"/>
      <c r="DA1415" s="90"/>
      <c r="DB1415" s="90"/>
      <c r="DC1415" s="90"/>
      <c r="DD1415" s="90"/>
      <c r="DE1415" s="90"/>
      <c r="DF1415" s="90"/>
      <c r="DG1415" s="90"/>
      <c r="DH1415" s="90"/>
      <c r="DI1415" s="90"/>
      <c r="DJ1415" s="90"/>
      <c r="DK1415" s="90"/>
      <c r="DL1415" s="90"/>
      <c r="DM1415" s="90"/>
      <c r="DN1415" s="90"/>
      <c r="DO1415" s="90"/>
      <c r="DP1415" s="90"/>
      <c r="DQ1415" s="90"/>
      <c r="DR1415" s="90"/>
      <c r="DS1415" s="90"/>
      <c r="DT1415" s="90"/>
      <c r="DU1415" s="90"/>
      <c r="DV1415" s="90"/>
      <c r="DW1415" s="90"/>
      <c r="DX1415" s="90"/>
      <c r="DY1415" s="90"/>
      <c r="DZ1415" s="90"/>
      <c r="EA1415" s="90"/>
      <c r="EB1415" s="90"/>
      <c r="EC1415" s="90"/>
      <c r="ED1415" s="90"/>
      <c r="EE1415" s="90"/>
      <c r="EF1415" s="90"/>
      <c r="EG1415" s="90"/>
      <c r="EH1415" s="102"/>
    </row>
    <row r="1416" spans="1:138" ht="23.25" customHeight="1" x14ac:dyDescent="0.25">
      <c r="A1416" s="98"/>
      <c r="B1416" s="99"/>
      <c r="C1416" s="99"/>
      <c r="D1416" s="99"/>
      <c r="E1416" s="99"/>
      <c r="F1416" s="99"/>
      <c r="G1416" s="99"/>
      <c r="H1416" s="99"/>
      <c r="I1416" s="99"/>
      <c r="J1416" s="99"/>
      <c r="K1416" s="99"/>
      <c r="L1416" s="99"/>
      <c r="M1416" s="99"/>
      <c r="N1416" s="99"/>
      <c r="O1416" s="99"/>
      <c r="P1416" s="99"/>
      <c r="Q1416" s="99"/>
      <c r="R1416" s="99"/>
      <c r="S1416" s="99"/>
      <c r="T1416" s="99"/>
      <c r="U1416" s="99"/>
      <c r="V1416" s="99"/>
      <c r="W1416" s="99"/>
      <c r="X1416" s="99"/>
      <c r="Y1416" s="99"/>
      <c r="Z1416" s="99"/>
      <c r="AA1416" s="99"/>
      <c r="AB1416" s="99"/>
      <c r="AC1416" s="99"/>
      <c r="AD1416" s="99"/>
      <c r="AE1416" s="99"/>
      <c r="AF1416" s="99"/>
      <c r="AG1416" s="99"/>
      <c r="AH1416" s="99"/>
      <c r="AI1416" s="99"/>
      <c r="AJ1416" s="99"/>
      <c r="AK1416" s="99"/>
      <c r="AL1416" s="99"/>
      <c r="AM1416" s="99"/>
      <c r="AN1416" s="99"/>
      <c r="AO1416" s="99"/>
      <c r="AP1416" s="99"/>
      <c r="AQ1416" s="99"/>
      <c r="AR1416" s="99"/>
      <c r="AS1416" s="99"/>
      <c r="AT1416" s="99"/>
      <c r="AU1416" s="99"/>
      <c r="AV1416" s="99"/>
      <c r="AW1416" s="99"/>
      <c r="AX1416" s="99"/>
      <c r="AY1416" s="99"/>
      <c r="AZ1416" s="99"/>
      <c r="BA1416" s="99"/>
      <c r="BB1416" s="99"/>
      <c r="BC1416" s="99"/>
      <c r="BD1416" s="99"/>
      <c r="BE1416" s="99"/>
      <c r="BF1416" s="99"/>
      <c r="BG1416" s="99"/>
      <c r="BH1416" s="99"/>
      <c r="BI1416" s="99"/>
      <c r="BJ1416" s="99"/>
      <c r="BK1416" s="99"/>
      <c r="BL1416" s="99"/>
      <c r="BM1416" s="99"/>
      <c r="BN1416" s="99"/>
      <c r="BO1416" s="99"/>
      <c r="BP1416" s="99"/>
      <c r="BQ1416" s="99"/>
      <c r="BR1416" s="99"/>
      <c r="BS1416" s="99"/>
      <c r="BT1416" s="99"/>
      <c r="BU1416" s="99"/>
      <c r="BV1416" s="99"/>
      <c r="BW1416" s="99"/>
      <c r="BX1416" s="99"/>
      <c r="BY1416" s="99"/>
      <c r="BZ1416" s="99"/>
      <c r="CA1416" s="99"/>
      <c r="CB1416" s="99"/>
      <c r="CC1416" s="99"/>
      <c r="CD1416" s="99"/>
      <c r="CE1416" s="99"/>
      <c r="CF1416" s="99"/>
      <c r="CG1416" s="99"/>
      <c r="CH1416" s="99"/>
      <c r="CI1416" s="99"/>
      <c r="CJ1416" s="99"/>
      <c r="CK1416" s="99"/>
      <c r="CL1416" s="99"/>
      <c r="CM1416" s="99"/>
      <c r="CN1416" s="99"/>
      <c r="CO1416" s="99"/>
      <c r="CP1416" s="99"/>
      <c r="CQ1416" s="99"/>
      <c r="CR1416" s="99"/>
      <c r="CS1416" s="99"/>
      <c r="CT1416" s="99"/>
      <c r="CU1416" s="99"/>
      <c r="CV1416" s="99"/>
      <c r="CW1416" s="99"/>
      <c r="CX1416" s="99"/>
      <c r="CY1416" s="99"/>
      <c r="CZ1416" s="99"/>
      <c r="DA1416" s="99"/>
      <c r="DB1416" s="99"/>
      <c r="DC1416" s="99"/>
      <c r="DD1416" s="99"/>
      <c r="DE1416" s="99"/>
      <c r="DF1416" s="99"/>
      <c r="DG1416" s="99"/>
      <c r="DH1416" s="99"/>
      <c r="DI1416" s="99"/>
      <c r="DJ1416" s="99"/>
      <c r="DK1416" s="99"/>
      <c r="DL1416" s="99"/>
      <c r="DM1416" s="99"/>
      <c r="DN1416" s="99"/>
      <c r="DO1416" s="99"/>
      <c r="DP1416" s="99"/>
      <c r="DQ1416" s="99"/>
      <c r="DR1416" s="99"/>
      <c r="DS1416" s="99"/>
      <c r="DT1416" s="99"/>
      <c r="DU1416" s="99"/>
      <c r="DV1416" s="99"/>
      <c r="DW1416" s="99"/>
      <c r="DX1416" s="99"/>
      <c r="DY1416" s="99"/>
      <c r="DZ1416" s="99"/>
      <c r="EA1416" s="99"/>
      <c r="EB1416" s="99"/>
      <c r="EC1416" s="99"/>
      <c r="ED1416" s="99"/>
      <c r="EE1416" s="99"/>
      <c r="EF1416" s="99"/>
      <c r="EG1416" s="99"/>
      <c r="EH1416" s="100"/>
    </row>
    <row r="1417" spans="1:138" ht="23.25" customHeight="1" x14ac:dyDescent="0.25">
      <c r="A1417" s="101"/>
      <c r="B1417" s="90"/>
      <c r="C1417" s="90"/>
      <c r="D1417" s="90"/>
      <c r="E1417" s="90"/>
      <c r="F1417" s="90"/>
      <c r="G1417" s="90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  <c r="U1417" s="90"/>
      <c r="V1417" s="90"/>
      <c r="W1417" s="90"/>
      <c r="X1417" s="90"/>
      <c r="Y1417" s="90"/>
      <c r="Z1417" s="90"/>
      <c r="AA1417" s="90"/>
      <c r="AB1417" s="90"/>
      <c r="AC1417" s="90"/>
      <c r="AD1417" s="90"/>
      <c r="AE1417" s="90"/>
      <c r="AF1417" s="90"/>
      <c r="AG1417" s="90"/>
      <c r="AH1417" s="90"/>
      <c r="AI1417" s="90"/>
      <c r="AJ1417" s="90"/>
      <c r="AK1417" s="90"/>
      <c r="AL1417" s="90"/>
      <c r="AM1417" s="90"/>
      <c r="AN1417" s="90"/>
      <c r="AO1417" s="90"/>
      <c r="AP1417" s="90"/>
      <c r="AQ1417" s="90"/>
      <c r="AR1417" s="90"/>
      <c r="AS1417" s="90"/>
      <c r="AT1417" s="90"/>
      <c r="AU1417" s="90"/>
      <c r="AV1417" s="90"/>
      <c r="AW1417" s="90"/>
      <c r="AX1417" s="90"/>
      <c r="AY1417" s="90"/>
      <c r="AZ1417" s="90"/>
      <c r="BA1417" s="90"/>
      <c r="BB1417" s="90"/>
      <c r="BC1417" s="90"/>
      <c r="BD1417" s="90"/>
      <c r="BE1417" s="90"/>
      <c r="BF1417" s="90"/>
      <c r="BG1417" s="90"/>
      <c r="BH1417" s="90"/>
      <c r="BI1417" s="90"/>
      <c r="BJ1417" s="90"/>
      <c r="BK1417" s="90"/>
      <c r="BL1417" s="90"/>
      <c r="BM1417" s="90"/>
      <c r="BN1417" s="90"/>
      <c r="BO1417" s="90"/>
      <c r="BP1417" s="90"/>
      <c r="BQ1417" s="90"/>
      <c r="BR1417" s="90"/>
      <c r="BS1417" s="90"/>
      <c r="BT1417" s="90"/>
      <c r="BU1417" s="90"/>
      <c r="BV1417" s="90"/>
      <c r="BW1417" s="90"/>
      <c r="BX1417" s="90"/>
      <c r="BY1417" s="90"/>
      <c r="BZ1417" s="90"/>
      <c r="CA1417" s="90"/>
      <c r="CB1417" s="90"/>
      <c r="CC1417" s="90"/>
      <c r="CD1417" s="90"/>
      <c r="CE1417" s="90"/>
      <c r="CF1417" s="90"/>
      <c r="CG1417" s="90"/>
      <c r="CH1417" s="90"/>
      <c r="CI1417" s="90"/>
      <c r="CJ1417" s="90"/>
      <c r="CK1417" s="90"/>
      <c r="CL1417" s="90"/>
      <c r="CM1417" s="90"/>
      <c r="CN1417" s="90"/>
      <c r="CO1417" s="90"/>
      <c r="CP1417" s="90"/>
      <c r="CQ1417" s="90"/>
      <c r="CR1417" s="90"/>
      <c r="CS1417" s="90"/>
      <c r="CT1417" s="90"/>
      <c r="CU1417" s="90"/>
      <c r="CV1417" s="90"/>
      <c r="CW1417" s="90"/>
      <c r="CX1417" s="90"/>
      <c r="CY1417" s="90"/>
      <c r="CZ1417" s="90"/>
      <c r="DA1417" s="90"/>
      <c r="DB1417" s="90"/>
      <c r="DC1417" s="90"/>
      <c r="DD1417" s="90"/>
      <c r="DE1417" s="90"/>
      <c r="DF1417" s="90"/>
      <c r="DG1417" s="90"/>
      <c r="DH1417" s="90"/>
      <c r="DI1417" s="90"/>
      <c r="DJ1417" s="90"/>
      <c r="DK1417" s="90"/>
      <c r="DL1417" s="90"/>
      <c r="DM1417" s="90"/>
      <c r="DN1417" s="90"/>
      <c r="DO1417" s="90"/>
      <c r="DP1417" s="90"/>
      <c r="DQ1417" s="90"/>
      <c r="DR1417" s="90"/>
      <c r="DS1417" s="90"/>
      <c r="DT1417" s="90"/>
      <c r="DU1417" s="90"/>
      <c r="DV1417" s="90"/>
      <c r="DW1417" s="90"/>
      <c r="DX1417" s="90"/>
      <c r="DY1417" s="90"/>
      <c r="DZ1417" s="90"/>
      <c r="EA1417" s="90"/>
      <c r="EB1417" s="90"/>
      <c r="EC1417" s="90"/>
      <c r="ED1417" s="90"/>
      <c r="EE1417" s="90"/>
      <c r="EF1417" s="90"/>
      <c r="EG1417" s="90"/>
      <c r="EH1417" s="102"/>
    </row>
    <row r="1418" spans="1:138" ht="23.25" customHeight="1" x14ac:dyDescent="0.25">
      <c r="A1418" s="98"/>
      <c r="B1418" s="99"/>
      <c r="C1418" s="99"/>
      <c r="D1418" s="99"/>
      <c r="E1418" s="99"/>
      <c r="F1418" s="99"/>
      <c r="G1418" s="99"/>
      <c r="H1418" s="99"/>
      <c r="I1418" s="99"/>
      <c r="J1418" s="99"/>
      <c r="K1418" s="99"/>
      <c r="L1418" s="99"/>
      <c r="M1418" s="99"/>
      <c r="N1418" s="99"/>
      <c r="O1418" s="99"/>
      <c r="P1418" s="99"/>
      <c r="Q1418" s="99"/>
      <c r="R1418" s="99"/>
      <c r="S1418" s="99"/>
      <c r="T1418" s="99"/>
      <c r="U1418" s="99"/>
      <c r="V1418" s="99"/>
      <c r="W1418" s="99"/>
      <c r="X1418" s="99"/>
      <c r="Y1418" s="99"/>
      <c r="Z1418" s="99"/>
      <c r="AA1418" s="99"/>
      <c r="AB1418" s="99"/>
      <c r="AC1418" s="99"/>
      <c r="AD1418" s="99"/>
      <c r="AE1418" s="99"/>
      <c r="AF1418" s="99"/>
      <c r="AG1418" s="99"/>
      <c r="AH1418" s="99"/>
      <c r="AI1418" s="99"/>
      <c r="AJ1418" s="99"/>
      <c r="AK1418" s="99"/>
      <c r="AL1418" s="99"/>
      <c r="AM1418" s="99"/>
      <c r="AN1418" s="99"/>
      <c r="AO1418" s="99"/>
      <c r="AP1418" s="99"/>
      <c r="AQ1418" s="99"/>
      <c r="AR1418" s="99"/>
      <c r="AS1418" s="99"/>
      <c r="AT1418" s="99"/>
      <c r="AU1418" s="99"/>
      <c r="AV1418" s="99"/>
      <c r="AW1418" s="99"/>
      <c r="AX1418" s="99"/>
      <c r="AY1418" s="99"/>
      <c r="AZ1418" s="99"/>
      <c r="BA1418" s="99"/>
      <c r="BB1418" s="99"/>
      <c r="BC1418" s="99"/>
      <c r="BD1418" s="99"/>
      <c r="BE1418" s="99"/>
      <c r="BF1418" s="99"/>
      <c r="BG1418" s="99"/>
      <c r="BH1418" s="99"/>
      <c r="BI1418" s="99"/>
      <c r="BJ1418" s="99"/>
      <c r="BK1418" s="99"/>
      <c r="BL1418" s="99"/>
      <c r="BM1418" s="99"/>
      <c r="BN1418" s="99"/>
      <c r="BO1418" s="99"/>
      <c r="BP1418" s="99"/>
      <c r="BQ1418" s="99"/>
      <c r="BR1418" s="99"/>
      <c r="BS1418" s="99"/>
      <c r="BT1418" s="99"/>
      <c r="BU1418" s="99"/>
      <c r="BV1418" s="99"/>
      <c r="BW1418" s="99"/>
      <c r="BX1418" s="99"/>
      <c r="BY1418" s="99"/>
      <c r="BZ1418" s="99"/>
      <c r="CA1418" s="99"/>
      <c r="CB1418" s="99"/>
      <c r="CC1418" s="99"/>
      <c r="CD1418" s="99"/>
      <c r="CE1418" s="99"/>
      <c r="CF1418" s="99"/>
      <c r="CG1418" s="99"/>
      <c r="CH1418" s="99"/>
      <c r="CI1418" s="99"/>
      <c r="CJ1418" s="99"/>
      <c r="CK1418" s="99"/>
      <c r="CL1418" s="99"/>
      <c r="CM1418" s="99"/>
      <c r="CN1418" s="99"/>
      <c r="CO1418" s="99"/>
      <c r="CP1418" s="99"/>
      <c r="CQ1418" s="99"/>
      <c r="CR1418" s="99"/>
      <c r="CS1418" s="99"/>
      <c r="CT1418" s="99"/>
      <c r="CU1418" s="99"/>
      <c r="CV1418" s="99"/>
      <c r="CW1418" s="99"/>
      <c r="CX1418" s="99"/>
      <c r="CY1418" s="99"/>
      <c r="CZ1418" s="99"/>
      <c r="DA1418" s="99"/>
      <c r="DB1418" s="99"/>
      <c r="DC1418" s="99"/>
      <c r="DD1418" s="99"/>
      <c r="DE1418" s="99"/>
      <c r="DF1418" s="99"/>
      <c r="DG1418" s="99"/>
      <c r="DH1418" s="99"/>
      <c r="DI1418" s="99"/>
      <c r="DJ1418" s="99"/>
      <c r="DK1418" s="99"/>
      <c r="DL1418" s="99"/>
      <c r="DM1418" s="99"/>
      <c r="DN1418" s="99"/>
      <c r="DO1418" s="99"/>
      <c r="DP1418" s="99"/>
      <c r="DQ1418" s="99"/>
      <c r="DR1418" s="99"/>
      <c r="DS1418" s="99"/>
      <c r="DT1418" s="99"/>
      <c r="DU1418" s="99"/>
      <c r="DV1418" s="99"/>
      <c r="DW1418" s="99"/>
      <c r="DX1418" s="99"/>
      <c r="DY1418" s="99"/>
      <c r="DZ1418" s="99"/>
      <c r="EA1418" s="99"/>
      <c r="EB1418" s="99"/>
      <c r="EC1418" s="99"/>
      <c r="ED1418" s="99"/>
      <c r="EE1418" s="99"/>
      <c r="EF1418" s="99"/>
      <c r="EG1418" s="99"/>
      <c r="EH1418" s="100"/>
    </row>
    <row r="1419" spans="1:138" ht="23.25" customHeight="1" x14ac:dyDescent="0.25">
      <c r="A1419" s="101"/>
      <c r="B1419" s="90"/>
      <c r="C1419" s="90"/>
      <c r="D1419" s="90"/>
      <c r="E1419" s="90"/>
      <c r="F1419" s="90"/>
      <c r="G1419" s="90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  <c r="U1419" s="90"/>
      <c r="V1419" s="90"/>
      <c r="W1419" s="90"/>
      <c r="X1419" s="90"/>
      <c r="Y1419" s="90"/>
      <c r="Z1419" s="90"/>
      <c r="AA1419" s="90"/>
      <c r="AB1419" s="90"/>
      <c r="AC1419" s="90"/>
      <c r="AD1419" s="90"/>
      <c r="AE1419" s="90"/>
      <c r="AF1419" s="90"/>
      <c r="AG1419" s="90"/>
      <c r="AH1419" s="90"/>
      <c r="AI1419" s="90"/>
      <c r="AJ1419" s="90"/>
      <c r="AK1419" s="90"/>
      <c r="AL1419" s="90"/>
      <c r="AM1419" s="90"/>
      <c r="AN1419" s="90"/>
      <c r="AO1419" s="90"/>
      <c r="AP1419" s="90"/>
      <c r="AQ1419" s="90"/>
      <c r="AR1419" s="90"/>
      <c r="AS1419" s="90"/>
      <c r="AT1419" s="90"/>
      <c r="AU1419" s="90"/>
      <c r="AV1419" s="90"/>
      <c r="AW1419" s="90"/>
      <c r="AX1419" s="90"/>
      <c r="AY1419" s="90"/>
      <c r="AZ1419" s="90"/>
      <c r="BA1419" s="90"/>
      <c r="BB1419" s="90"/>
      <c r="BC1419" s="90"/>
      <c r="BD1419" s="90"/>
      <c r="BE1419" s="90"/>
      <c r="BF1419" s="90"/>
      <c r="BG1419" s="90"/>
      <c r="BH1419" s="90"/>
      <c r="BI1419" s="90"/>
      <c r="BJ1419" s="90"/>
      <c r="BK1419" s="90"/>
      <c r="BL1419" s="90"/>
      <c r="BM1419" s="90"/>
      <c r="BN1419" s="90"/>
      <c r="BO1419" s="90"/>
      <c r="BP1419" s="90"/>
      <c r="BQ1419" s="90"/>
      <c r="BR1419" s="90"/>
      <c r="BS1419" s="90"/>
      <c r="BT1419" s="90"/>
      <c r="BU1419" s="90"/>
      <c r="BV1419" s="90"/>
      <c r="BW1419" s="90"/>
      <c r="BX1419" s="90"/>
      <c r="BY1419" s="90"/>
      <c r="BZ1419" s="90"/>
      <c r="CA1419" s="90"/>
      <c r="CB1419" s="90"/>
      <c r="CC1419" s="90"/>
      <c r="CD1419" s="90"/>
      <c r="CE1419" s="90"/>
      <c r="CF1419" s="90"/>
      <c r="CG1419" s="90"/>
      <c r="CH1419" s="90"/>
      <c r="CI1419" s="90"/>
      <c r="CJ1419" s="90"/>
      <c r="CK1419" s="90"/>
      <c r="CL1419" s="90"/>
      <c r="CM1419" s="90"/>
      <c r="CN1419" s="90"/>
      <c r="CO1419" s="90"/>
      <c r="CP1419" s="90"/>
      <c r="CQ1419" s="90"/>
      <c r="CR1419" s="90"/>
      <c r="CS1419" s="90"/>
      <c r="CT1419" s="90"/>
      <c r="CU1419" s="90"/>
      <c r="CV1419" s="90"/>
      <c r="CW1419" s="90"/>
      <c r="CX1419" s="90"/>
      <c r="CY1419" s="90"/>
      <c r="CZ1419" s="90"/>
      <c r="DA1419" s="90"/>
      <c r="DB1419" s="90"/>
      <c r="DC1419" s="90"/>
      <c r="DD1419" s="90"/>
      <c r="DE1419" s="90"/>
      <c r="DF1419" s="90"/>
      <c r="DG1419" s="90"/>
      <c r="DH1419" s="90"/>
      <c r="DI1419" s="90"/>
      <c r="DJ1419" s="90"/>
      <c r="DK1419" s="90"/>
      <c r="DL1419" s="90"/>
      <c r="DM1419" s="90"/>
      <c r="DN1419" s="90"/>
      <c r="DO1419" s="90"/>
      <c r="DP1419" s="90"/>
      <c r="DQ1419" s="90"/>
      <c r="DR1419" s="90"/>
      <c r="DS1419" s="90"/>
      <c r="DT1419" s="90"/>
      <c r="DU1419" s="90"/>
      <c r="DV1419" s="90"/>
      <c r="DW1419" s="90"/>
      <c r="DX1419" s="90"/>
      <c r="DY1419" s="90"/>
      <c r="DZ1419" s="90"/>
      <c r="EA1419" s="90"/>
      <c r="EB1419" s="90"/>
      <c r="EC1419" s="90"/>
      <c r="ED1419" s="90"/>
      <c r="EE1419" s="90"/>
      <c r="EF1419" s="90"/>
      <c r="EG1419" s="90"/>
      <c r="EH1419" s="102"/>
    </row>
    <row r="1420" spans="1:138" ht="23.25" customHeight="1" x14ac:dyDescent="0.25">
      <c r="A1420" s="98"/>
      <c r="B1420" s="99"/>
      <c r="C1420" s="99"/>
      <c r="D1420" s="99"/>
      <c r="E1420" s="99"/>
      <c r="F1420" s="99"/>
      <c r="G1420" s="99"/>
      <c r="H1420" s="99"/>
      <c r="I1420" s="99"/>
      <c r="J1420" s="99"/>
      <c r="K1420" s="99"/>
      <c r="L1420" s="99"/>
      <c r="M1420" s="99"/>
      <c r="N1420" s="99"/>
      <c r="O1420" s="99"/>
      <c r="P1420" s="99"/>
      <c r="Q1420" s="99"/>
      <c r="R1420" s="99"/>
      <c r="S1420" s="99"/>
      <c r="T1420" s="99"/>
      <c r="U1420" s="99"/>
      <c r="V1420" s="99"/>
      <c r="W1420" s="99"/>
      <c r="X1420" s="99"/>
      <c r="Y1420" s="99"/>
      <c r="Z1420" s="99"/>
      <c r="AA1420" s="99"/>
      <c r="AB1420" s="99"/>
      <c r="AC1420" s="99"/>
      <c r="AD1420" s="99"/>
      <c r="AE1420" s="99"/>
      <c r="AF1420" s="99"/>
      <c r="AG1420" s="99"/>
      <c r="AH1420" s="99"/>
      <c r="AI1420" s="99"/>
      <c r="AJ1420" s="99"/>
      <c r="AK1420" s="99"/>
      <c r="AL1420" s="99"/>
      <c r="AM1420" s="99"/>
      <c r="AN1420" s="99"/>
      <c r="AO1420" s="99"/>
      <c r="AP1420" s="99"/>
      <c r="AQ1420" s="99"/>
      <c r="AR1420" s="99"/>
      <c r="AS1420" s="99"/>
      <c r="AT1420" s="99"/>
      <c r="AU1420" s="99"/>
      <c r="AV1420" s="99"/>
      <c r="AW1420" s="99"/>
      <c r="AX1420" s="99"/>
      <c r="AY1420" s="99"/>
      <c r="AZ1420" s="99"/>
      <c r="BA1420" s="99"/>
      <c r="BB1420" s="99"/>
      <c r="BC1420" s="99"/>
      <c r="BD1420" s="99"/>
      <c r="BE1420" s="99"/>
      <c r="BF1420" s="99"/>
      <c r="BG1420" s="99"/>
      <c r="BH1420" s="99"/>
      <c r="BI1420" s="99"/>
      <c r="BJ1420" s="99"/>
      <c r="BK1420" s="99"/>
      <c r="BL1420" s="99"/>
      <c r="BM1420" s="99"/>
      <c r="BN1420" s="99"/>
      <c r="BO1420" s="99"/>
      <c r="BP1420" s="99"/>
      <c r="BQ1420" s="99"/>
      <c r="BR1420" s="99"/>
      <c r="BS1420" s="99"/>
      <c r="BT1420" s="99"/>
      <c r="BU1420" s="99"/>
      <c r="BV1420" s="99"/>
      <c r="BW1420" s="99"/>
      <c r="BX1420" s="99"/>
      <c r="BY1420" s="99"/>
      <c r="BZ1420" s="99"/>
      <c r="CA1420" s="99"/>
      <c r="CB1420" s="99"/>
      <c r="CC1420" s="99"/>
      <c r="CD1420" s="99"/>
      <c r="CE1420" s="99"/>
      <c r="CF1420" s="99"/>
      <c r="CG1420" s="99"/>
      <c r="CH1420" s="99"/>
      <c r="CI1420" s="99"/>
      <c r="CJ1420" s="99"/>
      <c r="CK1420" s="99"/>
      <c r="CL1420" s="99"/>
      <c r="CM1420" s="99"/>
      <c r="CN1420" s="99"/>
      <c r="CO1420" s="99"/>
      <c r="CP1420" s="99"/>
      <c r="CQ1420" s="99"/>
      <c r="CR1420" s="99"/>
      <c r="CS1420" s="99"/>
      <c r="CT1420" s="99"/>
      <c r="CU1420" s="99"/>
      <c r="CV1420" s="99"/>
      <c r="CW1420" s="99"/>
      <c r="CX1420" s="99"/>
      <c r="CY1420" s="99"/>
      <c r="CZ1420" s="99"/>
      <c r="DA1420" s="99"/>
      <c r="DB1420" s="99"/>
      <c r="DC1420" s="99"/>
      <c r="DD1420" s="99"/>
      <c r="DE1420" s="99"/>
      <c r="DF1420" s="99"/>
      <c r="DG1420" s="99"/>
      <c r="DH1420" s="99"/>
      <c r="DI1420" s="99"/>
      <c r="DJ1420" s="99"/>
      <c r="DK1420" s="99"/>
      <c r="DL1420" s="99"/>
      <c r="DM1420" s="99"/>
      <c r="DN1420" s="99"/>
      <c r="DO1420" s="99"/>
      <c r="DP1420" s="99"/>
      <c r="DQ1420" s="99"/>
      <c r="DR1420" s="99"/>
      <c r="DS1420" s="99"/>
      <c r="DT1420" s="99"/>
      <c r="DU1420" s="99"/>
      <c r="DV1420" s="99"/>
      <c r="DW1420" s="99"/>
      <c r="DX1420" s="99"/>
      <c r="DY1420" s="99"/>
      <c r="DZ1420" s="99"/>
      <c r="EA1420" s="99"/>
      <c r="EB1420" s="99"/>
      <c r="EC1420" s="99"/>
      <c r="ED1420" s="99"/>
      <c r="EE1420" s="99"/>
      <c r="EF1420" s="99"/>
      <c r="EG1420" s="99"/>
      <c r="EH1420" s="100"/>
    </row>
    <row r="1421" spans="1:138" ht="23.25" customHeight="1" x14ac:dyDescent="0.25">
      <c r="A1421" s="101"/>
      <c r="B1421" s="90"/>
      <c r="C1421" s="90"/>
      <c r="D1421" s="90"/>
      <c r="E1421" s="90"/>
      <c r="F1421" s="90"/>
      <c r="G1421" s="90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  <c r="U1421" s="90"/>
      <c r="V1421" s="90"/>
      <c r="W1421" s="90"/>
      <c r="X1421" s="90"/>
      <c r="Y1421" s="90"/>
      <c r="Z1421" s="90"/>
      <c r="AA1421" s="90"/>
      <c r="AB1421" s="90"/>
      <c r="AC1421" s="90"/>
      <c r="AD1421" s="90"/>
      <c r="AE1421" s="90"/>
      <c r="AF1421" s="90"/>
      <c r="AG1421" s="90"/>
      <c r="AH1421" s="90"/>
      <c r="AI1421" s="90"/>
      <c r="AJ1421" s="90"/>
      <c r="AK1421" s="90"/>
      <c r="AL1421" s="90"/>
      <c r="AM1421" s="90"/>
      <c r="AN1421" s="90"/>
      <c r="AO1421" s="90"/>
      <c r="AP1421" s="90"/>
      <c r="AQ1421" s="90"/>
      <c r="AR1421" s="90"/>
      <c r="AS1421" s="90"/>
      <c r="AT1421" s="90"/>
      <c r="AU1421" s="90"/>
      <c r="AV1421" s="90"/>
      <c r="AW1421" s="90"/>
      <c r="AX1421" s="90"/>
      <c r="AY1421" s="90"/>
      <c r="AZ1421" s="90"/>
      <c r="BA1421" s="90"/>
      <c r="BB1421" s="90"/>
      <c r="BC1421" s="90"/>
      <c r="BD1421" s="90"/>
      <c r="BE1421" s="90"/>
      <c r="BF1421" s="90"/>
      <c r="BG1421" s="90"/>
      <c r="BH1421" s="90"/>
      <c r="BI1421" s="90"/>
      <c r="BJ1421" s="90"/>
      <c r="BK1421" s="90"/>
      <c r="BL1421" s="90"/>
      <c r="BM1421" s="90"/>
      <c r="BN1421" s="90"/>
      <c r="BO1421" s="90"/>
      <c r="BP1421" s="90"/>
      <c r="BQ1421" s="90"/>
      <c r="BR1421" s="90"/>
      <c r="BS1421" s="90"/>
      <c r="BT1421" s="90"/>
      <c r="BU1421" s="90"/>
      <c r="BV1421" s="90"/>
      <c r="BW1421" s="90"/>
      <c r="BX1421" s="90"/>
      <c r="BY1421" s="90"/>
      <c r="BZ1421" s="90"/>
      <c r="CA1421" s="90"/>
      <c r="CB1421" s="90"/>
      <c r="CC1421" s="90"/>
      <c r="CD1421" s="90"/>
      <c r="CE1421" s="90"/>
      <c r="CF1421" s="90"/>
      <c r="CG1421" s="90"/>
      <c r="CH1421" s="90"/>
      <c r="CI1421" s="90"/>
      <c r="CJ1421" s="90"/>
      <c r="CK1421" s="90"/>
      <c r="CL1421" s="90"/>
      <c r="CM1421" s="90"/>
      <c r="CN1421" s="90"/>
      <c r="CO1421" s="90"/>
      <c r="CP1421" s="90"/>
      <c r="CQ1421" s="90"/>
      <c r="CR1421" s="90"/>
      <c r="CS1421" s="90"/>
      <c r="CT1421" s="90"/>
      <c r="CU1421" s="90"/>
      <c r="CV1421" s="90"/>
      <c r="CW1421" s="90"/>
      <c r="CX1421" s="90"/>
      <c r="CY1421" s="90"/>
      <c r="CZ1421" s="90"/>
      <c r="DA1421" s="90"/>
      <c r="DB1421" s="90"/>
      <c r="DC1421" s="90"/>
      <c r="DD1421" s="90"/>
      <c r="DE1421" s="90"/>
      <c r="DF1421" s="90"/>
      <c r="DG1421" s="90"/>
      <c r="DH1421" s="90"/>
      <c r="DI1421" s="90"/>
      <c r="DJ1421" s="90"/>
      <c r="DK1421" s="90"/>
      <c r="DL1421" s="90"/>
      <c r="DM1421" s="90"/>
      <c r="DN1421" s="90"/>
      <c r="DO1421" s="90"/>
      <c r="DP1421" s="90"/>
      <c r="DQ1421" s="90"/>
      <c r="DR1421" s="90"/>
      <c r="DS1421" s="90"/>
      <c r="DT1421" s="90"/>
      <c r="DU1421" s="90"/>
      <c r="DV1421" s="90"/>
      <c r="DW1421" s="90"/>
      <c r="DX1421" s="90"/>
      <c r="DY1421" s="90"/>
      <c r="DZ1421" s="90"/>
      <c r="EA1421" s="90"/>
      <c r="EB1421" s="90"/>
      <c r="EC1421" s="90"/>
      <c r="ED1421" s="90"/>
      <c r="EE1421" s="90"/>
      <c r="EF1421" s="90"/>
      <c r="EG1421" s="90"/>
      <c r="EH1421" s="102"/>
    </row>
    <row r="1422" spans="1:138" ht="23.25" customHeight="1" x14ac:dyDescent="0.25">
      <c r="A1422" s="98"/>
      <c r="B1422" s="99"/>
      <c r="C1422" s="99"/>
      <c r="D1422" s="99"/>
      <c r="E1422" s="99"/>
      <c r="F1422" s="99"/>
      <c r="G1422" s="99"/>
      <c r="H1422" s="99"/>
      <c r="I1422" s="99"/>
      <c r="J1422" s="99"/>
      <c r="K1422" s="99"/>
      <c r="L1422" s="99"/>
      <c r="M1422" s="99"/>
      <c r="N1422" s="99"/>
      <c r="O1422" s="99"/>
      <c r="P1422" s="99"/>
      <c r="Q1422" s="99"/>
      <c r="R1422" s="99"/>
      <c r="S1422" s="99"/>
      <c r="T1422" s="99"/>
      <c r="U1422" s="99"/>
      <c r="V1422" s="99"/>
      <c r="W1422" s="99"/>
      <c r="X1422" s="99"/>
      <c r="Y1422" s="99"/>
      <c r="Z1422" s="99"/>
      <c r="AA1422" s="99"/>
      <c r="AB1422" s="99"/>
      <c r="AC1422" s="99"/>
      <c r="AD1422" s="99"/>
      <c r="AE1422" s="99"/>
      <c r="AF1422" s="99"/>
      <c r="AG1422" s="99"/>
      <c r="AH1422" s="99"/>
      <c r="AI1422" s="99"/>
      <c r="AJ1422" s="99"/>
      <c r="AK1422" s="99"/>
      <c r="AL1422" s="99"/>
      <c r="AM1422" s="99"/>
      <c r="AN1422" s="99"/>
      <c r="AO1422" s="99"/>
      <c r="AP1422" s="99"/>
      <c r="AQ1422" s="99"/>
      <c r="AR1422" s="99"/>
      <c r="AS1422" s="99"/>
      <c r="AT1422" s="99"/>
      <c r="AU1422" s="99"/>
      <c r="AV1422" s="99"/>
      <c r="AW1422" s="99"/>
      <c r="AX1422" s="99"/>
      <c r="AY1422" s="99"/>
      <c r="AZ1422" s="99"/>
      <c r="BA1422" s="99"/>
      <c r="BB1422" s="99"/>
      <c r="BC1422" s="99"/>
      <c r="BD1422" s="99"/>
      <c r="BE1422" s="99"/>
      <c r="BF1422" s="99"/>
      <c r="BG1422" s="99"/>
      <c r="BH1422" s="99"/>
      <c r="BI1422" s="99"/>
      <c r="BJ1422" s="99"/>
      <c r="BK1422" s="99"/>
      <c r="BL1422" s="99"/>
      <c r="BM1422" s="99"/>
      <c r="BN1422" s="99"/>
      <c r="BO1422" s="99"/>
      <c r="BP1422" s="99"/>
      <c r="BQ1422" s="99"/>
      <c r="BR1422" s="99"/>
      <c r="BS1422" s="99"/>
      <c r="BT1422" s="99"/>
      <c r="BU1422" s="99"/>
      <c r="BV1422" s="99"/>
      <c r="BW1422" s="99"/>
      <c r="BX1422" s="99"/>
      <c r="BY1422" s="99"/>
      <c r="BZ1422" s="99"/>
      <c r="CA1422" s="99"/>
      <c r="CB1422" s="99"/>
      <c r="CC1422" s="99"/>
      <c r="CD1422" s="99"/>
      <c r="CE1422" s="99"/>
      <c r="CF1422" s="99"/>
      <c r="CG1422" s="99"/>
      <c r="CH1422" s="99"/>
      <c r="CI1422" s="99"/>
      <c r="CJ1422" s="99"/>
      <c r="CK1422" s="99"/>
      <c r="CL1422" s="99"/>
      <c r="CM1422" s="99"/>
      <c r="CN1422" s="99"/>
      <c r="CO1422" s="99"/>
      <c r="CP1422" s="99"/>
      <c r="CQ1422" s="99"/>
      <c r="CR1422" s="99"/>
      <c r="CS1422" s="99"/>
      <c r="CT1422" s="99"/>
      <c r="CU1422" s="99"/>
      <c r="CV1422" s="99"/>
      <c r="CW1422" s="99"/>
      <c r="CX1422" s="99"/>
      <c r="CY1422" s="99"/>
      <c r="CZ1422" s="99"/>
      <c r="DA1422" s="99"/>
      <c r="DB1422" s="99"/>
      <c r="DC1422" s="99"/>
      <c r="DD1422" s="99"/>
      <c r="DE1422" s="99"/>
      <c r="DF1422" s="99"/>
      <c r="DG1422" s="99"/>
      <c r="DH1422" s="99"/>
      <c r="DI1422" s="99"/>
      <c r="DJ1422" s="99"/>
      <c r="DK1422" s="99"/>
      <c r="DL1422" s="99"/>
      <c r="DM1422" s="99"/>
      <c r="DN1422" s="99"/>
      <c r="DO1422" s="99"/>
      <c r="DP1422" s="99"/>
      <c r="DQ1422" s="99"/>
      <c r="DR1422" s="99"/>
      <c r="DS1422" s="99"/>
      <c r="DT1422" s="99"/>
      <c r="DU1422" s="99"/>
      <c r="DV1422" s="99"/>
      <c r="DW1422" s="99"/>
      <c r="DX1422" s="99"/>
      <c r="DY1422" s="99"/>
      <c r="DZ1422" s="99"/>
      <c r="EA1422" s="99"/>
      <c r="EB1422" s="99"/>
      <c r="EC1422" s="99"/>
      <c r="ED1422" s="99"/>
      <c r="EE1422" s="99"/>
      <c r="EF1422" s="99"/>
      <c r="EG1422" s="99"/>
      <c r="EH1422" s="100"/>
    </row>
    <row r="1423" spans="1:138" ht="23.25" customHeight="1" x14ac:dyDescent="0.25">
      <c r="A1423" s="101"/>
      <c r="B1423" s="90"/>
      <c r="C1423" s="90"/>
      <c r="D1423" s="90"/>
      <c r="E1423" s="90"/>
      <c r="F1423" s="90"/>
      <c r="G1423" s="90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  <c r="U1423" s="90"/>
      <c r="V1423" s="90"/>
      <c r="W1423" s="90"/>
      <c r="X1423" s="90"/>
      <c r="Y1423" s="90"/>
      <c r="Z1423" s="90"/>
      <c r="AA1423" s="90"/>
      <c r="AB1423" s="90"/>
      <c r="AC1423" s="90"/>
      <c r="AD1423" s="90"/>
      <c r="AE1423" s="90"/>
      <c r="AF1423" s="90"/>
      <c r="AG1423" s="90"/>
      <c r="AH1423" s="90"/>
      <c r="AI1423" s="90"/>
      <c r="AJ1423" s="90"/>
      <c r="AK1423" s="90"/>
      <c r="AL1423" s="90"/>
      <c r="AM1423" s="90"/>
      <c r="AN1423" s="90"/>
      <c r="AO1423" s="90"/>
      <c r="AP1423" s="90"/>
      <c r="AQ1423" s="90"/>
      <c r="AR1423" s="90"/>
      <c r="AS1423" s="90"/>
      <c r="AT1423" s="90"/>
      <c r="AU1423" s="90"/>
      <c r="AV1423" s="90"/>
      <c r="AW1423" s="90"/>
      <c r="AX1423" s="90"/>
      <c r="AY1423" s="90"/>
      <c r="AZ1423" s="90"/>
      <c r="BA1423" s="90"/>
      <c r="BB1423" s="90"/>
      <c r="BC1423" s="90"/>
      <c r="BD1423" s="90"/>
      <c r="BE1423" s="90"/>
      <c r="BF1423" s="90"/>
      <c r="BG1423" s="90"/>
      <c r="BH1423" s="90"/>
      <c r="BI1423" s="90"/>
      <c r="BJ1423" s="90"/>
      <c r="BK1423" s="90"/>
      <c r="BL1423" s="90"/>
      <c r="BM1423" s="90"/>
      <c r="BN1423" s="90"/>
      <c r="BO1423" s="90"/>
      <c r="BP1423" s="90"/>
      <c r="BQ1423" s="90"/>
      <c r="BR1423" s="90"/>
      <c r="BS1423" s="90"/>
      <c r="BT1423" s="90"/>
      <c r="BU1423" s="90"/>
      <c r="BV1423" s="90"/>
      <c r="BW1423" s="90"/>
      <c r="BX1423" s="90"/>
      <c r="BY1423" s="90"/>
      <c r="BZ1423" s="90"/>
      <c r="CA1423" s="90"/>
      <c r="CB1423" s="90"/>
      <c r="CC1423" s="90"/>
      <c r="CD1423" s="90"/>
      <c r="CE1423" s="90"/>
      <c r="CF1423" s="90"/>
      <c r="CG1423" s="90"/>
      <c r="CH1423" s="90"/>
      <c r="CI1423" s="90"/>
      <c r="CJ1423" s="90"/>
      <c r="CK1423" s="90"/>
      <c r="CL1423" s="90"/>
      <c r="CM1423" s="90"/>
      <c r="CN1423" s="90"/>
      <c r="CO1423" s="90"/>
      <c r="CP1423" s="90"/>
      <c r="CQ1423" s="90"/>
      <c r="CR1423" s="90"/>
      <c r="CS1423" s="90"/>
      <c r="CT1423" s="90"/>
      <c r="CU1423" s="90"/>
      <c r="CV1423" s="90"/>
      <c r="CW1423" s="90"/>
      <c r="CX1423" s="90"/>
      <c r="CY1423" s="90"/>
      <c r="CZ1423" s="90"/>
      <c r="DA1423" s="90"/>
      <c r="DB1423" s="90"/>
      <c r="DC1423" s="90"/>
      <c r="DD1423" s="90"/>
      <c r="DE1423" s="90"/>
      <c r="DF1423" s="90"/>
      <c r="DG1423" s="90"/>
      <c r="DH1423" s="90"/>
      <c r="DI1423" s="90"/>
      <c r="DJ1423" s="90"/>
      <c r="DK1423" s="90"/>
      <c r="DL1423" s="90"/>
      <c r="DM1423" s="90"/>
      <c r="DN1423" s="90"/>
      <c r="DO1423" s="90"/>
      <c r="DP1423" s="90"/>
      <c r="DQ1423" s="90"/>
      <c r="DR1423" s="90"/>
      <c r="DS1423" s="90"/>
      <c r="DT1423" s="90"/>
      <c r="DU1423" s="90"/>
      <c r="DV1423" s="90"/>
      <c r="DW1423" s="90"/>
      <c r="DX1423" s="90"/>
      <c r="DY1423" s="90"/>
      <c r="DZ1423" s="90"/>
      <c r="EA1423" s="90"/>
      <c r="EB1423" s="90"/>
      <c r="EC1423" s="90"/>
      <c r="ED1423" s="90"/>
      <c r="EE1423" s="90"/>
      <c r="EF1423" s="90"/>
      <c r="EG1423" s="90"/>
      <c r="EH1423" s="102"/>
    </row>
    <row r="1424" spans="1:138" ht="23.25" customHeight="1" x14ac:dyDescent="0.25">
      <c r="A1424" s="98"/>
      <c r="B1424" s="99"/>
      <c r="C1424" s="99"/>
      <c r="D1424" s="99"/>
      <c r="E1424" s="99"/>
      <c r="F1424" s="99"/>
      <c r="G1424" s="99"/>
      <c r="H1424" s="99"/>
      <c r="I1424" s="99"/>
      <c r="J1424" s="99"/>
      <c r="K1424" s="99"/>
      <c r="L1424" s="99"/>
      <c r="M1424" s="99"/>
      <c r="N1424" s="99"/>
      <c r="O1424" s="99"/>
      <c r="P1424" s="99"/>
      <c r="Q1424" s="99"/>
      <c r="R1424" s="99"/>
      <c r="S1424" s="99"/>
      <c r="T1424" s="99"/>
      <c r="U1424" s="99"/>
      <c r="V1424" s="99"/>
      <c r="W1424" s="99"/>
      <c r="X1424" s="99"/>
      <c r="Y1424" s="99"/>
      <c r="Z1424" s="99"/>
      <c r="AA1424" s="99"/>
      <c r="AB1424" s="99"/>
      <c r="AC1424" s="99"/>
      <c r="AD1424" s="99"/>
      <c r="AE1424" s="99"/>
      <c r="AF1424" s="99"/>
      <c r="AG1424" s="99"/>
      <c r="AH1424" s="99"/>
      <c r="AI1424" s="99"/>
      <c r="AJ1424" s="99"/>
      <c r="AK1424" s="99"/>
      <c r="AL1424" s="99"/>
      <c r="AM1424" s="99"/>
      <c r="AN1424" s="99"/>
      <c r="AO1424" s="99"/>
      <c r="AP1424" s="99"/>
      <c r="AQ1424" s="99"/>
      <c r="AR1424" s="99"/>
      <c r="AS1424" s="99"/>
      <c r="AT1424" s="99"/>
      <c r="AU1424" s="99"/>
      <c r="AV1424" s="99"/>
      <c r="AW1424" s="99"/>
      <c r="AX1424" s="99"/>
      <c r="AY1424" s="99"/>
      <c r="AZ1424" s="99"/>
      <c r="BA1424" s="99"/>
      <c r="BB1424" s="99"/>
      <c r="BC1424" s="99"/>
      <c r="BD1424" s="99"/>
      <c r="BE1424" s="99"/>
      <c r="BF1424" s="99"/>
      <c r="BG1424" s="99"/>
      <c r="BH1424" s="99"/>
      <c r="BI1424" s="99"/>
      <c r="BJ1424" s="99"/>
      <c r="BK1424" s="99"/>
      <c r="BL1424" s="99"/>
      <c r="BM1424" s="99"/>
      <c r="BN1424" s="99"/>
      <c r="BO1424" s="99"/>
      <c r="BP1424" s="99"/>
      <c r="BQ1424" s="99"/>
      <c r="BR1424" s="99"/>
      <c r="BS1424" s="99"/>
      <c r="BT1424" s="99"/>
      <c r="BU1424" s="99"/>
      <c r="BV1424" s="99"/>
      <c r="BW1424" s="99"/>
      <c r="BX1424" s="99"/>
      <c r="BY1424" s="99"/>
      <c r="BZ1424" s="99"/>
      <c r="CA1424" s="99"/>
      <c r="CB1424" s="99"/>
      <c r="CC1424" s="99"/>
      <c r="CD1424" s="99"/>
      <c r="CE1424" s="99"/>
      <c r="CF1424" s="99"/>
      <c r="CG1424" s="99"/>
      <c r="CH1424" s="99"/>
      <c r="CI1424" s="99"/>
      <c r="CJ1424" s="99"/>
      <c r="CK1424" s="99"/>
      <c r="CL1424" s="99"/>
      <c r="CM1424" s="99"/>
      <c r="CN1424" s="99"/>
      <c r="CO1424" s="99"/>
      <c r="CP1424" s="99"/>
      <c r="CQ1424" s="99"/>
      <c r="CR1424" s="99"/>
      <c r="CS1424" s="99"/>
      <c r="CT1424" s="99"/>
      <c r="CU1424" s="99"/>
      <c r="CV1424" s="99"/>
      <c r="CW1424" s="99"/>
      <c r="CX1424" s="99"/>
      <c r="CY1424" s="99"/>
      <c r="CZ1424" s="99"/>
      <c r="DA1424" s="99"/>
      <c r="DB1424" s="99"/>
      <c r="DC1424" s="99"/>
      <c r="DD1424" s="99"/>
      <c r="DE1424" s="99"/>
      <c r="DF1424" s="99"/>
      <c r="DG1424" s="99"/>
      <c r="DH1424" s="99"/>
      <c r="DI1424" s="99"/>
      <c r="DJ1424" s="99"/>
      <c r="DK1424" s="99"/>
      <c r="DL1424" s="99"/>
      <c r="DM1424" s="99"/>
      <c r="DN1424" s="99"/>
      <c r="DO1424" s="99"/>
      <c r="DP1424" s="99"/>
      <c r="DQ1424" s="99"/>
      <c r="DR1424" s="99"/>
      <c r="DS1424" s="99"/>
      <c r="DT1424" s="99"/>
      <c r="DU1424" s="99"/>
      <c r="DV1424" s="99"/>
      <c r="DW1424" s="99"/>
      <c r="DX1424" s="99"/>
      <c r="DY1424" s="99"/>
      <c r="DZ1424" s="99"/>
      <c r="EA1424" s="99"/>
      <c r="EB1424" s="99"/>
      <c r="EC1424" s="99"/>
      <c r="ED1424" s="99"/>
      <c r="EE1424" s="99"/>
      <c r="EF1424" s="99"/>
      <c r="EG1424" s="99"/>
      <c r="EH1424" s="100"/>
    </row>
    <row r="1425" spans="1:138" ht="23.25" customHeight="1" x14ac:dyDescent="0.25">
      <c r="A1425" s="101"/>
      <c r="B1425" s="90"/>
      <c r="C1425" s="90"/>
      <c r="D1425" s="90"/>
      <c r="E1425" s="90"/>
      <c r="F1425" s="90"/>
      <c r="G1425" s="90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  <c r="U1425" s="90"/>
      <c r="V1425" s="90"/>
      <c r="W1425" s="90"/>
      <c r="X1425" s="90"/>
      <c r="Y1425" s="90"/>
      <c r="Z1425" s="90"/>
      <c r="AA1425" s="90"/>
      <c r="AB1425" s="90"/>
      <c r="AC1425" s="90"/>
      <c r="AD1425" s="90"/>
      <c r="AE1425" s="90"/>
      <c r="AF1425" s="90"/>
      <c r="AG1425" s="90"/>
      <c r="AH1425" s="90"/>
      <c r="AI1425" s="90"/>
      <c r="AJ1425" s="90"/>
      <c r="AK1425" s="90"/>
      <c r="AL1425" s="90"/>
      <c r="AM1425" s="90"/>
      <c r="AN1425" s="90"/>
      <c r="AO1425" s="90"/>
      <c r="AP1425" s="90"/>
      <c r="AQ1425" s="90"/>
      <c r="AR1425" s="90"/>
      <c r="AS1425" s="90"/>
      <c r="AT1425" s="90"/>
      <c r="AU1425" s="90"/>
      <c r="AV1425" s="90"/>
      <c r="AW1425" s="90"/>
      <c r="AX1425" s="90"/>
      <c r="AY1425" s="90"/>
      <c r="AZ1425" s="90"/>
      <c r="BA1425" s="90"/>
      <c r="BB1425" s="90"/>
      <c r="BC1425" s="90"/>
      <c r="BD1425" s="90"/>
      <c r="BE1425" s="90"/>
      <c r="BF1425" s="90"/>
      <c r="BG1425" s="90"/>
      <c r="BH1425" s="90"/>
      <c r="BI1425" s="90"/>
      <c r="BJ1425" s="90"/>
      <c r="BK1425" s="90"/>
      <c r="BL1425" s="90"/>
      <c r="BM1425" s="90"/>
      <c r="BN1425" s="90"/>
      <c r="BO1425" s="90"/>
      <c r="BP1425" s="90"/>
      <c r="BQ1425" s="90"/>
      <c r="BR1425" s="90"/>
      <c r="BS1425" s="90"/>
      <c r="BT1425" s="90"/>
      <c r="BU1425" s="90"/>
      <c r="BV1425" s="90"/>
      <c r="BW1425" s="90"/>
      <c r="BX1425" s="90"/>
      <c r="BY1425" s="90"/>
      <c r="BZ1425" s="90"/>
      <c r="CA1425" s="90"/>
      <c r="CB1425" s="90"/>
      <c r="CC1425" s="90"/>
      <c r="CD1425" s="90"/>
      <c r="CE1425" s="90"/>
      <c r="CF1425" s="90"/>
      <c r="CG1425" s="90"/>
      <c r="CH1425" s="90"/>
      <c r="CI1425" s="90"/>
      <c r="CJ1425" s="90"/>
      <c r="CK1425" s="90"/>
      <c r="CL1425" s="90"/>
      <c r="CM1425" s="90"/>
      <c r="CN1425" s="90"/>
      <c r="CO1425" s="90"/>
      <c r="CP1425" s="90"/>
      <c r="CQ1425" s="90"/>
      <c r="CR1425" s="90"/>
      <c r="CS1425" s="90"/>
      <c r="CT1425" s="90"/>
      <c r="CU1425" s="90"/>
      <c r="CV1425" s="90"/>
      <c r="CW1425" s="90"/>
      <c r="CX1425" s="90"/>
      <c r="CY1425" s="90"/>
      <c r="CZ1425" s="90"/>
      <c r="DA1425" s="90"/>
      <c r="DB1425" s="90"/>
      <c r="DC1425" s="90"/>
      <c r="DD1425" s="90"/>
      <c r="DE1425" s="90"/>
      <c r="DF1425" s="90"/>
      <c r="DG1425" s="90"/>
      <c r="DH1425" s="90"/>
      <c r="DI1425" s="90"/>
      <c r="DJ1425" s="90"/>
      <c r="DK1425" s="90"/>
      <c r="DL1425" s="90"/>
      <c r="DM1425" s="90"/>
      <c r="DN1425" s="90"/>
      <c r="DO1425" s="90"/>
      <c r="DP1425" s="90"/>
      <c r="DQ1425" s="90"/>
      <c r="DR1425" s="90"/>
      <c r="DS1425" s="90"/>
      <c r="DT1425" s="90"/>
      <c r="DU1425" s="90"/>
      <c r="DV1425" s="90"/>
      <c r="DW1425" s="90"/>
      <c r="DX1425" s="90"/>
      <c r="DY1425" s="90"/>
      <c r="DZ1425" s="90"/>
      <c r="EA1425" s="90"/>
      <c r="EB1425" s="90"/>
      <c r="EC1425" s="90"/>
      <c r="ED1425" s="90"/>
      <c r="EE1425" s="90"/>
      <c r="EF1425" s="90"/>
      <c r="EG1425" s="90"/>
      <c r="EH1425" s="102"/>
    </row>
    <row r="1426" spans="1:138" ht="23.25" customHeight="1" x14ac:dyDescent="0.25">
      <c r="A1426" s="98"/>
      <c r="B1426" s="99"/>
      <c r="C1426" s="99"/>
      <c r="D1426" s="99"/>
      <c r="E1426" s="99"/>
      <c r="F1426" s="99"/>
      <c r="G1426" s="99"/>
      <c r="H1426" s="99"/>
      <c r="I1426" s="99"/>
      <c r="J1426" s="99"/>
      <c r="K1426" s="99"/>
      <c r="L1426" s="99"/>
      <c r="M1426" s="99"/>
      <c r="N1426" s="99"/>
      <c r="O1426" s="99"/>
      <c r="P1426" s="99"/>
      <c r="Q1426" s="99"/>
      <c r="R1426" s="99"/>
      <c r="S1426" s="99"/>
      <c r="T1426" s="99"/>
      <c r="U1426" s="99"/>
      <c r="V1426" s="99"/>
      <c r="W1426" s="99"/>
      <c r="X1426" s="99"/>
      <c r="Y1426" s="99"/>
      <c r="Z1426" s="99"/>
      <c r="AA1426" s="99"/>
      <c r="AB1426" s="99"/>
      <c r="AC1426" s="99"/>
      <c r="AD1426" s="99"/>
      <c r="AE1426" s="99"/>
      <c r="AF1426" s="99"/>
      <c r="AG1426" s="99"/>
      <c r="AH1426" s="99"/>
      <c r="AI1426" s="99"/>
      <c r="AJ1426" s="99"/>
      <c r="AK1426" s="99"/>
      <c r="AL1426" s="99"/>
      <c r="AM1426" s="99"/>
      <c r="AN1426" s="99"/>
      <c r="AO1426" s="99"/>
      <c r="AP1426" s="99"/>
      <c r="AQ1426" s="99"/>
      <c r="AR1426" s="99"/>
      <c r="AS1426" s="99"/>
      <c r="AT1426" s="99"/>
      <c r="AU1426" s="99"/>
      <c r="AV1426" s="99"/>
      <c r="AW1426" s="99"/>
      <c r="AX1426" s="99"/>
      <c r="AY1426" s="99"/>
      <c r="AZ1426" s="99"/>
      <c r="BA1426" s="99"/>
      <c r="BB1426" s="99"/>
      <c r="BC1426" s="99"/>
      <c r="BD1426" s="99"/>
      <c r="BE1426" s="99"/>
      <c r="BF1426" s="99"/>
      <c r="BG1426" s="99"/>
      <c r="BH1426" s="99"/>
      <c r="BI1426" s="99"/>
      <c r="BJ1426" s="99"/>
      <c r="BK1426" s="99"/>
      <c r="BL1426" s="99"/>
      <c r="BM1426" s="99"/>
      <c r="BN1426" s="99"/>
      <c r="BO1426" s="99"/>
      <c r="BP1426" s="99"/>
      <c r="BQ1426" s="99"/>
      <c r="BR1426" s="99"/>
      <c r="BS1426" s="99"/>
      <c r="BT1426" s="99"/>
      <c r="BU1426" s="99"/>
      <c r="BV1426" s="99"/>
      <c r="BW1426" s="99"/>
      <c r="BX1426" s="99"/>
      <c r="BY1426" s="99"/>
      <c r="BZ1426" s="99"/>
      <c r="CA1426" s="99"/>
      <c r="CB1426" s="99"/>
      <c r="CC1426" s="99"/>
      <c r="CD1426" s="99"/>
      <c r="CE1426" s="99"/>
      <c r="CF1426" s="99"/>
      <c r="CG1426" s="99"/>
      <c r="CH1426" s="99"/>
      <c r="CI1426" s="99"/>
      <c r="CJ1426" s="99"/>
      <c r="CK1426" s="99"/>
      <c r="CL1426" s="99"/>
      <c r="CM1426" s="99"/>
      <c r="CN1426" s="99"/>
      <c r="CO1426" s="99"/>
      <c r="CP1426" s="99"/>
      <c r="CQ1426" s="99"/>
      <c r="CR1426" s="99"/>
      <c r="CS1426" s="99"/>
      <c r="CT1426" s="99"/>
      <c r="CU1426" s="99"/>
      <c r="CV1426" s="99"/>
      <c r="CW1426" s="99"/>
      <c r="CX1426" s="99"/>
      <c r="CY1426" s="99"/>
      <c r="CZ1426" s="99"/>
      <c r="DA1426" s="99"/>
      <c r="DB1426" s="99"/>
      <c r="DC1426" s="99"/>
      <c r="DD1426" s="99"/>
      <c r="DE1426" s="99"/>
      <c r="DF1426" s="99"/>
      <c r="DG1426" s="99"/>
      <c r="DH1426" s="99"/>
      <c r="DI1426" s="99"/>
      <c r="DJ1426" s="99"/>
      <c r="DK1426" s="99"/>
      <c r="DL1426" s="99"/>
      <c r="DM1426" s="99"/>
      <c r="DN1426" s="99"/>
      <c r="DO1426" s="99"/>
      <c r="DP1426" s="99"/>
      <c r="DQ1426" s="99"/>
      <c r="DR1426" s="99"/>
      <c r="DS1426" s="99"/>
      <c r="DT1426" s="99"/>
      <c r="DU1426" s="99"/>
      <c r="DV1426" s="99"/>
      <c r="DW1426" s="99"/>
      <c r="DX1426" s="99"/>
      <c r="DY1426" s="99"/>
      <c r="DZ1426" s="99"/>
      <c r="EA1426" s="99"/>
      <c r="EB1426" s="99"/>
      <c r="EC1426" s="99"/>
      <c r="ED1426" s="99"/>
      <c r="EE1426" s="99"/>
      <c r="EF1426" s="99"/>
      <c r="EG1426" s="99"/>
      <c r="EH1426" s="100"/>
    </row>
    <row r="1427" spans="1:138" ht="23.25" customHeight="1" x14ac:dyDescent="0.25">
      <c r="A1427" s="101"/>
      <c r="B1427" s="90"/>
      <c r="C1427" s="90"/>
      <c r="D1427" s="90"/>
      <c r="E1427" s="90"/>
      <c r="F1427" s="90"/>
      <c r="G1427" s="90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  <c r="U1427" s="90"/>
      <c r="V1427" s="90"/>
      <c r="W1427" s="90"/>
      <c r="X1427" s="90"/>
      <c r="Y1427" s="90"/>
      <c r="Z1427" s="90"/>
      <c r="AA1427" s="90"/>
      <c r="AB1427" s="90"/>
      <c r="AC1427" s="90"/>
      <c r="AD1427" s="90"/>
      <c r="AE1427" s="90"/>
      <c r="AF1427" s="90"/>
      <c r="AG1427" s="90"/>
      <c r="AH1427" s="90"/>
      <c r="AI1427" s="90"/>
      <c r="AJ1427" s="90"/>
      <c r="AK1427" s="90"/>
      <c r="AL1427" s="90"/>
      <c r="AM1427" s="90"/>
      <c r="AN1427" s="90"/>
      <c r="AO1427" s="90"/>
      <c r="AP1427" s="90"/>
      <c r="AQ1427" s="90"/>
      <c r="AR1427" s="90"/>
      <c r="AS1427" s="90"/>
      <c r="AT1427" s="90"/>
      <c r="AU1427" s="90"/>
      <c r="AV1427" s="90"/>
      <c r="AW1427" s="90"/>
      <c r="AX1427" s="90"/>
      <c r="AY1427" s="90"/>
      <c r="AZ1427" s="90"/>
      <c r="BA1427" s="90"/>
      <c r="BB1427" s="90"/>
      <c r="BC1427" s="90"/>
      <c r="BD1427" s="90"/>
      <c r="BE1427" s="90"/>
      <c r="BF1427" s="90"/>
      <c r="BG1427" s="90"/>
      <c r="BH1427" s="90"/>
      <c r="BI1427" s="90"/>
      <c r="BJ1427" s="90"/>
      <c r="BK1427" s="90"/>
      <c r="BL1427" s="90"/>
      <c r="BM1427" s="90"/>
      <c r="BN1427" s="90"/>
      <c r="BO1427" s="90"/>
      <c r="BP1427" s="90"/>
      <c r="BQ1427" s="90"/>
      <c r="BR1427" s="90"/>
      <c r="BS1427" s="90"/>
      <c r="BT1427" s="90"/>
      <c r="BU1427" s="90"/>
      <c r="BV1427" s="90"/>
      <c r="BW1427" s="90"/>
      <c r="BX1427" s="90"/>
      <c r="BY1427" s="90"/>
      <c r="BZ1427" s="90"/>
      <c r="CA1427" s="90"/>
      <c r="CB1427" s="90"/>
      <c r="CC1427" s="90"/>
      <c r="CD1427" s="90"/>
      <c r="CE1427" s="90"/>
      <c r="CF1427" s="90"/>
      <c r="CG1427" s="90"/>
      <c r="CH1427" s="90"/>
      <c r="CI1427" s="90"/>
      <c r="CJ1427" s="90"/>
      <c r="CK1427" s="90"/>
      <c r="CL1427" s="90"/>
      <c r="CM1427" s="90"/>
      <c r="CN1427" s="90"/>
      <c r="CO1427" s="90"/>
      <c r="CP1427" s="90"/>
      <c r="CQ1427" s="90"/>
      <c r="CR1427" s="90"/>
      <c r="CS1427" s="90"/>
      <c r="CT1427" s="90"/>
      <c r="CU1427" s="90"/>
      <c r="CV1427" s="90"/>
      <c r="CW1427" s="90"/>
      <c r="CX1427" s="90"/>
      <c r="CY1427" s="90"/>
      <c r="CZ1427" s="90"/>
      <c r="DA1427" s="90"/>
      <c r="DB1427" s="90"/>
      <c r="DC1427" s="90"/>
      <c r="DD1427" s="90"/>
      <c r="DE1427" s="90"/>
      <c r="DF1427" s="90"/>
      <c r="DG1427" s="90"/>
      <c r="DH1427" s="90"/>
      <c r="DI1427" s="90"/>
      <c r="DJ1427" s="90"/>
      <c r="DK1427" s="90"/>
      <c r="DL1427" s="90"/>
      <c r="DM1427" s="90"/>
      <c r="DN1427" s="90"/>
      <c r="DO1427" s="90"/>
      <c r="DP1427" s="90"/>
      <c r="DQ1427" s="90"/>
      <c r="DR1427" s="90"/>
      <c r="DS1427" s="90"/>
      <c r="DT1427" s="90"/>
      <c r="DU1427" s="90"/>
      <c r="DV1427" s="90"/>
      <c r="DW1427" s="90"/>
      <c r="DX1427" s="90"/>
      <c r="DY1427" s="90"/>
      <c r="DZ1427" s="90"/>
      <c r="EA1427" s="90"/>
      <c r="EB1427" s="90"/>
      <c r="EC1427" s="90"/>
      <c r="ED1427" s="90"/>
      <c r="EE1427" s="90"/>
      <c r="EF1427" s="90"/>
      <c r="EG1427" s="90"/>
      <c r="EH1427" s="102"/>
    </row>
    <row r="1428" spans="1:138" ht="23.25" customHeight="1" x14ac:dyDescent="0.25">
      <c r="A1428" s="98"/>
      <c r="B1428" s="99"/>
      <c r="C1428" s="99"/>
      <c r="D1428" s="99"/>
      <c r="E1428" s="99"/>
      <c r="F1428" s="99"/>
      <c r="G1428" s="99"/>
      <c r="H1428" s="99"/>
      <c r="I1428" s="99"/>
      <c r="J1428" s="99"/>
      <c r="K1428" s="99"/>
      <c r="L1428" s="99"/>
      <c r="M1428" s="99"/>
      <c r="N1428" s="99"/>
      <c r="O1428" s="99"/>
      <c r="P1428" s="99"/>
      <c r="Q1428" s="99"/>
      <c r="R1428" s="99"/>
      <c r="S1428" s="99"/>
      <c r="T1428" s="99"/>
      <c r="U1428" s="99"/>
      <c r="V1428" s="99"/>
      <c r="W1428" s="99"/>
      <c r="X1428" s="99"/>
      <c r="Y1428" s="99"/>
      <c r="Z1428" s="99"/>
      <c r="AA1428" s="99"/>
      <c r="AB1428" s="99"/>
      <c r="AC1428" s="99"/>
      <c r="AD1428" s="99"/>
      <c r="AE1428" s="99"/>
      <c r="AF1428" s="99"/>
      <c r="AG1428" s="99"/>
      <c r="AH1428" s="99"/>
      <c r="AI1428" s="99"/>
      <c r="AJ1428" s="99"/>
      <c r="AK1428" s="99"/>
      <c r="AL1428" s="99"/>
      <c r="AM1428" s="99"/>
      <c r="AN1428" s="99"/>
      <c r="AO1428" s="99"/>
      <c r="AP1428" s="99"/>
      <c r="AQ1428" s="99"/>
      <c r="AR1428" s="99"/>
      <c r="AS1428" s="99"/>
      <c r="AT1428" s="99"/>
      <c r="AU1428" s="99"/>
      <c r="AV1428" s="99"/>
      <c r="AW1428" s="99"/>
      <c r="AX1428" s="99"/>
      <c r="AY1428" s="99"/>
      <c r="AZ1428" s="99"/>
      <c r="BA1428" s="99"/>
      <c r="BB1428" s="99"/>
      <c r="BC1428" s="99"/>
      <c r="BD1428" s="99"/>
      <c r="BE1428" s="99"/>
      <c r="BF1428" s="99"/>
      <c r="BG1428" s="99"/>
      <c r="BH1428" s="99"/>
      <c r="BI1428" s="99"/>
      <c r="BJ1428" s="99"/>
      <c r="BK1428" s="99"/>
      <c r="BL1428" s="99"/>
      <c r="BM1428" s="99"/>
      <c r="BN1428" s="99"/>
      <c r="BO1428" s="99"/>
      <c r="BP1428" s="99"/>
      <c r="BQ1428" s="99"/>
      <c r="BR1428" s="99"/>
      <c r="BS1428" s="99"/>
      <c r="BT1428" s="99"/>
      <c r="BU1428" s="99"/>
      <c r="BV1428" s="99"/>
      <c r="BW1428" s="99"/>
      <c r="BX1428" s="99"/>
      <c r="BY1428" s="99"/>
      <c r="BZ1428" s="99"/>
      <c r="CA1428" s="99"/>
      <c r="CB1428" s="99"/>
      <c r="CC1428" s="99"/>
      <c r="CD1428" s="99"/>
      <c r="CE1428" s="99"/>
      <c r="CF1428" s="99"/>
      <c r="CG1428" s="99"/>
      <c r="CH1428" s="99"/>
      <c r="CI1428" s="99"/>
      <c r="CJ1428" s="99"/>
      <c r="CK1428" s="99"/>
      <c r="CL1428" s="99"/>
      <c r="CM1428" s="99"/>
      <c r="CN1428" s="99"/>
      <c r="CO1428" s="99"/>
      <c r="CP1428" s="99"/>
      <c r="CQ1428" s="99"/>
      <c r="CR1428" s="99"/>
      <c r="CS1428" s="99"/>
      <c r="CT1428" s="99"/>
      <c r="CU1428" s="99"/>
      <c r="CV1428" s="99"/>
      <c r="CW1428" s="99"/>
      <c r="CX1428" s="99"/>
      <c r="CY1428" s="99"/>
      <c r="CZ1428" s="99"/>
      <c r="DA1428" s="99"/>
      <c r="DB1428" s="99"/>
      <c r="DC1428" s="99"/>
      <c r="DD1428" s="99"/>
      <c r="DE1428" s="99"/>
      <c r="DF1428" s="99"/>
      <c r="DG1428" s="99"/>
      <c r="DH1428" s="99"/>
      <c r="DI1428" s="99"/>
      <c r="DJ1428" s="99"/>
      <c r="DK1428" s="99"/>
      <c r="DL1428" s="99"/>
      <c r="DM1428" s="99"/>
      <c r="DN1428" s="99"/>
      <c r="DO1428" s="99"/>
      <c r="DP1428" s="99"/>
      <c r="DQ1428" s="99"/>
      <c r="DR1428" s="99"/>
      <c r="DS1428" s="99"/>
      <c r="DT1428" s="99"/>
      <c r="DU1428" s="99"/>
      <c r="DV1428" s="99"/>
      <c r="DW1428" s="99"/>
      <c r="DX1428" s="99"/>
      <c r="DY1428" s="99"/>
      <c r="DZ1428" s="99"/>
      <c r="EA1428" s="99"/>
      <c r="EB1428" s="99"/>
      <c r="EC1428" s="99"/>
      <c r="ED1428" s="99"/>
      <c r="EE1428" s="99"/>
      <c r="EF1428" s="99"/>
      <c r="EG1428" s="99"/>
      <c r="EH1428" s="100"/>
    </row>
    <row r="1429" spans="1:138" ht="23.25" customHeight="1" x14ac:dyDescent="0.25">
      <c r="A1429" s="101"/>
      <c r="B1429" s="90"/>
      <c r="C1429" s="90"/>
      <c r="D1429" s="90"/>
      <c r="E1429" s="90"/>
      <c r="F1429" s="90"/>
      <c r="G1429" s="90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  <c r="U1429" s="90"/>
      <c r="V1429" s="90"/>
      <c r="W1429" s="90"/>
      <c r="X1429" s="90"/>
      <c r="Y1429" s="90"/>
      <c r="Z1429" s="90"/>
      <c r="AA1429" s="90"/>
      <c r="AB1429" s="90"/>
      <c r="AC1429" s="90"/>
      <c r="AD1429" s="90"/>
      <c r="AE1429" s="90"/>
      <c r="AF1429" s="90"/>
      <c r="AG1429" s="90"/>
      <c r="AH1429" s="90"/>
      <c r="AI1429" s="90"/>
      <c r="AJ1429" s="90"/>
      <c r="AK1429" s="90"/>
      <c r="AL1429" s="90"/>
      <c r="AM1429" s="90"/>
      <c r="AN1429" s="90"/>
      <c r="AO1429" s="90"/>
      <c r="AP1429" s="90"/>
      <c r="AQ1429" s="90"/>
      <c r="AR1429" s="90"/>
      <c r="AS1429" s="90"/>
      <c r="AT1429" s="90"/>
      <c r="AU1429" s="90"/>
      <c r="AV1429" s="90"/>
      <c r="AW1429" s="90"/>
      <c r="AX1429" s="90"/>
      <c r="AY1429" s="90"/>
      <c r="AZ1429" s="90"/>
      <c r="BA1429" s="90"/>
      <c r="BB1429" s="90"/>
      <c r="BC1429" s="90"/>
      <c r="BD1429" s="90"/>
      <c r="BE1429" s="90"/>
      <c r="BF1429" s="90"/>
      <c r="BG1429" s="90"/>
      <c r="BH1429" s="90"/>
      <c r="BI1429" s="90"/>
      <c r="BJ1429" s="90"/>
      <c r="BK1429" s="90"/>
      <c r="BL1429" s="90"/>
      <c r="BM1429" s="90"/>
      <c r="BN1429" s="90"/>
      <c r="BO1429" s="90"/>
      <c r="BP1429" s="90"/>
      <c r="BQ1429" s="90"/>
      <c r="BR1429" s="90"/>
      <c r="BS1429" s="90"/>
      <c r="BT1429" s="90"/>
      <c r="BU1429" s="90"/>
      <c r="BV1429" s="90"/>
      <c r="BW1429" s="90"/>
      <c r="BX1429" s="90"/>
      <c r="BY1429" s="90"/>
      <c r="BZ1429" s="90"/>
      <c r="CA1429" s="90"/>
      <c r="CB1429" s="90"/>
      <c r="CC1429" s="90"/>
      <c r="CD1429" s="90"/>
      <c r="CE1429" s="90"/>
      <c r="CF1429" s="90"/>
      <c r="CG1429" s="90"/>
      <c r="CH1429" s="90"/>
      <c r="CI1429" s="90"/>
      <c r="CJ1429" s="90"/>
      <c r="CK1429" s="90"/>
      <c r="CL1429" s="90"/>
      <c r="CM1429" s="90"/>
      <c r="CN1429" s="90"/>
      <c r="CO1429" s="90"/>
      <c r="CP1429" s="90"/>
      <c r="CQ1429" s="90"/>
      <c r="CR1429" s="90"/>
      <c r="CS1429" s="90"/>
      <c r="CT1429" s="90"/>
      <c r="CU1429" s="90"/>
      <c r="CV1429" s="90"/>
      <c r="CW1429" s="90"/>
      <c r="CX1429" s="90"/>
      <c r="CY1429" s="90"/>
      <c r="CZ1429" s="90"/>
      <c r="DA1429" s="90"/>
      <c r="DB1429" s="90"/>
      <c r="DC1429" s="90"/>
      <c r="DD1429" s="90"/>
      <c r="DE1429" s="90"/>
      <c r="DF1429" s="90"/>
      <c r="DG1429" s="90"/>
      <c r="DH1429" s="90"/>
      <c r="DI1429" s="90"/>
      <c r="DJ1429" s="90"/>
      <c r="DK1429" s="90"/>
      <c r="DL1429" s="90"/>
      <c r="DM1429" s="90"/>
      <c r="DN1429" s="90"/>
      <c r="DO1429" s="90"/>
      <c r="DP1429" s="90"/>
      <c r="DQ1429" s="90"/>
      <c r="DR1429" s="90"/>
      <c r="DS1429" s="90"/>
      <c r="DT1429" s="90"/>
      <c r="DU1429" s="90"/>
      <c r="DV1429" s="90"/>
      <c r="DW1429" s="90"/>
      <c r="DX1429" s="90"/>
      <c r="DY1429" s="90"/>
      <c r="DZ1429" s="90"/>
      <c r="EA1429" s="90"/>
      <c r="EB1429" s="90"/>
      <c r="EC1429" s="90"/>
      <c r="ED1429" s="90"/>
      <c r="EE1429" s="90"/>
      <c r="EF1429" s="90"/>
      <c r="EG1429" s="90"/>
      <c r="EH1429" s="102"/>
    </row>
    <row r="1430" spans="1:138" ht="23.25" customHeight="1" x14ac:dyDescent="0.25">
      <c r="A1430" s="98"/>
      <c r="B1430" s="99"/>
      <c r="C1430" s="99"/>
      <c r="D1430" s="99"/>
      <c r="E1430" s="99"/>
      <c r="F1430" s="99"/>
      <c r="G1430" s="99"/>
      <c r="H1430" s="99"/>
      <c r="I1430" s="99"/>
      <c r="J1430" s="99"/>
      <c r="K1430" s="99"/>
      <c r="L1430" s="99"/>
      <c r="M1430" s="99"/>
      <c r="N1430" s="99"/>
      <c r="O1430" s="99"/>
      <c r="P1430" s="99"/>
      <c r="Q1430" s="99"/>
      <c r="R1430" s="99"/>
      <c r="S1430" s="99"/>
      <c r="T1430" s="99"/>
      <c r="U1430" s="99"/>
      <c r="V1430" s="99"/>
      <c r="W1430" s="99"/>
      <c r="X1430" s="99"/>
      <c r="Y1430" s="99"/>
      <c r="Z1430" s="99"/>
      <c r="AA1430" s="99"/>
      <c r="AB1430" s="99"/>
      <c r="AC1430" s="99"/>
      <c r="AD1430" s="99"/>
      <c r="AE1430" s="99"/>
      <c r="AF1430" s="99"/>
      <c r="AG1430" s="99"/>
      <c r="AH1430" s="99"/>
      <c r="AI1430" s="99"/>
      <c r="AJ1430" s="99"/>
      <c r="AK1430" s="99"/>
      <c r="AL1430" s="99"/>
      <c r="AM1430" s="99"/>
      <c r="AN1430" s="99"/>
      <c r="AO1430" s="99"/>
      <c r="AP1430" s="99"/>
      <c r="AQ1430" s="99"/>
      <c r="AR1430" s="99"/>
      <c r="AS1430" s="99"/>
      <c r="AT1430" s="99"/>
      <c r="AU1430" s="99"/>
      <c r="AV1430" s="99"/>
      <c r="AW1430" s="99"/>
      <c r="AX1430" s="99"/>
      <c r="AY1430" s="99"/>
      <c r="AZ1430" s="99"/>
      <c r="BA1430" s="99"/>
      <c r="BB1430" s="99"/>
      <c r="BC1430" s="99"/>
      <c r="BD1430" s="99"/>
      <c r="BE1430" s="99"/>
      <c r="BF1430" s="99"/>
      <c r="BG1430" s="99"/>
      <c r="BH1430" s="99"/>
      <c r="BI1430" s="99"/>
      <c r="BJ1430" s="99"/>
      <c r="BK1430" s="99"/>
      <c r="BL1430" s="99"/>
      <c r="BM1430" s="99"/>
      <c r="BN1430" s="99"/>
      <c r="BO1430" s="99"/>
      <c r="BP1430" s="99"/>
      <c r="BQ1430" s="99"/>
      <c r="BR1430" s="99"/>
      <c r="BS1430" s="99"/>
      <c r="BT1430" s="99"/>
      <c r="BU1430" s="99"/>
      <c r="BV1430" s="99"/>
      <c r="BW1430" s="99"/>
      <c r="BX1430" s="99"/>
      <c r="BY1430" s="99"/>
      <c r="BZ1430" s="99"/>
      <c r="CA1430" s="99"/>
      <c r="CB1430" s="99"/>
      <c r="CC1430" s="99"/>
      <c r="CD1430" s="99"/>
      <c r="CE1430" s="99"/>
      <c r="CF1430" s="99"/>
      <c r="CG1430" s="99"/>
      <c r="CH1430" s="99"/>
      <c r="CI1430" s="99"/>
      <c r="CJ1430" s="99"/>
      <c r="CK1430" s="99"/>
      <c r="CL1430" s="99"/>
      <c r="CM1430" s="99"/>
      <c r="CN1430" s="99"/>
      <c r="CO1430" s="99"/>
      <c r="CP1430" s="99"/>
      <c r="CQ1430" s="99"/>
      <c r="CR1430" s="99"/>
      <c r="CS1430" s="99"/>
      <c r="CT1430" s="99"/>
      <c r="CU1430" s="99"/>
      <c r="CV1430" s="99"/>
      <c r="CW1430" s="99"/>
      <c r="CX1430" s="99"/>
      <c r="CY1430" s="99"/>
      <c r="CZ1430" s="99"/>
      <c r="DA1430" s="99"/>
      <c r="DB1430" s="99"/>
      <c r="DC1430" s="99"/>
      <c r="DD1430" s="99"/>
      <c r="DE1430" s="99"/>
      <c r="DF1430" s="99"/>
      <c r="DG1430" s="99"/>
      <c r="DH1430" s="99"/>
      <c r="DI1430" s="99"/>
      <c r="DJ1430" s="99"/>
      <c r="DK1430" s="99"/>
      <c r="DL1430" s="99"/>
      <c r="DM1430" s="99"/>
      <c r="DN1430" s="99"/>
      <c r="DO1430" s="99"/>
      <c r="DP1430" s="99"/>
      <c r="DQ1430" s="99"/>
      <c r="DR1430" s="99"/>
      <c r="DS1430" s="99"/>
      <c r="DT1430" s="99"/>
      <c r="DU1430" s="99"/>
      <c r="DV1430" s="99"/>
      <c r="DW1430" s="99"/>
      <c r="DX1430" s="99"/>
      <c r="DY1430" s="99"/>
      <c r="DZ1430" s="99"/>
      <c r="EA1430" s="99"/>
      <c r="EB1430" s="99"/>
      <c r="EC1430" s="99"/>
      <c r="ED1430" s="99"/>
      <c r="EE1430" s="99"/>
      <c r="EF1430" s="99"/>
      <c r="EG1430" s="99"/>
      <c r="EH1430" s="100"/>
    </row>
    <row r="1431" spans="1:138" ht="23.25" customHeight="1" x14ac:dyDescent="0.25">
      <c r="A1431" s="101"/>
      <c r="B1431" s="90"/>
      <c r="C1431" s="90"/>
      <c r="D1431" s="90"/>
      <c r="E1431" s="90"/>
      <c r="F1431" s="90"/>
      <c r="G1431" s="90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  <c r="U1431" s="90"/>
      <c r="V1431" s="90"/>
      <c r="W1431" s="90"/>
      <c r="X1431" s="90"/>
      <c r="Y1431" s="90"/>
      <c r="Z1431" s="90"/>
      <c r="AA1431" s="90"/>
      <c r="AB1431" s="90"/>
      <c r="AC1431" s="90"/>
      <c r="AD1431" s="90"/>
      <c r="AE1431" s="90"/>
      <c r="AF1431" s="90"/>
      <c r="AG1431" s="90"/>
      <c r="AH1431" s="90"/>
      <c r="AI1431" s="90"/>
      <c r="AJ1431" s="90"/>
      <c r="AK1431" s="90"/>
      <c r="AL1431" s="90"/>
      <c r="AM1431" s="90"/>
      <c r="AN1431" s="90"/>
      <c r="AO1431" s="90"/>
      <c r="AP1431" s="90"/>
      <c r="AQ1431" s="90"/>
      <c r="AR1431" s="90"/>
      <c r="AS1431" s="90"/>
      <c r="AT1431" s="90"/>
      <c r="AU1431" s="90"/>
      <c r="AV1431" s="90"/>
      <c r="AW1431" s="90"/>
      <c r="AX1431" s="90"/>
      <c r="AY1431" s="90"/>
      <c r="AZ1431" s="90"/>
      <c r="BA1431" s="90"/>
      <c r="BB1431" s="90"/>
      <c r="BC1431" s="90"/>
      <c r="BD1431" s="90"/>
      <c r="BE1431" s="90"/>
      <c r="BF1431" s="90"/>
      <c r="BG1431" s="90"/>
      <c r="BH1431" s="90"/>
      <c r="BI1431" s="90"/>
      <c r="BJ1431" s="90"/>
      <c r="BK1431" s="90"/>
      <c r="BL1431" s="90"/>
      <c r="BM1431" s="90"/>
      <c r="BN1431" s="90"/>
      <c r="BO1431" s="90"/>
      <c r="BP1431" s="90"/>
      <c r="BQ1431" s="90"/>
      <c r="BR1431" s="90"/>
      <c r="BS1431" s="90"/>
      <c r="BT1431" s="90"/>
      <c r="BU1431" s="90"/>
      <c r="BV1431" s="90"/>
      <c r="BW1431" s="90"/>
      <c r="BX1431" s="90"/>
      <c r="BY1431" s="90"/>
      <c r="BZ1431" s="90"/>
      <c r="CA1431" s="90"/>
      <c r="CB1431" s="90"/>
      <c r="CC1431" s="90"/>
      <c r="CD1431" s="90"/>
      <c r="CE1431" s="90"/>
      <c r="CF1431" s="90"/>
      <c r="CG1431" s="90"/>
      <c r="CH1431" s="90"/>
      <c r="CI1431" s="90"/>
      <c r="CJ1431" s="90"/>
      <c r="CK1431" s="90"/>
      <c r="CL1431" s="90"/>
      <c r="CM1431" s="90"/>
      <c r="CN1431" s="90"/>
      <c r="CO1431" s="90"/>
      <c r="CP1431" s="90"/>
      <c r="CQ1431" s="90"/>
      <c r="CR1431" s="90"/>
      <c r="CS1431" s="90"/>
      <c r="CT1431" s="90"/>
      <c r="CU1431" s="90"/>
      <c r="CV1431" s="90"/>
      <c r="CW1431" s="90"/>
      <c r="CX1431" s="90"/>
      <c r="CY1431" s="90"/>
      <c r="CZ1431" s="90"/>
      <c r="DA1431" s="90"/>
      <c r="DB1431" s="90"/>
      <c r="DC1431" s="90"/>
      <c r="DD1431" s="90"/>
      <c r="DE1431" s="90"/>
      <c r="DF1431" s="90"/>
      <c r="DG1431" s="90"/>
      <c r="DH1431" s="90"/>
      <c r="DI1431" s="90"/>
      <c r="DJ1431" s="90"/>
      <c r="DK1431" s="90"/>
      <c r="DL1431" s="90"/>
      <c r="DM1431" s="90"/>
      <c r="DN1431" s="90"/>
      <c r="DO1431" s="90"/>
      <c r="DP1431" s="90"/>
      <c r="DQ1431" s="90"/>
      <c r="DR1431" s="90"/>
      <c r="DS1431" s="90"/>
      <c r="DT1431" s="90"/>
      <c r="DU1431" s="90"/>
      <c r="DV1431" s="90"/>
      <c r="DW1431" s="90"/>
      <c r="DX1431" s="90"/>
      <c r="DY1431" s="90"/>
      <c r="DZ1431" s="90"/>
      <c r="EA1431" s="90"/>
      <c r="EB1431" s="90"/>
      <c r="EC1431" s="90"/>
      <c r="ED1431" s="90"/>
      <c r="EE1431" s="90"/>
      <c r="EF1431" s="90"/>
      <c r="EG1431" s="90"/>
      <c r="EH1431" s="102"/>
    </row>
    <row r="1432" spans="1:138" ht="23.25" customHeight="1" x14ac:dyDescent="0.25">
      <c r="A1432" s="98"/>
      <c r="B1432" s="99"/>
      <c r="C1432" s="99"/>
      <c r="D1432" s="99"/>
      <c r="E1432" s="99"/>
      <c r="F1432" s="99"/>
      <c r="G1432" s="99"/>
      <c r="H1432" s="99"/>
      <c r="I1432" s="99"/>
      <c r="J1432" s="99"/>
      <c r="K1432" s="99"/>
      <c r="L1432" s="99"/>
      <c r="M1432" s="99"/>
      <c r="N1432" s="99"/>
      <c r="O1432" s="99"/>
      <c r="P1432" s="99"/>
      <c r="Q1432" s="99"/>
      <c r="R1432" s="99"/>
      <c r="S1432" s="99"/>
      <c r="T1432" s="99"/>
      <c r="U1432" s="99"/>
      <c r="V1432" s="99"/>
      <c r="W1432" s="99"/>
      <c r="X1432" s="99"/>
      <c r="Y1432" s="99"/>
      <c r="Z1432" s="99"/>
      <c r="AA1432" s="99"/>
      <c r="AB1432" s="99"/>
      <c r="AC1432" s="99"/>
      <c r="AD1432" s="99"/>
      <c r="AE1432" s="99"/>
      <c r="AF1432" s="99"/>
      <c r="AG1432" s="99"/>
      <c r="AH1432" s="99"/>
      <c r="AI1432" s="99"/>
      <c r="AJ1432" s="99"/>
      <c r="AK1432" s="99"/>
      <c r="AL1432" s="99"/>
      <c r="AM1432" s="99"/>
      <c r="AN1432" s="99"/>
      <c r="AO1432" s="99"/>
      <c r="AP1432" s="99"/>
      <c r="AQ1432" s="99"/>
      <c r="AR1432" s="99"/>
      <c r="AS1432" s="99"/>
      <c r="AT1432" s="99"/>
      <c r="AU1432" s="99"/>
      <c r="AV1432" s="99"/>
      <c r="AW1432" s="99"/>
      <c r="AX1432" s="99"/>
      <c r="AY1432" s="99"/>
      <c r="AZ1432" s="99"/>
      <c r="BA1432" s="99"/>
      <c r="BB1432" s="99"/>
      <c r="BC1432" s="99"/>
      <c r="BD1432" s="99"/>
      <c r="BE1432" s="99"/>
      <c r="BF1432" s="99"/>
      <c r="BG1432" s="99"/>
      <c r="BH1432" s="99"/>
      <c r="BI1432" s="99"/>
      <c r="BJ1432" s="99"/>
      <c r="BK1432" s="99"/>
      <c r="BL1432" s="99"/>
      <c r="BM1432" s="99"/>
      <c r="BN1432" s="99"/>
      <c r="BO1432" s="99"/>
      <c r="BP1432" s="99"/>
      <c r="BQ1432" s="99"/>
      <c r="BR1432" s="99"/>
      <c r="BS1432" s="99"/>
      <c r="BT1432" s="99"/>
      <c r="BU1432" s="99"/>
      <c r="BV1432" s="99"/>
      <c r="BW1432" s="99"/>
      <c r="BX1432" s="99"/>
      <c r="BY1432" s="99"/>
      <c r="BZ1432" s="99"/>
      <c r="CA1432" s="99"/>
      <c r="CB1432" s="99"/>
      <c r="CC1432" s="99"/>
      <c r="CD1432" s="99"/>
      <c r="CE1432" s="99"/>
      <c r="CF1432" s="99"/>
      <c r="CG1432" s="99"/>
      <c r="CH1432" s="99"/>
      <c r="CI1432" s="99"/>
      <c r="CJ1432" s="99"/>
      <c r="CK1432" s="99"/>
      <c r="CL1432" s="99"/>
      <c r="CM1432" s="99"/>
      <c r="CN1432" s="99"/>
      <c r="CO1432" s="99"/>
      <c r="CP1432" s="99"/>
      <c r="CQ1432" s="99"/>
      <c r="CR1432" s="99"/>
      <c r="CS1432" s="99"/>
      <c r="CT1432" s="99"/>
      <c r="CU1432" s="99"/>
      <c r="CV1432" s="99"/>
      <c r="CW1432" s="99"/>
      <c r="CX1432" s="99"/>
      <c r="CY1432" s="99"/>
      <c r="CZ1432" s="99"/>
      <c r="DA1432" s="99"/>
      <c r="DB1432" s="99"/>
      <c r="DC1432" s="99"/>
      <c r="DD1432" s="99"/>
      <c r="DE1432" s="99"/>
      <c r="DF1432" s="99"/>
      <c r="DG1432" s="99"/>
      <c r="DH1432" s="99"/>
      <c r="DI1432" s="99"/>
      <c r="DJ1432" s="99"/>
      <c r="DK1432" s="99"/>
      <c r="DL1432" s="99"/>
      <c r="DM1432" s="99"/>
      <c r="DN1432" s="99"/>
      <c r="DO1432" s="99"/>
      <c r="DP1432" s="99"/>
      <c r="DQ1432" s="99"/>
      <c r="DR1432" s="99"/>
      <c r="DS1432" s="99"/>
      <c r="DT1432" s="99"/>
      <c r="DU1432" s="99"/>
      <c r="DV1432" s="99"/>
      <c r="DW1432" s="99"/>
      <c r="DX1432" s="99"/>
      <c r="DY1432" s="99"/>
      <c r="DZ1432" s="99"/>
      <c r="EA1432" s="99"/>
      <c r="EB1432" s="99"/>
      <c r="EC1432" s="99"/>
      <c r="ED1432" s="99"/>
      <c r="EE1432" s="99"/>
      <c r="EF1432" s="99"/>
      <c r="EG1432" s="99"/>
      <c r="EH1432" s="100"/>
    </row>
    <row r="1433" spans="1:138" ht="23.25" customHeight="1" x14ac:dyDescent="0.25">
      <c r="A1433" s="101"/>
      <c r="B1433" s="90"/>
      <c r="C1433" s="90"/>
      <c r="D1433" s="90"/>
      <c r="E1433" s="90"/>
      <c r="F1433" s="90"/>
      <c r="G1433" s="90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  <c r="U1433" s="90"/>
      <c r="V1433" s="90"/>
      <c r="W1433" s="90"/>
      <c r="X1433" s="90"/>
      <c r="Y1433" s="90"/>
      <c r="Z1433" s="90"/>
      <c r="AA1433" s="90"/>
      <c r="AB1433" s="90"/>
      <c r="AC1433" s="90"/>
      <c r="AD1433" s="90"/>
      <c r="AE1433" s="90"/>
      <c r="AF1433" s="90"/>
      <c r="AG1433" s="90"/>
      <c r="AH1433" s="90"/>
      <c r="AI1433" s="90"/>
      <c r="AJ1433" s="90"/>
      <c r="AK1433" s="90"/>
      <c r="AL1433" s="90"/>
      <c r="AM1433" s="90"/>
      <c r="AN1433" s="90"/>
      <c r="AO1433" s="90"/>
      <c r="AP1433" s="90"/>
      <c r="AQ1433" s="90"/>
      <c r="AR1433" s="90"/>
      <c r="AS1433" s="90"/>
      <c r="AT1433" s="90"/>
      <c r="AU1433" s="90"/>
      <c r="AV1433" s="90"/>
      <c r="AW1433" s="90"/>
      <c r="AX1433" s="90"/>
      <c r="AY1433" s="90"/>
      <c r="AZ1433" s="90"/>
      <c r="BA1433" s="90"/>
      <c r="BB1433" s="90"/>
      <c r="BC1433" s="90"/>
      <c r="BD1433" s="90"/>
      <c r="BE1433" s="90"/>
      <c r="BF1433" s="90"/>
      <c r="BG1433" s="90"/>
      <c r="BH1433" s="90"/>
      <c r="BI1433" s="90"/>
      <c r="BJ1433" s="90"/>
      <c r="BK1433" s="90"/>
      <c r="BL1433" s="90"/>
      <c r="BM1433" s="90"/>
      <c r="BN1433" s="90"/>
      <c r="BO1433" s="90"/>
      <c r="BP1433" s="90"/>
      <c r="BQ1433" s="90"/>
      <c r="BR1433" s="90"/>
      <c r="BS1433" s="90"/>
      <c r="BT1433" s="90"/>
      <c r="BU1433" s="90"/>
      <c r="BV1433" s="90"/>
      <c r="BW1433" s="90"/>
      <c r="BX1433" s="90"/>
      <c r="BY1433" s="90"/>
      <c r="BZ1433" s="90"/>
      <c r="CA1433" s="90"/>
      <c r="CB1433" s="90"/>
      <c r="CC1433" s="90"/>
      <c r="CD1433" s="90"/>
      <c r="CE1433" s="90"/>
      <c r="CF1433" s="90"/>
      <c r="CG1433" s="90"/>
      <c r="CH1433" s="90"/>
      <c r="CI1433" s="90"/>
      <c r="CJ1433" s="90"/>
      <c r="CK1433" s="90"/>
      <c r="CL1433" s="90"/>
      <c r="CM1433" s="90"/>
      <c r="CN1433" s="90"/>
      <c r="CO1433" s="90"/>
      <c r="CP1433" s="90"/>
      <c r="CQ1433" s="90"/>
      <c r="CR1433" s="90"/>
      <c r="CS1433" s="90"/>
      <c r="CT1433" s="90"/>
      <c r="CU1433" s="90"/>
      <c r="CV1433" s="90"/>
      <c r="CW1433" s="90"/>
      <c r="CX1433" s="90"/>
      <c r="CY1433" s="90"/>
      <c r="CZ1433" s="90"/>
      <c r="DA1433" s="90"/>
      <c r="DB1433" s="90"/>
      <c r="DC1433" s="90"/>
      <c r="DD1433" s="90"/>
      <c r="DE1433" s="90"/>
      <c r="DF1433" s="90"/>
      <c r="DG1433" s="90"/>
      <c r="DH1433" s="90"/>
      <c r="DI1433" s="90"/>
      <c r="DJ1433" s="90"/>
      <c r="DK1433" s="90"/>
      <c r="DL1433" s="90"/>
      <c r="DM1433" s="90"/>
      <c r="DN1433" s="90"/>
      <c r="DO1433" s="90"/>
      <c r="DP1433" s="90"/>
      <c r="DQ1433" s="90"/>
      <c r="DR1433" s="90"/>
      <c r="DS1433" s="90"/>
      <c r="DT1433" s="90"/>
      <c r="DU1433" s="90"/>
      <c r="DV1433" s="90"/>
      <c r="DW1433" s="90"/>
      <c r="DX1433" s="90"/>
      <c r="DY1433" s="90"/>
      <c r="DZ1433" s="90"/>
      <c r="EA1433" s="90"/>
      <c r="EB1433" s="90"/>
      <c r="EC1433" s="90"/>
      <c r="ED1433" s="90"/>
      <c r="EE1433" s="90"/>
      <c r="EF1433" s="90"/>
      <c r="EG1433" s="90"/>
      <c r="EH1433" s="102"/>
    </row>
    <row r="1434" spans="1:138" ht="23.25" customHeight="1" x14ac:dyDescent="0.25">
      <c r="A1434" s="98"/>
      <c r="B1434" s="99"/>
      <c r="C1434" s="99"/>
      <c r="D1434" s="99"/>
      <c r="E1434" s="99"/>
      <c r="F1434" s="99"/>
      <c r="G1434" s="99"/>
      <c r="H1434" s="99"/>
      <c r="I1434" s="99"/>
      <c r="J1434" s="99"/>
      <c r="K1434" s="99"/>
      <c r="L1434" s="99"/>
      <c r="M1434" s="99"/>
      <c r="N1434" s="99"/>
      <c r="O1434" s="99"/>
      <c r="P1434" s="99"/>
      <c r="Q1434" s="99"/>
      <c r="R1434" s="99"/>
      <c r="S1434" s="99"/>
      <c r="T1434" s="99"/>
      <c r="U1434" s="99"/>
      <c r="V1434" s="99"/>
      <c r="W1434" s="99"/>
      <c r="X1434" s="99"/>
      <c r="Y1434" s="99"/>
      <c r="Z1434" s="99"/>
      <c r="AA1434" s="99"/>
      <c r="AB1434" s="99"/>
      <c r="AC1434" s="99"/>
      <c r="AD1434" s="99"/>
      <c r="AE1434" s="99"/>
      <c r="AF1434" s="99"/>
      <c r="AG1434" s="99"/>
      <c r="AH1434" s="99"/>
      <c r="AI1434" s="99"/>
      <c r="AJ1434" s="99"/>
      <c r="AK1434" s="99"/>
      <c r="AL1434" s="99"/>
      <c r="AM1434" s="99"/>
      <c r="AN1434" s="99"/>
      <c r="AO1434" s="99"/>
      <c r="AP1434" s="99"/>
      <c r="AQ1434" s="99"/>
      <c r="AR1434" s="99"/>
      <c r="AS1434" s="99"/>
      <c r="AT1434" s="99"/>
      <c r="AU1434" s="99"/>
      <c r="AV1434" s="99"/>
      <c r="AW1434" s="99"/>
      <c r="AX1434" s="99"/>
      <c r="AY1434" s="99"/>
      <c r="AZ1434" s="99"/>
      <c r="BA1434" s="99"/>
      <c r="BB1434" s="99"/>
      <c r="BC1434" s="99"/>
      <c r="BD1434" s="99"/>
      <c r="BE1434" s="99"/>
      <c r="BF1434" s="99"/>
      <c r="BG1434" s="99"/>
      <c r="BH1434" s="99"/>
      <c r="BI1434" s="99"/>
      <c r="BJ1434" s="99"/>
      <c r="BK1434" s="99"/>
      <c r="BL1434" s="99"/>
      <c r="BM1434" s="99"/>
      <c r="BN1434" s="99"/>
      <c r="BO1434" s="99"/>
      <c r="BP1434" s="99"/>
      <c r="BQ1434" s="99"/>
      <c r="BR1434" s="99"/>
      <c r="BS1434" s="99"/>
      <c r="BT1434" s="99"/>
      <c r="BU1434" s="99"/>
      <c r="BV1434" s="99"/>
      <c r="BW1434" s="99"/>
      <c r="BX1434" s="99"/>
      <c r="BY1434" s="99"/>
      <c r="BZ1434" s="99"/>
      <c r="CA1434" s="99"/>
      <c r="CB1434" s="99"/>
      <c r="CC1434" s="99"/>
      <c r="CD1434" s="99"/>
      <c r="CE1434" s="99"/>
      <c r="CF1434" s="99"/>
      <c r="CG1434" s="99"/>
      <c r="CH1434" s="99"/>
      <c r="CI1434" s="99"/>
      <c r="CJ1434" s="99"/>
      <c r="CK1434" s="99"/>
      <c r="CL1434" s="99"/>
      <c r="CM1434" s="99"/>
      <c r="CN1434" s="99"/>
      <c r="CO1434" s="99"/>
      <c r="CP1434" s="99"/>
      <c r="CQ1434" s="99"/>
      <c r="CR1434" s="99"/>
      <c r="CS1434" s="99"/>
      <c r="CT1434" s="99"/>
      <c r="CU1434" s="99"/>
      <c r="CV1434" s="99"/>
      <c r="CW1434" s="99"/>
      <c r="CX1434" s="99"/>
      <c r="CY1434" s="99"/>
      <c r="CZ1434" s="99"/>
      <c r="DA1434" s="99"/>
      <c r="DB1434" s="99"/>
      <c r="DC1434" s="99"/>
      <c r="DD1434" s="99"/>
      <c r="DE1434" s="99"/>
      <c r="DF1434" s="99"/>
      <c r="DG1434" s="99"/>
      <c r="DH1434" s="99"/>
      <c r="DI1434" s="99"/>
      <c r="DJ1434" s="99"/>
      <c r="DK1434" s="99"/>
      <c r="DL1434" s="99"/>
      <c r="DM1434" s="99"/>
      <c r="DN1434" s="99"/>
      <c r="DO1434" s="99"/>
      <c r="DP1434" s="99"/>
      <c r="DQ1434" s="99"/>
      <c r="DR1434" s="99"/>
      <c r="DS1434" s="99"/>
      <c r="DT1434" s="99"/>
      <c r="DU1434" s="99"/>
      <c r="DV1434" s="99"/>
      <c r="DW1434" s="99"/>
      <c r="DX1434" s="99"/>
      <c r="DY1434" s="99"/>
      <c r="DZ1434" s="99"/>
      <c r="EA1434" s="99"/>
      <c r="EB1434" s="99"/>
      <c r="EC1434" s="99"/>
      <c r="ED1434" s="99"/>
      <c r="EE1434" s="99"/>
      <c r="EF1434" s="99"/>
      <c r="EG1434" s="99"/>
      <c r="EH1434" s="100"/>
    </row>
    <row r="1435" spans="1:138" ht="23.25" customHeight="1" x14ac:dyDescent="0.25">
      <c r="A1435" s="101"/>
      <c r="B1435" s="90"/>
      <c r="C1435" s="90"/>
      <c r="D1435" s="90"/>
      <c r="E1435" s="90"/>
      <c r="F1435" s="90"/>
      <c r="G1435" s="90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  <c r="U1435" s="90"/>
      <c r="V1435" s="90"/>
      <c r="W1435" s="90"/>
      <c r="X1435" s="90"/>
      <c r="Y1435" s="90"/>
      <c r="Z1435" s="90"/>
      <c r="AA1435" s="90"/>
      <c r="AB1435" s="90"/>
      <c r="AC1435" s="90"/>
      <c r="AD1435" s="90"/>
      <c r="AE1435" s="90"/>
      <c r="AF1435" s="90"/>
      <c r="AG1435" s="90"/>
      <c r="AH1435" s="90"/>
      <c r="AI1435" s="90"/>
      <c r="AJ1435" s="90"/>
      <c r="AK1435" s="90"/>
      <c r="AL1435" s="90"/>
      <c r="AM1435" s="90"/>
      <c r="AN1435" s="90"/>
      <c r="AO1435" s="90"/>
      <c r="AP1435" s="90"/>
      <c r="AQ1435" s="90"/>
      <c r="AR1435" s="90"/>
      <c r="AS1435" s="90"/>
      <c r="AT1435" s="90"/>
      <c r="AU1435" s="90"/>
      <c r="AV1435" s="90"/>
      <c r="AW1435" s="90"/>
      <c r="AX1435" s="90"/>
      <c r="AY1435" s="90"/>
      <c r="AZ1435" s="90"/>
      <c r="BA1435" s="90"/>
      <c r="BB1435" s="90"/>
      <c r="BC1435" s="90"/>
      <c r="BD1435" s="90"/>
      <c r="BE1435" s="90"/>
      <c r="BF1435" s="90"/>
      <c r="BG1435" s="90"/>
      <c r="BH1435" s="90"/>
      <c r="BI1435" s="90"/>
      <c r="BJ1435" s="90"/>
      <c r="BK1435" s="90"/>
      <c r="BL1435" s="90"/>
      <c r="BM1435" s="90"/>
      <c r="BN1435" s="90"/>
      <c r="BO1435" s="90"/>
      <c r="BP1435" s="90"/>
      <c r="BQ1435" s="90"/>
      <c r="BR1435" s="90"/>
      <c r="BS1435" s="90"/>
      <c r="BT1435" s="90"/>
      <c r="BU1435" s="90"/>
      <c r="BV1435" s="90"/>
      <c r="BW1435" s="90"/>
      <c r="BX1435" s="90"/>
      <c r="BY1435" s="90"/>
      <c r="BZ1435" s="90"/>
      <c r="CA1435" s="90"/>
      <c r="CB1435" s="90"/>
      <c r="CC1435" s="90"/>
      <c r="CD1435" s="90"/>
      <c r="CE1435" s="90"/>
      <c r="CF1435" s="90"/>
      <c r="CG1435" s="90"/>
      <c r="CH1435" s="90"/>
      <c r="CI1435" s="90"/>
      <c r="CJ1435" s="90"/>
      <c r="CK1435" s="90"/>
      <c r="CL1435" s="90"/>
      <c r="CM1435" s="90"/>
      <c r="CN1435" s="90"/>
      <c r="CO1435" s="90"/>
      <c r="CP1435" s="90"/>
      <c r="CQ1435" s="90"/>
      <c r="CR1435" s="90"/>
      <c r="CS1435" s="90"/>
      <c r="CT1435" s="90"/>
      <c r="CU1435" s="90"/>
      <c r="CV1435" s="90"/>
      <c r="CW1435" s="90"/>
      <c r="CX1435" s="90"/>
      <c r="CY1435" s="90"/>
      <c r="CZ1435" s="90"/>
      <c r="DA1435" s="90"/>
      <c r="DB1435" s="90"/>
      <c r="DC1435" s="90"/>
      <c r="DD1435" s="90"/>
      <c r="DE1435" s="90"/>
      <c r="DF1435" s="90"/>
      <c r="DG1435" s="90"/>
      <c r="DH1435" s="90"/>
      <c r="DI1435" s="90"/>
      <c r="DJ1435" s="90"/>
      <c r="DK1435" s="90"/>
      <c r="DL1435" s="90"/>
      <c r="DM1435" s="90"/>
      <c r="DN1435" s="90"/>
      <c r="DO1435" s="90"/>
      <c r="DP1435" s="90"/>
      <c r="DQ1435" s="90"/>
      <c r="DR1435" s="90"/>
      <c r="DS1435" s="90"/>
      <c r="DT1435" s="90"/>
      <c r="DU1435" s="90"/>
      <c r="DV1435" s="90"/>
      <c r="DW1435" s="90"/>
      <c r="DX1435" s="90"/>
      <c r="DY1435" s="90"/>
      <c r="DZ1435" s="90"/>
      <c r="EA1435" s="90"/>
      <c r="EB1435" s="90"/>
      <c r="EC1435" s="90"/>
      <c r="ED1435" s="90"/>
      <c r="EE1435" s="90"/>
      <c r="EF1435" s="90"/>
      <c r="EG1435" s="90"/>
      <c r="EH1435" s="102"/>
    </row>
    <row r="1436" spans="1:138" ht="23.25" customHeight="1" x14ac:dyDescent="0.25">
      <c r="A1436" s="98"/>
      <c r="B1436" s="99"/>
      <c r="C1436" s="99"/>
      <c r="D1436" s="99"/>
      <c r="E1436" s="99"/>
      <c r="F1436" s="99"/>
      <c r="G1436" s="99"/>
      <c r="H1436" s="99"/>
      <c r="I1436" s="99"/>
      <c r="J1436" s="99"/>
      <c r="K1436" s="99"/>
      <c r="L1436" s="99"/>
      <c r="M1436" s="99"/>
      <c r="N1436" s="99"/>
      <c r="O1436" s="99"/>
      <c r="P1436" s="99"/>
      <c r="Q1436" s="99"/>
      <c r="R1436" s="99"/>
      <c r="S1436" s="99"/>
      <c r="T1436" s="99"/>
      <c r="U1436" s="99"/>
      <c r="V1436" s="99"/>
      <c r="W1436" s="99"/>
      <c r="X1436" s="99"/>
      <c r="Y1436" s="99"/>
      <c r="Z1436" s="99"/>
      <c r="AA1436" s="99"/>
      <c r="AB1436" s="99"/>
      <c r="AC1436" s="99"/>
      <c r="AD1436" s="99"/>
      <c r="AE1436" s="99"/>
      <c r="AF1436" s="99"/>
      <c r="AG1436" s="99"/>
      <c r="AH1436" s="99"/>
      <c r="AI1436" s="99"/>
      <c r="AJ1436" s="99"/>
      <c r="AK1436" s="99"/>
      <c r="AL1436" s="99"/>
      <c r="AM1436" s="99"/>
      <c r="AN1436" s="99"/>
      <c r="AO1436" s="99"/>
      <c r="AP1436" s="99"/>
      <c r="AQ1436" s="99"/>
      <c r="AR1436" s="99"/>
      <c r="AS1436" s="99"/>
      <c r="AT1436" s="99"/>
      <c r="AU1436" s="99"/>
      <c r="AV1436" s="99"/>
      <c r="AW1436" s="99"/>
      <c r="AX1436" s="99"/>
      <c r="AY1436" s="99"/>
      <c r="AZ1436" s="99"/>
      <c r="BA1436" s="99"/>
      <c r="BB1436" s="99"/>
      <c r="BC1436" s="99"/>
      <c r="BD1436" s="99"/>
      <c r="BE1436" s="99"/>
      <c r="BF1436" s="99"/>
      <c r="BG1436" s="99"/>
      <c r="BH1436" s="99"/>
      <c r="BI1436" s="99"/>
      <c r="BJ1436" s="99"/>
      <c r="BK1436" s="99"/>
      <c r="BL1436" s="99"/>
      <c r="BM1436" s="99"/>
      <c r="BN1436" s="99"/>
      <c r="BO1436" s="99"/>
      <c r="BP1436" s="99"/>
      <c r="BQ1436" s="99"/>
      <c r="BR1436" s="99"/>
      <c r="BS1436" s="99"/>
      <c r="BT1436" s="99"/>
      <c r="BU1436" s="99"/>
      <c r="BV1436" s="99"/>
      <c r="BW1436" s="99"/>
      <c r="BX1436" s="99"/>
      <c r="BY1436" s="99"/>
      <c r="BZ1436" s="99"/>
      <c r="CA1436" s="99"/>
      <c r="CB1436" s="99"/>
      <c r="CC1436" s="99"/>
      <c r="CD1436" s="99"/>
      <c r="CE1436" s="99"/>
      <c r="CF1436" s="99"/>
      <c r="CG1436" s="99"/>
      <c r="CH1436" s="99"/>
      <c r="CI1436" s="99"/>
      <c r="CJ1436" s="99"/>
      <c r="CK1436" s="99"/>
      <c r="CL1436" s="99"/>
      <c r="CM1436" s="99"/>
      <c r="CN1436" s="99"/>
      <c r="CO1436" s="99"/>
      <c r="CP1436" s="99"/>
      <c r="CQ1436" s="99"/>
      <c r="CR1436" s="99"/>
      <c r="CS1436" s="99"/>
      <c r="CT1436" s="99"/>
      <c r="CU1436" s="99"/>
      <c r="CV1436" s="99"/>
      <c r="CW1436" s="99"/>
      <c r="CX1436" s="99"/>
      <c r="CY1436" s="99"/>
      <c r="CZ1436" s="99"/>
      <c r="DA1436" s="99"/>
      <c r="DB1436" s="99"/>
      <c r="DC1436" s="99"/>
      <c r="DD1436" s="99"/>
      <c r="DE1436" s="99"/>
      <c r="DF1436" s="99"/>
      <c r="DG1436" s="99"/>
      <c r="DH1436" s="99"/>
      <c r="DI1436" s="99"/>
      <c r="DJ1436" s="99"/>
      <c r="DK1436" s="99"/>
      <c r="DL1436" s="99"/>
      <c r="DM1436" s="99"/>
      <c r="DN1436" s="99"/>
      <c r="DO1436" s="99"/>
      <c r="DP1436" s="99"/>
      <c r="DQ1436" s="99"/>
      <c r="DR1436" s="99"/>
      <c r="DS1436" s="99"/>
      <c r="DT1436" s="99"/>
      <c r="DU1436" s="99"/>
      <c r="DV1436" s="99"/>
      <c r="DW1436" s="99"/>
      <c r="DX1436" s="99"/>
      <c r="DY1436" s="99"/>
      <c r="DZ1436" s="99"/>
      <c r="EA1436" s="99"/>
      <c r="EB1436" s="99"/>
      <c r="EC1436" s="99"/>
      <c r="ED1436" s="99"/>
      <c r="EE1436" s="99"/>
      <c r="EF1436" s="99"/>
      <c r="EG1436" s="99"/>
      <c r="EH1436" s="100"/>
    </row>
    <row r="1437" spans="1:138" ht="23.25" customHeight="1" x14ac:dyDescent="0.25">
      <c r="A1437" s="101"/>
      <c r="B1437" s="90"/>
      <c r="C1437" s="90"/>
      <c r="D1437" s="90"/>
      <c r="E1437" s="90"/>
      <c r="F1437" s="90"/>
      <c r="G1437" s="90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  <c r="U1437" s="90"/>
      <c r="V1437" s="90"/>
      <c r="W1437" s="90"/>
      <c r="X1437" s="90"/>
      <c r="Y1437" s="90"/>
      <c r="Z1437" s="90"/>
      <c r="AA1437" s="90"/>
      <c r="AB1437" s="90"/>
      <c r="AC1437" s="90"/>
      <c r="AD1437" s="90"/>
      <c r="AE1437" s="90"/>
      <c r="AF1437" s="90"/>
      <c r="AG1437" s="90"/>
      <c r="AH1437" s="90"/>
      <c r="AI1437" s="90"/>
      <c r="AJ1437" s="90"/>
      <c r="AK1437" s="90"/>
      <c r="AL1437" s="90"/>
      <c r="AM1437" s="90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  <c r="BM1437" s="90"/>
      <c r="BN1437" s="90"/>
      <c r="BO1437" s="90"/>
      <c r="BP1437" s="90"/>
      <c r="BQ1437" s="90"/>
      <c r="BR1437" s="90"/>
      <c r="BS1437" s="90"/>
      <c r="BT1437" s="90"/>
      <c r="BU1437" s="90"/>
      <c r="BV1437" s="90"/>
      <c r="BW1437" s="90"/>
      <c r="BX1437" s="90"/>
      <c r="BY1437" s="90"/>
      <c r="BZ1437" s="90"/>
      <c r="CA1437" s="90"/>
      <c r="CB1437" s="90"/>
      <c r="CC1437" s="90"/>
      <c r="CD1437" s="90"/>
      <c r="CE1437" s="90"/>
      <c r="CF1437" s="90"/>
      <c r="CG1437" s="90"/>
      <c r="CH1437" s="90"/>
      <c r="CI1437" s="90"/>
      <c r="CJ1437" s="90"/>
      <c r="CK1437" s="90"/>
      <c r="CL1437" s="90"/>
      <c r="CM1437" s="90"/>
      <c r="CN1437" s="90"/>
      <c r="CO1437" s="90"/>
      <c r="CP1437" s="90"/>
      <c r="CQ1437" s="90"/>
      <c r="CR1437" s="90"/>
      <c r="CS1437" s="90"/>
      <c r="CT1437" s="90"/>
      <c r="CU1437" s="90"/>
      <c r="CV1437" s="90"/>
      <c r="CW1437" s="90"/>
      <c r="CX1437" s="90"/>
      <c r="CY1437" s="90"/>
      <c r="CZ1437" s="90"/>
      <c r="DA1437" s="90"/>
      <c r="DB1437" s="90"/>
      <c r="DC1437" s="90"/>
      <c r="DD1437" s="90"/>
      <c r="DE1437" s="90"/>
      <c r="DF1437" s="90"/>
      <c r="DG1437" s="90"/>
      <c r="DH1437" s="90"/>
      <c r="DI1437" s="90"/>
      <c r="DJ1437" s="90"/>
      <c r="DK1437" s="90"/>
      <c r="DL1437" s="90"/>
      <c r="DM1437" s="90"/>
      <c r="DN1437" s="90"/>
      <c r="DO1437" s="90"/>
      <c r="DP1437" s="90"/>
      <c r="DQ1437" s="90"/>
      <c r="DR1437" s="90"/>
      <c r="DS1437" s="90"/>
      <c r="DT1437" s="90"/>
      <c r="DU1437" s="90"/>
      <c r="DV1437" s="90"/>
      <c r="DW1437" s="90"/>
      <c r="DX1437" s="90"/>
      <c r="DY1437" s="90"/>
      <c r="DZ1437" s="90"/>
      <c r="EA1437" s="90"/>
      <c r="EB1437" s="90"/>
      <c r="EC1437" s="90"/>
      <c r="ED1437" s="90"/>
      <c r="EE1437" s="90"/>
      <c r="EF1437" s="90"/>
      <c r="EG1437" s="90"/>
      <c r="EH1437" s="102"/>
    </row>
  </sheetData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70</v>
      </c>
    </row>
    <row r="2" spans="1:7" x14ac:dyDescent="0.25">
      <c r="A2" s="2" t="str">
        <f>TEXT(A1,"0.00")</f>
        <v>4.14</v>
      </c>
      <c r="B2" s="2" t="str">
        <f>VLOOKUP(A$2,Eixo4[],3,FALSE)</f>
        <v>Com relação ao ensino da graduação, avalie: [A atuação do coordenador do curso com o qual você tem mais contato]</v>
      </c>
    </row>
    <row r="3" spans="1:7" x14ac:dyDescent="0.25">
      <c r="A3" s="2" t="s">
        <v>494</v>
      </c>
      <c r="B3" s="2" t="str">
        <f>VLOOKUP(A$2,Eixo4[],4,FALSE)</f>
        <v>Eixo 4: Questão 14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COUNTIFS(Resp4[Vínculo],"tecnico",Resp4[4.14],B7)</f>
        <v>0</v>
      </c>
      <c r="D7" s="4">
        <f>COUNTIFS(Resp4[Vínculo],"docente",Resp4[4.14],B7)</f>
        <v>1</v>
      </c>
      <c r="E7" s="4">
        <f>COUNTIF(Resp4[4.14],B7)</f>
        <v>1</v>
      </c>
      <c r="F7" s="4">
        <f t="shared" ref="F7:F13" si="0">ROUND($E7/E$13*100,2)</f>
        <v>1.47</v>
      </c>
      <c r="G7" s="3">
        <f t="shared" ref="G7:G12" si="1">ROUND($E7/SUM($E$7:$E$12)*100,3)</f>
        <v>3.3330000000000002</v>
      </c>
    </row>
    <row r="8" spans="1:7" x14ac:dyDescent="0.25">
      <c r="B8" s="2" t="s">
        <v>206</v>
      </c>
      <c r="C8" s="4">
        <f>COUNTIFS(Resp4[Vínculo],"tecnico",Resp4[4.14],B8)</f>
        <v>0</v>
      </c>
      <c r="D8" s="4">
        <f>COUNTIFS(Resp4[Vínculo],"docente",Resp4[4.14],B8)</f>
        <v>0</v>
      </c>
      <c r="E8" s="4">
        <f>COUNTIF(Resp4[4.14],B8)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COUNTIFS(Resp4[Vínculo],"tecnico",Resp4[4.14],B9)</f>
        <v>1</v>
      </c>
      <c r="D9" s="4">
        <f>COUNTIFS(Resp4[Vínculo],"docente",Resp4[4.14],B9)</f>
        <v>0</v>
      </c>
      <c r="E9" s="4">
        <f>COUNTIF(Resp4[4.14],B9)</f>
        <v>1</v>
      </c>
      <c r="F9" s="4">
        <f t="shared" si="0"/>
        <v>1.47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COUNTIFS(Resp4[Vínculo],"tecnico",Resp4[4.14],B10)</f>
        <v>1</v>
      </c>
      <c r="D10" s="4">
        <f>COUNTIFS(Resp4[Vínculo],"docente",Resp4[4.14],B10)</f>
        <v>5</v>
      </c>
      <c r="E10" s="4">
        <f>COUNTIF(Resp4[4.14],B10)</f>
        <v>6</v>
      </c>
      <c r="F10" s="4">
        <f t="shared" si="0"/>
        <v>8.82</v>
      </c>
      <c r="G10" s="3">
        <f t="shared" si="1"/>
        <v>20</v>
      </c>
    </row>
    <row r="11" spans="1:7" x14ac:dyDescent="0.25">
      <c r="B11" s="2" t="s">
        <v>199</v>
      </c>
      <c r="C11" s="4">
        <f>COUNTIFS(Resp4[Vínculo],"tecnico",Resp4[4.14],B11)</f>
        <v>1</v>
      </c>
      <c r="D11" s="4">
        <f>COUNTIFS(Resp4[Vínculo],"docente",Resp4[4.14],B11)</f>
        <v>6</v>
      </c>
      <c r="E11" s="4">
        <f>COUNTIF(Resp4[4.14],B11)</f>
        <v>7</v>
      </c>
      <c r="F11" s="4">
        <f t="shared" si="0"/>
        <v>10.29</v>
      </c>
      <c r="G11" s="3">
        <f t="shared" si="1"/>
        <v>23.332999999999998</v>
      </c>
    </row>
    <row r="12" spans="1:7" x14ac:dyDescent="0.25">
      <c r="B12" s="7" t="s">
        <v>200</v>
      </c>
      <c r="C12" s="4">
        <f>COUNTIFS(Resp4[Vínculo],"tecnico",Resp4[4.14],B12)</f>
        <v>2</v>
      </c>
      <c r="D12" s="4">
        <f>COUNTIFS(Resp4[Vínculo],"docente",Resp4[4.14],B12)</f>
        <v>13</v>
      </c>
      <c r="E12" s="4">
        <f>COUNTIF(Resp4[4.14],B12)</f>
        <v>15</v>
      </c>
      <c r="F12" s="22">
        <f t="shared" si="0"/>
        <v>22.06</v>
      </c>
      <c r="G12" s="3">
        <f t="shared" si="1"/>
        <v>50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76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71</v>
      </c>
    </row>
    <row r="2" spans="1:7" x14ac:dyDescent="0.25">
      <c r="A2" s="2" t="str">
        <f>TEXT(A1,"0.00")</f>
        <v>4.15</v>
      </c>
      <c r="B2" s="2" t="str">
        <f>VLOOKUP(A$2,Eixo4[],3,FALSE)</f>
        <v>Com relação ao ensino da graduação, avalie: [A articulação da gestão do curso com a gestão institucional]</v>
      </c>
    </row>
    <row r="3" spans="1:7" x14ac:dyDescent="0.25">
      <c r="A3" s="2" t="s">
        <v>494</v>
      </c>
      <c r="B3" s="2" t="str">
        <f>VLOOKUP(A$2,Eixo4[],4,FALSE)</f>
        <v>Eixo 4: Questão 15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COUNTIFS(Resp4[Vínculo],"tecnico",Resp4[4.15],B7)</f>
        <v>0</v>
      </c>
      <c r="D7" s="4">
        <f>COUNTIFS(Resp4[Vínculo],"docente",Resp4[4.15],B7)</f>
        <v>5</v>
      </c>
      <c r="E7" s="4">
        <f>COUNTIF(Resp4[4.15],B7)</f>
        <v>5</v>
      </c>
      <c r="F7" s="4">
        <f t="shared" ref="F7:F13" si="0">ROUND($E7/E$13*100,2)</f>
        <v>7.35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COUNTIFS(Resp4[Vínculo],"tecnico",Resp4[4.15],B8)</f>
        <v>0</v>
      </c>
      <c r="D8" s="4">
        <f>COUNTIFS(Resp4[Vínculo],"docente",Resp4[4.15],B8)</f>
        <v>1</v>
      </c>
      <c r="E8" s="4">
        <f>COUNTIF(Resp4[4.15],B8)</f>
        <v>1</v>
      </c>
      <c r="F8" s="4">
        <f t="shared" si="0"/>
        <v>1.47</v>
      </c>
      <c r="G8" s="3">
        <f t="shared" si="1"/>
        <v>3.3330000000000002</v>
      </c>
    </row>
    <row r="9" spans="1:7" x14ac:dyDescent="0.25">
      <c r="B9" s="2" t="s">
        <v>202</v>
      </c>
      <c r="C9" s="4">
        <f>COUNTIFS(Resp4[Vínculo],"tecnico",Resp4[4.15],B9)</f>
        <v>1</v>
      </c>
      <c r="D9" s="4">
        <f>COUNTIFS(Resp4[Vínculo],"docente",Resp4[4.15],B9)</f>
        <v>1</v>
      </c>
      <c r="E9" s="4">
        <f>COUNTIF(Resp4[4.15],B9)</f>
        <v>2</v>
      </c>
      <c r="F9" s="4">
        <f t="shared" si="0"/>
        <v>2.94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COUNTIFS(Resp4[Vínculo],"tecnico",Resp4[4.15],B10)</f>
        <v>0</v>
      </c>
      <c r="D10" s="4">
        <f>COUNTIFS(Resp4[Vínculo],"docente",Resp4[4.15],B10)</f>
        <v>5</v>
      </c>
      <c r="E10" s="4">
        <f>COUNTIF(Resp4[4.15],B10)</f>
        <v>5</v>
      </c>
      <c r="F10" s="4">
        <f t="shared" si="0"/>
        <v>7.35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COUNTIFS(Resp4[Vínculo],"tecnico",Resp4[4.15],B11)</f>
        <v>2</v>
      </c>
      <c r="D11" s="4">
        <f>COUNTIFS(Resp4[Vínculo],"docente",Resp4[4.15],B11)</f>
        <v>9</v>
      </c>
      <c r="E11" s="4">
        <f>COUNTIF(Resp4[4.15],B11)</f>
        <v>11</v>
      </c>
      <c r="F11" s="4">
        <f t="shared" si="0"/>
        <v>16.18</v>
      </c>
      <c r="G11" s="3">
        <f t="shared" si="1"/>
        <v>36.667000000000002</v>
      </c>
    </row>
    <row r="12" spans="1:7" x14ac:dyDescent="0.25">
      <c r="B12" s="7" t="s">
        <v>200</v>
      </c>
      <c r="C12" s="4">
        <f>COUNTIFS(Resp4[Vínculo],"tecnico",Resp4[4.15],B12)</f>
        <v>2</v>
      </c>
      <c r="D12" s="4">
        <f>COUNTIFS(Resp4[Vínculo],"docente",Resp4[4.15],B12)</f>
        <v>4</v>
      </c>
      <c r="E12" s="4">
        <f>COUNTIF(Resp4[4.15],B12)</f>
        <v>6</v>
      </c>
      <c r="F12" s="22">
        <f t="shared" si="0"/>
        <v>8.82</v>
      </c>
      <c r="G12" s="3">
        <f t="shared" si="1"/>
        <v>20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5</v>
      </c>
      <c r="E26" s="15">
        <f>ROUND(D26/SUM(D$25:D$28)*100,3)</f>
        <v>20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52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8554687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72</v>
      </c>
    </row>
    <row r="2" spans="1:7" x14ac:dyDescent="0.25">
      <c r="A2" s="2" t="str">
        <f>TEXT(A1,"0.00")</f>
        <v>4.16</v>
      </c>
      <c r="B2" s="2" t="str">
        <f>VLOOKUP(A$2,Eixo4[],3,FALSE)</f>
        <v>Com relação ao ensino da graduação, avalie: [A implementação das políticas institucionais constantes no PPI e no PDI, no âmbito do curso]</v>
      </c>
    </row>
    <row r="3" spans="1:7" x14ac:dyDescent="0.25">
      <c r="A3" s="2" t="s">
        <v>494</v>
      </c>
      <c r="B3" s="2" t="str">
        <f>VLOOKUP(A$2,Eixo4[],4,FALSE)</f>
        <v>Eixo 4: Questão 16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COUNTIFS(Resp4[Vínculo],"tecnico",Resp4[4.16],B7)</f>
        <v>1</v>
      </c>
      <c r="D7" s="4">
        <f>COUNTIFS(Resp4[Vínculo],"docente",Resp4[4.16],B7)</f>
        <v>11</v>
      </c>
      <c r="E7" s="4">
        <f>COUNTIF(Resp4[4.16],B7)</f>
        <v>12</v>
      </c>
      <c r="F7" s="4">
        <f t="shared" ref="F7:F13" si="0">ROUND($E7/E$13*100,2)</f>
        <v>17.649999999999999</v>
      </c>
      <c r="G7" s="3">
        <f t="shared" ref="G7:G12" si="1">ROUND($E7/SUM($E$7:$E$12)*100,3)</f>
        <v>40</v>
      </c>
    </row>
    <row r="8" spans="1:7" x14ac:dyDescent="0.25">
      <c r="B8" s="2" t="s">
        <v>206</v>
      </c>
      <c r="C8" s="4">
        <f>COUNTIFS(Resp4[Vínculo],"tecnico",Resp4[4.16],B8)</f>
        <v>1</v>
      </c>
      <c r="D8" s="4">
        <f>COUNTIFS(Resp4[Vínculo],"docente",Resp4[4.16],B8)</f>
        <v>1</v>
      </c>
      <c r="E8" s="4">
        <f>COUNTIF(Resp4[4.16],B8)</f>
        <v>2</v>
      </c>
      <c r="F8" s="4">
        <f t="shared" si="0"/>
        <v>2.94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COUNTIFS(Resp4[Vínculo],"tecnico",Resp4[4.16],B9)</f>
        <v>0</v>
      </c>
      <c r="D9" s="4">
        <f>COUNTIFS(Resp4[Vínculo],"docente",Resp4[4.16],B9)</f>
        <v>1</v>
      </c>
      <c r="E9" s="4">
        <f>COUNTIF(Resp4[4.16],B9)</f>
        <v>1</v>
      </c>
      <c r="F9" s="4">
        <f t="shared" si="0"/>
        <v>1.47</v>
      </c>
      <c r="G9" s="3">
        <f t="shared" si="1"/>
        <v>3.3330000000000002</v>
      </c>
    </row>
    <row r="10" spans="1:7" x14ac:dyDescent="0.25">
      <c r="B10" s="2" t="s">
        <v>30</v>
      </c>
      <c r="C10" s="4">
        <f>COUNTIFS(Resp4[Vínculo],"tecnico",Resp4[4.16],B10)</f>
        <v>0</v>
      </c>
      <c r="D10" s="4">
        <f>COUNTIFS(Resp4[Vínculo],"docente",Resp4[4.16],B10)</f>
        <v>4</v>
      </c>
      <c r="E10" s="4">
        <f>COUNTIF(Resp4[4.16],B10)</f>
        <v>4</v>
      </c>
      <c r="F10" s="4">
        <f t="shared" si="0"/>
        <v>5.88</v>
      </c>
      <c r="G10" s="3">
        <f t="shared" si="1"/>
        <v>13.333</v>
      </c>
    </row>
    <row r="11" spans="1:7" x14ac:dyDescent="0.25">
      <c r="B11" s="2" t="s">
        <v>199</v>
      </c>
      <c r="C11" s="4">
        <f>COUNTIFS(Resp4[Vínculo],"tecnico",Resp4[4.16],B11)</f>
        <v>1</v>
      </c>
      <c r="D11" s="4">
        <f>COUNTIFS(Resp4[Vínculo],"docente",Resp4[4.16],B11)</f>
        <v>8</v>
      </c>
      <c r="E11" s="4">
        <f>COUNTIF(Resp4[4.16],B11)</f>
        <v>9</v>
      </c>
      <c r="F11" s="4">
        <f t="shared" si="0"/>
        <v>13.24</v>
      </c>
      <c r="G11" s="3">
        <f t="shared" si="1"/>
        <v>30</v>
      </c>
    </row>
    <row r="12" spans="1:7" x14ac:dyDescent="0.25">
      <c r="B12" s="7" t="s">
        <v>200</v>
      </c>
      <c r="C12" s="4">
        <f>COUNTIFS(Resp4[Vínculo],"tecnico",Resp4[4.16],B12)</f>
        <v>2</v>
      </c>
      <c r="D12" s="4">
        <f>COUNTIFS(Resp4[Vínculo],"docente",Resp4[4.16],B12)</f>
        <v>0</v>
      </c>
      <c r="E12" s="4">
        <f>COUNTIF(Resp4[4.16],B12)</f>
        <v>2</v>
      </c>
      <c r="F12" s="22">
        <f t="shared" si="0"/>
        <v>2.94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20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11</v>
      </c>
      <c r="E26" s="15">
        <f>ROUND(D26/SUM(D$25:D$28)*100,3)</f>
        <v>44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16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32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73</v>
      </c>
    </row>
    <row r="2" spans="1:7" x14ac:dyDescent="0.25">
      <c r="A2" s="2" t="str">
        <f>TEXT(A1,"0.00")</f>
        <v>4.17</v>
      </c>
      <c r="B2" s="2" t="str">
        <f>VLOOKUP(A$2,Eixo4[],3,FALSE)</f>
        <v>Com relação ao ensino da graduação, avalie: [A orientação e os procedimentos para a formalização de Estágios]</v>
      </c>
    </row>
    <row r="3" spans="1:7" x14ac:dyDescent="0.25">
      <c r="A3" s="2" t="s">
        <v>494</v>
      </c>
      <c r="B3" s="2" t="str">
        <f>VLOOKUP(A$2,Eixo4[],4,FALSE)</f>
        <v>Eixo 4: Questão 17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4">
        <f>ROUND($E6/E$13*100,2)</f>
        <v>55.88</v>
      </c>
    </row>
    <row r="7" spans="1:7" x14ac:dyDescent="0.25">
      <c r="B7" s="2" t="s">
        <v>201</v>
      </c>
      <c r="C7" s="4">
        <f>COUNTIFS(Resp4[Vínculo],"tecnico",Resp4[4.17],B7)</f>
        <v>0</v>
      </c>
      <c r="D7" s="4">
        <f>COUNTIFS(Resp4[Vínculo],"docente",Resp4[4.17],B7)</f>
        <v>2</v>
      </c>
      <c r="E7" s="4">
        <f>COUNTIF(Resp4[4.17],B7)</f>
        <v>2</v>
      </c>
      <c r="F7" s="4">
        <f t="shared" ref="F7:F13" si="0">ROUND($E7/E$13*100,2)</f>
        <v>2.94</v>
      </c>
      <c r="G7" s="3">
        <f t="shared" ref="G7:G12" si="1">ROUND($E7/SUM($E$7:$E$12)*100,3)</f>
        <v>6.6669999999999998</v>
      </c>
    </row>
    <row r="8" spans="1:7" x14ac:dyDescent="0.25">
      <c r="B8" s="2" t="s">
        <v>206</v>
      </c>
      <c r="C8" s="4">
        <f>COUNTIFS(Resp4[Vínculo],"tecnico",Resp4[4.17],B8)</f>
        <v>0</v>
      </c>
      <c r="D8" s="4">
        <f>COUNTIFS(Resp4[Vínculo],"docente",Resp4[4.17],B8)</f>
        <v>2</v>
      </c>
      <c r="E8" s="4">
        <f>COUNTIF(Resp4[4.17],B8)</f>
        <v>2</v>
      </c>
      <c r="F8" s="4">
        <f t="shared" si="0"/>
        <v>2.94</v>
      </c>
      <c r="G8" s="3">
        <f t="shared" si="1"/>
        <v>6.6669999999999998</v>
      </c>
    </row>
    <row r="9" spans="1:7" x14ac:dyDescent="0.25">
      <c r="B9" s="2" t="s">
        <v>202</v>
      </c>
      <c r="C9" s="4">
        <f>COUNTIFS(Resp4[Vínculo],"tecnico",Resp4[4.17],B9)</f>
        <v>0</v>
      </c>
      <c r="D9" s="4">
        <f>COUNTIFS(Resp4[Vínculo],"docente",Resp4[4.17],B9)</f>
        <v>0</v>
      </c>
      <c r="E9" s="4">
        <f>COUNTIF(Resp4[4.17],B9)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COUNTIFS(Resp4[Vínculo],"tecnico",Resp4[4.17],B10)</f>
        <v>1</v>
      </c>
      <c r="D10" s="4">
        <f>COUNTIFS(Resp4[Vínculo],"docente",Resp4[4.17],B10)</f>
        <v>6</v>
      </c>
      <c r="E10" s="4">
        <f>COUNTIF(Resp4[4.17],B10)</f>
        <v>7</v>
      </c>
      <c r="F10" s="4">
        <f t="shared" si="0"/>
        <v>10.29</v>
      </c>
      <c r="G10" s="3">
        <f t="shared" si="1"/>
        <v>23.332999999999998</v>
      </c>
    </row>
    <row r="11" spans="1:7" x14ac:dyDescent="0.25">
      <c r="B11" s="2" t="s">
        <v>199</v>
      </c>
      <c r="C11" s="4">
        <f>COUNTIFS(Resp4[Vínculo],"tecnico",Resp4[4.17],B11)</f>
        <v>1</v>
      </c>
      <c r="D11" s="4">
        <f>COUNTIFS(Resp4[Vínculo],"docente",Resp4[4.17],B11)</f>
        <v>13</v>
      </c>
      <c r="E11" s="4">
        <f>COUNTIF(Resp4[4.17],B11)</f>
        <v>14</v>
      </c>
      <c r="F11" s="4">
        <f t="shared" si="0"/>
        <v>20.59</v>
      </c>
      <c r="G11" s="3">
        <f t="shared" si="1"/>
        <v>46.667000000000002</v>
      </c>
    </row>
    <row r="12" spans="1:7" x14ac:dyDescent="0.25">
      <c r="B12" s="7" t="s">
        <v>200</v>
      </c>
      <c r="C12" s="4">
        <f>COUNTIFS(Resp4[Vínculo],"tecnico",Resp4[4.17],B12)</f>
        <v>3</v>
      </c>
      <c r="D12" s="4">
        <f>COUNTIFS(Resp4[Vínculo],"docente",Resp4[4.17],B12)</f>
        <v>2</v>
      </c>
      <c r="E12" s="4">
        <f>COUNTIF(Resp4[4.17],B12)</f>
        <v>5</v>
      </c>
      <c r="F12" s="22">
        <f t="shared" si="0"/>
        <v>7.35</v>
      </c>
      <c r="G12" s="3">
        <f t="shared" si="1"/>
        <v>16.667000000000002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24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75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4.19</v>
      </c>
      <c r="B2" s="2" t="str">
        <f>VLOOKUP(A$2, Eixo4[], 3, FALSE)</f>
        <v>As próximas questões abordam temas da pesquisa científica e tecnológica. Por gentileza, escolha Sim para avaliar;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19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COUNTIFS(Resp4[Vínculo],"tecnico",Resp4[4.19],B7)</f>
        <v>6</v>
      </c>
      <c r="D7" s="4">
        <f>COUNTIFS(Resp4[Vínculo],"docente",Resp4[4.19],B7)</f>
        <v>23</v>
      </c>
      <c r="E7" s="2">
        <f>COUNTIF(Resp4[4.19],B7)</f>
        <v>29</v>
      </c>
      <c r="F7" s="4">
        <f t="shared" ref="F7:F9" si="0">ROUND($E7/E$9*100,2)</f>
        <v>42.65</v>
      </c>
      <c r="G7" s="4">
        <f>ROUND($E7/SUM($E$7:$E$8)*100,2)</f>
        <v>42.65</v>
      </c>
      <c r="H7" s="2"/>
    </row>
    <row r="8" spans="1:8" x14ac:dyDescent="0.25">
      <c r="A8" s="2"/>
      <c r="B8" s="2" t="s">
        <v>194</v>
      </c>
      <c r="C8" s="4">
        <f>COUNTIFS(Resp4[Vínculo],"tecnico",Resp4[4.19],B8)</f>
        <v>28</v>
      </c>
      <c r="D8" s="4">
        <f>COUNTIFS(Resp4[Vínculo],"docente",Resp4[4.19],B8)</f>
        <v>11</v>
      </c>
      <c r="E8" s="2">
        <f>COUNTIF(Resp4[4.19],B8)</f>
        <v>39</v>
      </c>
      <c r="F8" s="22">
        <f t="shared" si="0"/>
        <v>57.35</v>
      </c>
      <c r="G8" s="4">
        <f>ROUND($E8/SUM($E$7:$E$8)*100,2)</f>
        <v>57.35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5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76</v>
      </c>
    </row>
    <row r="2" spans="1:7" x14ac:dyDescent="0.25">
      <c r="A2" s="2" t="str">
        <f>TEXT(A1,"0.00")</f>
        <v>4.20</v>
      </c>
      <c r="B2" s="2" t="str">
        <f>VLOOKUP(A$2,Eixo4[],3,FALSE)</f>
        <v>Sobre as políticas e ações que envolvem o desenvolvimento da pesquisa científica e tecnológica, avalie: [O banco de projetos de pesquisa científica e desenvolvimento tecnológico (BPP/UFPR)]</v>
      </c>
    </row>
    <row r="3" spans="1:7" x14ac:dyDescent="0.25">
      <c r="A3" s="2" t="s">
        <v>494</v>
      </c>
      <c r="B3" s="2" t="str">
        <f>VLOOKUP(A$2,Eixo4[],4,FALSE)</f>
        <v>Eixo 4: Questão 20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11</v>
      </c>
      <c r="E6" s="4">
        <f>E13-SUM(E7:E12)</f>
        <v>39</v>
      </c>
      <c r="F6" s="4">
        <f>ROUND($E6/E$13*100,2)</f>
        <v>57.35</v>
      </c>
    </row>
    <row r="7" spans="1:7" x14ac:dyDescent="0.25">
      <c r="B7" s="2" t="s">
        <v>201</v>
      </c>
      <c r="C7" s="4">
        <f>COUNTIFS(Resp4[Vínculo],"tecnico",Resp4[4.20],B7)</f>
        <v>1</v>
      </c>
      <c r="D7" s="4">
        <f>COUNTIFS(Resp4[Vínculo],"docente",Resp4[4.20],B7)</f>
        <v>4</v>
      </c>
      <c r="E7" s="4">
        <f>COUNTIF(Resp4[4.20],B7)</f>
        <v>5</v>
      </c>
      <c r="F7" s="4">
        <f t="shared" ref="F7:F13" si="0">ROUND($E7/E$13*100,2)</f>
        <v>7.35</v>
      </c>
      <c r="G7" s="3">
        <f t="shared" ref="G7:G12" si="1">ROUND($E7/SUM($E$7:$E$12)*100,3)</f>
        <v>17.241</v>
      </c>
    </row>
    <row r="8" spans="1:7" x14ac:dyDescent="0.25">
      <c r="B8" s="2" t="s">
        <v>206</v>
      </c>
      <c r="C8" s="4">
        <f>COUNTIFS(Resp4[Vínculo],"tecnico",Resp4[4.20],B8)</f>
        <v>1</v>
      </c>
      <c r="D8" s="4">
        <f>COUNTIFS(Resp4[Vínculo],"docente",Resp4[4.20],B8)</f>
        <v>1</v>
      </c>
      <c r="E8" s="4">
        <f>COUNTIF(Resp4[4.20],B8)</f>
        <v>2</v>
      </c>
      <c r="F8" s="4">
        <f t="shared" si="0"/>
        <v>2.94</v>
      </c>
      <c r="G8" s="3">
        <f t="shared" si="1"/>
        <v>6.8970000000000002</v>
      </c>
    </row>
    <row r="9" spans="1:7" x14ac:dyDescent="0.25">
      <c r="B9" s="2" t="s">
        <v>202</v>
      </c>
      <c r="C9" s="4">
        <f>COUNTIFS(Resp4[Vínculo],"tecnico",Resp4[4.20],B9)</f>
        <v>0</v>
      </c>
      <c r="D9" s="4">
        <f>COUNTIFS(Resp4[Vínculo],"docente",Resp4[4.20],B9)</f>
        <v>4</v>
      </c>
      <c r="E9" s="4">
        <f>COUNTIF(Resp4[4.20],B9)</f>
        <v>4</v>
      </c>
      <c r="F9" s="4">
        <f t="shared" si="0"/>
        <v>5.88</v>
      </c>
      <c r="G9" s="3">
        <f t="shared" si="1"/>
        <v>13.792999999999999</v>
      </c>
    </row>
    <row r="10" spans="1:7" x14ac:dyDescent="0.25">
      <c r="B10" s="2" t="s">
        <v>30</v>
      </c>
      <c r="C10" s="4">
        <f>COUNTIFS(Resp4[Vínculo],"tecnico",Resp4[4.20],B10)</f>
        <v>0</v>
      </c>
      <c r="D10" s="4">
        <f>COUNTIFS(Resp4[Vínculo],"docente",Resp4[4.20],B10)</f>
        <v>2</v>
      </c>
      <c r="E10" s="4">
        <f>COUNTIF(Resp4[4.20],B10)</f>
        <v>2</v>
      </c>
      <c r="F10" s="4">
        <f t="shared" si="0"/>
        <v>2.94</v>
      </c>
      <c r="G10" s="3">
        <f t="shared" si="1"/>
        <v>6.8970000000000002</v>
      </c>
    </row>
    <row r="11" spans="1:7" x14ac:dyDescent="0.25">
      <c r="B11" s="2" t="s">
        <v>199</v>
      </c>
      <c r="C11" s="4">
        <f>COUNTIFS(Resp4[Vínculo],"tecnico",Resp4[4.20],B11)</f>
        <v>2</v>
      </c>
      <c r="D11" s="4">
        <f>COUNTIFS(Resp4[Vínculo],"docente",Resp4[4.20],B11)</f>
        <v>12</v>
      </c>
      <c r="E11" s="4">
        <f>COUNTIF(Resp4[4.20],B11)</f>
        <v>14</v>
      </c>
      <c r="F11" s="4">
        <f t="shared" si="0"/>
        <v>20.59</v>
      </c>
      <c r="G11" s="3">
        <f t="shared" si="1"/>
        <v>48.276000000000003</v>
      </c>
    </row>
    <row r="12" spans="1:7" x14ac:dyDescent="0.25">
      <c r="B12" s="7" t="s">
        <v>200</v>
      </c>
      <c r="C12" s="4">
        <f>COUNTIFS(Resp4[Vínculo],"tecnico",Resp4[4.20],B12)</f>
        <v>2</v>
      </c>
      <c r="D12" s="4">
        <f>COUNTIFS(Resp4[Vínculo],"docente",Resp4[4.20],B12)</f>
        <v>0</v>
      </c>
      <c r="E12" s="4">
        <f>COUNTIF(Resp4[4.20],B12)</f>
        <v>2</v>
      </c>
      <c r="F12" s="22">
        <f t="shared" si="0"/>
        <v>2.94</v>
      </c>
      <c r="G12" s="3">
        <f t="shared" si="1"/>
        <v>6.8970000000000002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21.739000000000001</v>
      </c>
    </row>
    <row r="26" spans="2:7" x14ac:dyDescent="0.25">
      <c r="B26" s="16" t="s">
        <v>201</v>
      </c>
      <c r="C26" s="16" t="s">
        <v>23</v>
      </c>
      <c r="D26" s="14">
        <f>D7</f>
        <v>4</v>
      </c>
      <c r="E26" s="15">
        <f>ROUND(D26/SUM(D$25:D$28)*100,3)</f>
        <v>17.390999999999998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8.6959999999999997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52.173999999999999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.28515625" style="2" customWidth="1"/>
    <col min="3" max="3" width="20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77</v>
      </c>
    </row>
    <row r="2" spans="1:7" x14ac:dyDescent="0.25">
      <c r="A2" s="2" t="str">
        <f>TEXT(A1,"0.00")</f>
        <v>4.21</v>
      </c>
      <c r="B2" s="2" t="str">
        <f>VLOOKUP(A$2,Eixo4[],3,FALSE)</f>
        <v>Sobre as políticas e ações que envolvem o desenvolvimento da pesquisa científica e tecnológica, avalie: [A atuação do Comitê Setorial de Pesquisa – CSPq]</v>
      </c>
    </row>
    <row r="3" spans="1:7" x14ac:dyDescent="0.25">
      <c r="A3" s="2" t="s">
        <v>494</v>
      </c>
      <c r="B3" s="2" t="str">
        <f>VLOOKUP(A$2,Eixo4[],4,FALSE)</f>
        <v>Eixo 4: Questão 21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11</v>
      </c>
      <c r="E6" s="4">
        <f>E13-SUM(E7:E12)</f>
        <v>39</v>
      </c>
      <c r="F6" s="4">
        <f>ROUND($E6/E$13*100,2)</f>
        <v>57.35</v>
      </c>
    </row>
    <row r="7" spans="1:7" x14ac:dyDescent="0.25">
      <c r="B7" s="2" t="s">
        <v>201</v>
      </c>
      <c r="C7" s="4">
        <f>COUNTIFS(Resp4[Vínculo],"tecnico",Resp4[4.21],B7)</f>
        <v>2</v>
      </c>
      <c r="D7" s="4">
        <f>COUNTIFS(Resp4[Vínculo],"docente",Resp4[4.21],B7)</f>
        <v>3</v>
      </c>
      <c r="E7" s="4">
        <f>COUNTIF(Resp4[4.21],B7)</f>
        <v>5</v>
      </c>
      <c r="F7" s="4">
        <f t="shared" ref="F7:F13" si="0">ROUND($E7/E$13*100,2)</f>
        <v>7.35</v>
      </c>
      <c r="G7" s="3">
        <f t="shared" ref="G7:G12" si="1">ROUND($E7/SUM($E$7:$E$12)*100,3)</f>
        <v>17.241</v>
      </c>
    </row>
    <row r="8" spans="1:7" x14ac:dyDescent="0.25">
      <c r="B8" s="2" t="s">
        <v>206</v>
      </c>
      <c r="C8" s="4">
        <f>COUNTIFS(Resp4[Vínculo],"tecnico",Resp4[4.21],B8)</f>
        <v>0</v>
      </c>
      <c r="D8" s="4">
        <f>COUNTIFS(Resp4[Vínculo],"docente",Resp4[4.21],B8)</f>
        <v>0</v>
      </c>
      <c r="E8" s="4">
        <f>COUNTIF(Resp4[4.21],B8)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COUNTIFS(Resp4[Vínculo],"tecnico",Resp4[4.21],B9)</f>
        <v>0</v>
      </c>
      <c r="D9" s="4">
        <f>COUNTIFS(Resp4[Vínculo],"docente",Resp4[4.21],B9)</f>
        <v>3</v>
      </c>
      <c r="E9" s="4">
        <f>COUNTIF(Resp4[4.21],B9)</f>
        <v>3</v>
      </c>
      <c r="F9" s="4">
        <f t="shared" si="0"/>
        <v>4.41</v>
      </c>
      <c r="G9" s="3">
        <f t="shared" si="1"/>
        <v>10.345000000000001</v>
      </c>
    </row>
    <row r="10" spans="1:7" x14ac:dyDescent="0.25">
      <c r="B10" s="2" t="s">
        <v>30</v>
      </c>
      <c r="C10" s="4">
        <f>COUNTIFS(Resp4[Vínculo],"tecnico",Resp4[4.21],B10)</f>
        <v>0</v>
      </c>
      <c r="D10" s="4">
        <f>COUNTIFS(Resp4[Vínculo],"docente",Resp4[4.21],B10)</f>
        <v>4</v>
      </c>
      <c r="E10" s="4">
        <f>COUNTIF(Resp4[4.21],B10)</f>
        <v>4</v>
      </c>
      <c r="F10" s="4">
        <f t="shared" si="0"/>
        <v>5.88</v>
      </c>
      <c r="G10" s="3">
        <f t="shared" si="1"/>
        <v>13.792999999999999</v>
      </c>
    </row>
    <row r="11" spans="1:7" x14ac:dyDescent="0.25">
      <c r="B11" s="2" t="s">
        <v>199</v>
      </c>
      <c r="C11" s="4">
        <f>COUNTIFS(Resp4[Vínculo],"tecnico",Resp4[4.21],B11)</f>
        <v>2</v>
      </c>
      <c r="D11" s="4">
        <f>COUNTIFS(Resp4[Vínculo],"docente",Resp4[4.21],B11)</f>
        <v>7</v>
      </c>
      <c r="E11" s="4">
        <f>COUNTIF(Resp4[4.21],B11)</f>
        <v>9</v>
      </c>
      <c r="F11" s="4">
        <f t="shared" si="0"/>
        <v>13.24</v>
      </c>
      <c r="G11" s="3">
        <f t="shared" si="1"/>
        <v>31.033999999999999</v>
      </c>
    </row>
    <row r="12" spans="1:7" x14ac:dyDescent="0.25">
      <c r="B12" s="7" t="s">
        <v>200</v>
      </c>
      <c r="C12" s="4">
        <f>COUNTIFS(Resp4[Vínculo],"tecnico",Resp4[4.21],B12)</f>
        <v>2</v>
      </c>
      <c r="D12" s="4">
        <f>COUNTIFS(Resp4[Vínculo],"docente",Resp4[4.21],B12)</f>
        <v>6</v>
      </c>
      <c r="E12" s="4">
        <f>COUNTIF(Resp4[4.21],B12)</f>
        <v>8</v>
      </c>
      <c r="F12" s="22">
        <f t="shared" si="0"/>
        <v>11.76</v>
      </c>
      <c r="G12" s="3">
        <f t="shared" si="1"/>
        <v>27.585999999999999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13.042999999999999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13.042999999999999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17.390999999999998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56.521999999999998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78</v>
      </c>
    </row>
    <row r="2" spans="1:7" x14ac:dyDescent="0.25">
      <c r="A2" s="2" t="str">
        <f>TEXT(A1,"0.00")</f>
        <v>4.22</v>
      </c>
      <c r="B2" s="2" t="str">
        <f>VLOOKUP(A$2,Eixo4[],3,FALSE)</f>
        <v>Sobre as políticas e ações que envolvem o desenvolvimento da pesquisa científica e tecnológica, avalie: [As políticas de acompanhamento de projetos de pesquisa científica e tecnológica]</v>
      </c>
    </row>
    <row r="3" spans="1:7" x14ac:dyDescent="0.25">
      <c r="A3" s="2" t="s">
        <v>494</v>
      </c>
      <c r="B3" s="2" t="str">
        <f>VLOOKUP(A$2,Eixo4[],4,FALSE)</f>
        <v>Eixo 4: Questão 22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11</v>
      </c>
      <c r="E6" s="4">
        <f>E13-SUM(E7:E12)</f>
        <v>39</v>
      </c>
      <c r="F6" s="4">
        <f>ROUND($E6/E$13*100,2)</f>
        <v>57.35</v>
      </c>
    </row>
    <row r="7" spans="1:7" x14ac:dyDescent="0.25">
      <c r="B7" s="2" t="s">
        <v>201</v>
      </c>
      <c r="C7" s="4">
        <f>COUNTIFS(Resp4[Vínculo],"tecnico",Resp4[4.22],B7)</f>
        <v>1</v>
      </c>
      <c r="D7" s="4">
        <f>COUNTIFS(Resp4[Vínculo],"docente",Resp4[4.22],B7)</f>
        <v>3</v>
      </c>
      <c r="E7" s="4">
        <f>COUNTIF(Resp4[4.22],B7)</f>
        <v>4</v>
      </c>
      <c r="F7" s="4">
        <f t="shared" ref="F7:F13" si="0">ROUND($E7/E$13*100,2)</f>
        <v>5.88</v>
      </c>
      <c r="G7" s="3">
        <f t="shared" ref="G7:G12" si="1">ROUND($E7/SUM($E$7:$E$12)*100,3)</f>
        <v>13.792999999999999</v>
      </c>
    </row>
    <row r="8" spans="1:7" x14ac:dyDescent="0.25">
      <c r="B8" s="2" t="s">
        <v>206</v>
      </c>
      <c r="C8" s="4">
        <f>COUNTIFS(Resp4[Vínculo],"tecnico",Resp4[4.22],B8)</f>
        <v>0</v>
      </c>
      <c r="D8" s="4">
        <f>COUNTIFS(Resp4[Vínculo],"docente",Resp4[4.22],B8)</f>
        <v>2</v>
      </c>
      <c r="E8" s="4">
        <f>COUNTIF(Resp4[4.22],B8)</f>
        <v>2</v>
      </c>
      <c r="F8" s="4">
        <f t="shared" si="0"/>
        <v>2.94</v>
      </c>
      <c r="G8" s="3">
        <f t="shared" si="1"/>
        <v>6.8970000000000002</v>
      </c>
    </row>
    <row r="9" spans="1:7" x14ac:dyDescent="0.25">
      <c r="B9" s="2" t="s">
        <v>202</v>
      </c>
      <c r="C9" s="4">
        <f>COUNTIFS(Resp4[Vínculo],"tecnico",Resp4[4.22],B9)</f>
        <v>0</v>
      </c>
      <c r="D9" s="4">
        <f>COUNTIFS(Resp4[Vínculo],"docente",Resp4[4.22],B9)</f>
        <v>2</v>
      </c>
      <c r="E9" s="4">
        <f>COUNTIF(Resp4[4.22],B9)</f>
        <v>2</v>
      </c>
      <c r="F9" s="4">
        <f t="shared" si="0"/>
        <v>2.94</v>
      </c>
      <c r="G9" s="3">
        <f t="shared" si="1"/>
        <v>6.8970000000000002</v>
      </c>
    </row>
    <row r="10" spans="1:7" x14ac:dyDescent="0.25">
      <c r="B10" s="2" t="s">
        <v>30</v>
      </c>
      <c r="C10" s="4">
        <f>COUNTIFS(Resp4[Vínculo],"tecnico",Resp4[4.22],B10)</f>
        <v>1</v>
      </c>
      <c r="D10" s="4">
        <f>COUNTIFS(Resp4[Vínculo],"docente",Resp4[4.22],B10)</f>
        <v>5</v>
      </c>
      <c r="E10" s="4">
        <f>COUNTIF(Resp4[4.22],B10)</f>
        <v>6</v>
      </c>
      <c r="F10" s="4">
        <f t="shared" si="0"/>
        <v>8.82</v>
      </c>
      <c r="G10" s="3">
        <f t="shared" si="1"/>
        <v>20.69</v>
      </c>
    </row>
    <row r="11" spans="1:7" x14ac:dyDescent="0.25">
      <c r="B11" s="2" t="s">
        <v>199</v>
      </c>
      <c r="C11" s="4">
        <f>COUNTIFS(Resp4[Vínculo],"tecnico",Resp4[4.22],B11)</f>
        <v>1</v>
      </c>
      <c r="D11" s="4">
        <f>COUNTIFS(Resp4[Vínculo],"docente",Resp4[4.22],B11)</f>
        <v>10</v>
      </c>
      <c r="E11" s="4">
        <f>COUNTIF(Resp4[4.22],B11)</f>
        <v>11</v>
      </c>
      <c r="F11" s="4">
        <f t="shared" si="0"/>
        <v>16.18</v>
      </c>
      <c r="G11" s="3">
        <f t="shared" si="1"/>
        <v>37.930999999999997</v>
      </c>
    </row>
    <row r="12" spans="1:7" x14ac:dyDescent="0.25">
      <c r="B12" s="7" t="s">
        <v>200</v>
      </c>
      <c r="C12" s="4">
        <f>COUNTIFS(Resp4[Vínculo],"tecnico",Resp4[4.22],B12)</f>
        <v>3</v>
      </c>
      <c r="D12" s="4">
        <f>COUNTIFS(Resp4[Vínculo],"docente",Resp4[4.22],B12)</f>
        <v>1</v>
      </c>
      <c r="E12" s="4">
        <f>COUNTIF(Resp4[4.22],B12)</f>
        <v>4</v>
      </c>
      <c r="F12" s="22">
        <f t="shared" si="0"/>
        <v>5.88</v>
      </c>
      <c r="G12" s="3">
        <f t="shared" si="1"/>
        <v>13.792999999999999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4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17.390999999999998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13.042999999999999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21.739000000000001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47.826000000000001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140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79</v>
      </c>
    </row>
    <row r="2" spans="1:7" x14ac:dyDescent="0.25">
      <c r="A2" s="2" t="str">
        <f>TEXT(A1,"0.00")</f>
        <v>4.23</v>
      </c>
      <c r="B2" s="2" t="str">
        <f>VLOOKUP(A$2,Eixo4[],3,FALSE)</f>
        <v>Sobre as políticas e ações que envolvem o desenvolvimento da pesquisa científica e tecnológica, avalie: [O acesso a bases de indexação pela UFPR]</v>
      </c>
    </row>
    <row r="3" spans="1:7" x14ac:dyDescent="0.25">
      <c r="A3" s="2" t="s">
        <v>494</v>
      </c>
      <c r="B3" s="2" t="str">
        <f>VLOOKUP(A$2,Eixo4[],4,FALSE)</f>
        <v>Eixo 4: Questão 23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11</v>
      </c>
      <c r="E6" s="4">
        <f>E13-SUM(E7:E12)</f>
        <v>39</v>
      </c>
      <c r="F6" s="4">
        <f>ROUND($E6/E$13*100,2)</f>
        <v>57.35</v>
      </c>
    </row>
    <row r="7" spans="1:7" x14ac:dyDescent="0.25">
      <c r="B7" s="2" t="s">
        <v>201</v>
      </c>
      <c r="C7" s="4">
        <f>COUNTIFS(Resp4[Vínculo],"tecnico",Resp4[4.23],B7)</f>
        <v>1</v>
      </c>
      <c r="D7" s="4">
        <f>COUNTIFS(Resp4[Vínculo],"docente",Resp4[4.23],B7)</f>
        <v>3</v>
      </c>
      <c r="E7" s="4">
        <f>COUNTIF(Resp4[4.23],B7)</f>
        <v>4</v>
      </c>
      <c r="F7" s="4">
        <f t="shared" ref="F7:F13" si="0">ROUND($E7/E$13*100,2)</f>
        <v>5.88</v>
      </c>
      <c r="G7" s="3">
        <f t="shared" ref="G7:G12" si="1">ROUND($E7/SUM($E$7:$E$12)*100,3)</f>
        <v>13.792999999999999</v>
      </c>
    </row>
    <row r="8" spans="1:7" x14ac:dyDescent="0.25">
      <c r="B8" s="2" t="s">
        <v>206</v>
      </c>
      <c r="C8" s="4">
        <f>COUNTIFS(Resp4[Vínculo],"tecnico",Resp4[4.23],B8)</f>
        <v>1</v>
      </c>
      <c r="D8" s="4">
        <f>COUNTIFS(Resp4[Vínculo],"docente",Resp4[4.23],B8)</f>
        <v>3</v>
      </c>
      <c r="E8" s="4">
        <f>COUNTIF(Resp4[4.23],B8)</f>
        <v>4</v>
      </c>
      <c r="F8" s="4">
        <f t="shared" si="0"/>
        <v>5.88</v>
      </c>
      <c r="G8" s="3">
        <f t="shared" si="1"/>
        <v>13.792999999999999</v>
      </c>
    </row>
    <row r="9" spans="1:7" x14ac:dyDescent="0.25">
      <c r="B9" s="2" t="s">
        <v>202</v>
      </c>
      <c r="C9" s="4">
        <f>COUNTIFS(Resp4[Vínculo],"tecnico",Resp4[4.23],B9)</f>
        <v>0</v>
      </c>
      <c r="D9" s="4">
        <f>COUNTIFS(Resp4[Vínculo],"docente",Resp4[4.23],B9)</f>
        <v>1</v>
      </c>
      <c r="E9" s="4">
        <f>COUNTIF(Resp4[4.23],B9)</f>
        <v>1</v>
      </c>
      <c r="F9" s="4">
        <f t="shared" si="0"/>
        <v>1.47</v>
      </c>
      <c r="G9" s="3">
        <f t="shared" si="1"/>
        <v>3.448</v>
      </c>
    </row>
    <row r="10" spans="1:7" x14ac:dyDescent="0.25">
      <c r="B10" s="2" t="s">
        <v>30</v>
      </c>
      <c r="C10" s="4">
        <f>COUNTIFS(Resp4[Vínculo],"tecnico",Resp4[4.23],B10)</f>
        <v>0</v>
      </c>
      <c r="D10" s="4">
        <f>COUNTIFS(Resp4[Vínculo],"docente",Resp4[4.23],B10)</f>
        <v>2</v>
      </c>
      <c r="E10" s="4">
        <f>COUNTIF(Resp4[4.23],B10)</f>
        <v>2</v>
      </c>
      <c r="F10" s="4">
        <f t="shared" si="0"/>
        <v>2.94</v>
      </c>
      <c r="G10" s="3">
        <f t="shared" si="1"/>
        <v>6.8970000000000002</v>
      </c>
    </row>
    <row r="11" spans="1:7" x14ac:dyDescent="0.25">
      <c r="B11" s="2" t="s">
        <v>199</v>
      </c>
      <c r="C11" s="4">
        <f>COUNTIFS(Resp4[Vínculo],"tecnico",Resp4[4.23],B11)</f>
        <v>2</v>
      </c>
      <c r="D11" s="4">
        <f>COUNTIFS(Resp4[Vínculo],"docente",Resp4[4.23],B11)</f>
        <v>10</v>
      </c>
      <c r="E11" s="4">
        <f>COUNTIF(Resp4[4.23],B11)</f>
        <v>12</v>
      </c>
      <c r="F11" s="4">
        <f t="shared" si="0"/>
        <v>17.649999999999999</v>
      </c>
      <c r="G11" s="3">
        <f t="shared" si="1"/>
        <v>41.378999999999998</v>
      </c>
    </row>
    <row r="12" spans="1:7" x14ac:dyDescent="0.25">
      <c r="B12" s="7" t="s">
        <v>200</v>
      </c>
      <c r="C12" s="4">
        <f>COUNTIFS(Resp4[Vínculo],"tecnico",Resp4[4.23],B12)</f>
        <v>2</v>
      </c>
      <c r="D12" s="4">
        <f>COUNTIFS(Resp4[Vínculo],"docente",Resp4[4.23],B12)</f>
        <v>4</v>
      </c>
      <c r="E12" s="4">
        <f>COUNTIF(Resp4[4.23],B12)</f>
        <v>6</v>
      </c>
      <c r="F12" s="22">
        <f t="shared" si="0"/>
        <v>8.82</v>
      </c>
      <c r="G12" s="3">
        <f t="shared" si="1"/>
        <v>20.69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17.390999999999998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13.042999999999999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8.6959999999999997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60.87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"/>
  <sheetViews>
    <sheetView workbookViewId="0">
      <selection activeCell="F9" sqref="F9"/>
    </sheetView>
  </sheetViews>
  <sheetFormatPr defaultRowHeight="15" x14ac:dyDescent="0.25"/>
  <cols>
    <col min="1" max="1" width="5.7109375" customWidth="1"/>
    <col min="2" max="2" width="17.140625" customWidth="1"/>
    <col min="14" max="14" width="11" customWidth="1"/>
  </cols>
  <sheetData>
    <row r="1" spans="1:7" x14ac:dyDescent="0.25">
      <c r="A1" s="2" t="s">
        <v>80</v>
      </c>
      <c r="B1" s="2"/>
    </row>
    <row r="2" spans="1:7" x14ac:dyDescent="0.25">
      <c r="A2" s="2" t="str">
        <f>TEXT(A1,"0.00")</f>
        <v>4.24</v>
      </c>
      <c r="B2" s="2" t="str">
        <f>VLOOKUP(A$2,Eixo4[],3,FALSE)</f>
        <v>A pergunta a seguir é sobre os editais anuais de apoio à pesquisa ofertados pela UFPR. Antes de responder, por gentileza, escolha seu perfil</v>
      </c>
    </row>
    <row r="3" spans="1:7" x14ac:dyDescent="0.25">
      <c r="A3" s="2" t="s">
        <v>494</v>
      </c>
      <c r="B3" s="2" t="str">
        <f>VLOOKUP(A$2,Eixo4[],4,FALSE)</f>
        <v>Eixo 4: Questão 24</v>
      </c>
    </row>
    <row r="5" spans="1:7" x14ac:dyDescent="0.25"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</row>
    <row r="6" spans="1:7" x14ac:dyDescent="0.25"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</row>
    <row r="7" spans="1:7" x14ac:dyDescent="0.25">
      <c r="B7" s="2" t="s">
        <v>196</v>
      </c>
      <c r="C7" s="4">
        <f>COUNTIFS(Resp4[Vínculo],"tecnico",Resp4[4.24],B7)</f>
        <v>34</v>
      </c>
      <c r="D7" s="4">
        <f>COUNTIFS(Resp4[Vínculo],"docente",Resp4[4.24],B7)</f>
        <v>15</v>
      </c>
      <c r="E7" s="2">
        <f>COUNTIF(Resp4[4.24],B7)</f>
        <v>49</v>
      </c>
      <c r="F7" s="4">
        <f t="shared" ref="F7:F9" si="0">ROUND($E7/E$9*100,2)</f>
        <v>72.06</v>
      </c>
      <c r="G7" s="4">
        <f>ROUND($E7/SUM($E$7:$E$8)*100,2)</f>
        <v>72.06</v>
      </c>
    </row>
    <row r="8" spans="1:7" x14ac:dyDescent="0.25">
      <c r="B8" s="7" t="s">
        <v>208</v>
      </c>
      <c r="C8" s="22">
        <f>COUNTIFS(Resp4[Vínculo],"tecnico",Resp4[4.24],B8)</f>
        <v>0</v>
      </c>
      <c r="D8" s="22">
        <f>COUNTIFS(Resp4[Vínculo],"docente",Resp4[4.24],B8)</f>
        <v>19</v>
      </c>
      <c r="E8" s="7">
        <f>COUNTIF(Resp4[4.24],B8)</f>
        <v>19</v>
      </c>
      <c r="F8" s="22">
        <f t="shared" si="0"/>
        <v>27.94</v>
      </c>
      <c r="G8" s="22">
        <f>ROUND($E8/SUM($E$7:$E$8)*100,2)</f>
        <v>27.94</v>
      </c>
    </row>
    <row r="9" spans="1:7" x14ac:dyDescent="0.25">
      <c r="B9" t="s">
        <v>502</v>
      </c>
      <c r="C9">
        <f>SUM(C6:C8)</f>
        <v>34</v>
      </c>
      <c r="D9">
        <f>SUM(D6:D8)</f>
        <v>34</v>
      </c>
      <c r="E9">
        <f>C9+D9</f>
        <v>68</v>
      </c>
      <c r="F9" s="15">
        <f t="shared" si="0"/>
        <v>100</v>
      </c>
      <c r="G9">
        <f t="shared" ref="G9" si="1">SUM(G6:G8)</f>
        <v>100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8"/>
  <sheetViews>
    <sheetView workbookViewId="0">
      <selection activeCell="B81" sqref="B81"/>
    </sheetView>
  </sheetViews>
  <sheetFormatPr defaultColWidth="10" defaultRowHeight="15" x14ac:dyDescent="0.25"/>
  <cols>
    <col min="1" max="2" width="10" style="94"/>
    <col min="3" max="3" width="161.42578125" style="94" customWidth="1"/>
    <col min="4" max="4" width="17.85546875" style="94" customWidth="1"/>
    <col min="5" max="16384" width="10" style="94"/>
  </cols>
  <sheetData>
    <row r="1" spans="1:5" x14ac:dyDescent="0.25">
      <c r="A1" s="91" t="s">
        <v>209</v>
      </c>
      <c r="B1" s="92" t="s">
        <v>210</v>
      </c>
      <c r="C1" s="92" t="s">
        <v>211</v>
      </c>
      <c r="D1" s="92" t="s">
        <v>212</v>
      </c>
      <c r="E1" s="93" t="s">
        <v>213</v>
      </c>
    </row>
    <row r="2" spans="1:5" customFormat="1" x14ac:dyDescent="0.25">
      <c r="A2" t="s">
        <v>57</v>
      </c>
      <c r="B2" t="s">
        <v>5</v>
      </c>
      <c r="C2" s="1" t="s">
        <v>214</v>
      </c>
      <c r="D2" s="95" t="s">
        <v>215</v>
      </c>
    </row>
    <row r="3" spans="1:5" x14ac:dyDescent="0.25">
      <c r="A3" s="94" t="s">
        <v>58</v>
      </c>
      <c r="B3" s="94" t="s">
        <v>3</v>
      </c>
      <c r="C3" s="96" t="s">
        <v>216</v>
      </c>
      <c r="D3" s="97" t="s">
        <v>217</v>
      </c>
    </row>
    <row r="4" spans="1:5" x14ac:dyDescent="0.25">
      <c r="A4" s="94" t="s">
        <v>59</v>
      </c>
      <c r="B4" s="94" t="s">
        <v>3</v>
      </c>
      <c r="C4" s="96" t="s">
        <v>218</v>
      </c>
      <c r="D4" s="97" t="s">
        <v>219</v>
      </c>
    </row>
    <row r="5" spans="1:5" x14ac:dyDescent="0.25">
      <c r="A5" s="94" t="s">
        <v>60</v>
      </c>
      <c r="B5" s="94" t="s">
        <v>3</v>
      </c>
      <c r="C5" s="96" t="s">
        <v>220</v>
      </c>
      <c r="D5" s="97" t="s">
        <v>221</v>
      </c>
    </row>
    <row r="6" spans="1:5" x14ac:dyDescent="0.25">
      <c r="A6" s="94" t="s">
        <v>61</v>
      </c>
      <c r="B6" s="94" t="s">
        <v>3</v>
      </c>
      <c r="C6" s="96" t="s">
        <v>222</v>
      </c>
      <c r="D6" s="97" t="s">
        <v>223</v>
      </c>
    </row>
    <row r="7" spans="1:5" x14ac:dyDescent="0.25">
      <c r="A7" s="94" t="s">
        <v>62</v>
      </c>
      <c r="B7" s="94" t="s">
        <v>3</v>
      </c>
      <c r="C7" s="96" t="s">
        <v>224</v>
      </c>
      <c r="D7" s="97" t="s">
        <v>225</v>
      </c>
    </row>
    <row r="8" spans="1:5" x14ac:dyDescent="0.25">
      <c r="A8" s="94" t="s">
        <v>63</v>
      </c>
      <c r="B8" s="94" t="s">
        <v>3</v>
      </c>
      <c r="C8" s="96" t="s">
        <v>226</v>
      </c>
      <c r="D8" s="97" t="s">
        <v>227</v>
      </c>
    </row>
    <row r="9" spans="1:5" x14ac:dyDescent="0.25">
      <c r="A9" s="94" t="s">
        <v>64</v>
      </c>
      <c r="B9" s="94" t="s">
        <v>3</v>
      </c>
      <c r="C9" s="96" t="s">
        <v>228</v>
      </c>
      <c r="D9" s="97" t="s">
        <v>229</v>
      </c>
    </row>
    <row r="10" spans="1:5" x14ac:dyDescent="0.25">
      <c r="A10" s="94" t="s">
        <v>65</v>
      </c>
      <c r="B10" s="94" t="s">
        <v>3</v>
      </c>
      <c r="C10" s="96" t="s">
        <v>230</v>
      </c>
      <c r="D10" s="97" t="s">
        <v>231</v>
      </c>
    </row>
    <row r="11" spans="1:5" x14ac:dyDescent="0.25">
      <c r="A11" s="94" t="s">
        <v>66</v>
      </c>
      <c r="B11" s="94" t="s">
        <v>3</v>
      </c>
      <c r="C11" s="96" t="s">
        <v>232</v>
      </c>
      <c r="D11" s="97" t="s">
        <v>233</v>
      </c>
    </row>
    <row r="12" spans="1:5" x14ac:dyDescent="0.25">
      <c r="A12" s="94" t="s">
        <v>67</v>
      </c>
      <c r="B12" s="94" t="s">
        <v>3</v>
      </c>
      <c r="C12" s="96" t="s">
        <v>234</v>
      </c>
      <c r="D12" s="97" t="s">
        <v>235</v>
      </c>
    </row>
    <row r="13" spans="1:5" x14ac:dyDescent="0.25">
      <c r="A13" s="94" t="s">
        <v>68</v>
      </c>
      <c r="B13" s="94" t="s">
        <v>3</v>
      </c>
      <c r="C13" s="96" t="s">
        <v>236</v>
      </c>
      <c r="D13" s="97" t="s">
        <v>237</v>
      </c>
    </row>
    <row r="14" spans="1:5" x14ac:dyDescent="0.25">
      <c r="A14" s="94" t="s">
        <v>69</v>
      </c>
      <c r="B14" s="94" t="s">
        <v>3</v>
      </c>
      <c r="C14" s="96" t="s">
        <v>238</v>
      </c>
      <c r="D14" s="97" t="s">
        <v>239</v>
      </c>
    </row>
    <row r="15" spans="1:5" x14ac:dyDescent="0.25">
      <c r="A15" s="94" t="s">
        <v>70</v>
      </c>
      <c r="B15" s="94" t="s">
        <v>3</v>
      </c>
      <c r="C15" s="96" t="s">
        <v>240</v>
      </c>
      <c r="D15" s="97" t="s">
        <v>241</v>
      </c>
    </row>
    <row r="16" spans="1:5" x14ac:dyDescent="0.25">
      <c r="A16" s="94" t="s">
        <v>71</v>
      </c>
      <c r="B16" s="94" t="s">
        <v>3</v>
      </c>
      <c r="C16" s="96" t="s">
        <v>242</v>
      </c>
      <c r="D16" s="97" t="s">
        <v>243</v>
      </c>
    </row>
    <row r="17" spans="1:5" x14ac:dyDescent="0.25">
      <c r="A17" s="94" t="s">
        <v>72</v>
      </c>
      <c r="B17" s="94" t="s">
        <v>3</v>
      </c>
      <c r="C17" s="96" t="s">
        <v>244</v>
      </c>
      <c r="D17" s="97" t="s">
        <v>245</v>
      </c>
    </row>
    <row r="18" spans="1:5" x14ac:dyDescent="0.25">
      <c r="A18" s="94" t="s">
        <v>73</v>
      </c>
      <c r="B18" s="94" t="s">
        <v>3</v>
      </c>
      <c r="C18" s="96" t="s">
        <v>246</v>
      </c>
      <c r="D18" s="97" t="s">
        <v>247</v>
      </c>
    </row>
    <row r="19" spans="1:5" customFormat="1" x14ac:dyDescent="0.25">
      <c r="A19" t="s">
        <v>74</v>
      </c>
      <c r="B19" t="s">
        <v>248</v>
      </c>
      <c r="C19" s="1" t="s">
        <v>249</v>
      </c>
      <c r="D19" s="95" t="s">
        <v>250</v>
      </c>
      <c r="E19" t="s">
        <v>251</v>
      </c>
    </row>
    <row r="20" spans="1:5" customFormat="1" x14ac:dyDescent="0.25">
      <c r="A20" t="s">
        <v>75</v>
      </c>
      <c r="B20" t="s">
        <v>5</v>
      </c>
      <c r="C20" s="1" t="s">
        <v>252</v>
      </c>
      <c r="D20" s="95" t="s">
        <v>253</v>
      </c>
    </row>
    <row r="21" spans="1:5" x14ac:dyDescent="0.25">
      <c r="A21" s="94" t="s">
        <v>76</v>
      </c>
      <c r="B21" s="94" t="s">
        <v>3</v>
      </c>
      <c r="C21" s="96" t="s">
        <v>254</v>
      </c>
      <c r="D21" s="97" t="s">
        <v>255</v>
      </c>
    </row>
    <row r="22" spans="1:5" x14ac:dyDescent="0.25">
      <c r="A22" s="94" t="s">
        <v>77</v>
      </c>
      <c r="B22" s="94" t="s">
        <v>3</v>
      </c>
      <c r="C22" s="96" t="s">
        <v>256</v>
      </c>
      <c r="D22" s="97" t="s">
        <v>257</v>
      </c>
    </row>
    <row r="23" spans="1:5" x14ac:dyDescent="0.25">
      <c r="A23" s="94" t="s">
        <v>78</v>
      </c>
      <c r="B23" s="94" t="s">
        <v>3</v>
      </c>
      <c r="C23" s="96" t="s">
        <v>258</v>
      </c>
      <c r="D23" s="97" t="s">
        <v>259</v>
      </c>
    </row>
    <row r="24" spans="1:5" x14ac:dyDescent="0.25">
      <c r="A24" s="94" t="s">
        <v>79</v>
      </c>
      <c r="B24" s="94" t="s">
        <v>3</v>
      </c>
      <c r="C24" s="96" t="s">
        <v>260</v>
      </c>
      <c r="D24" s="97" t="s">
        <v>261</v>
      </c>
    </row>
    <row r="25" spans="1:5" customFormat="1" x14ac:dyDescent="0.25">
      <c r="A25" t="s">
        <v>80</v>
      </c>
      <c r="B25" t="s">
        <v>42</v>
      </c>
      <c r="C25" s="1" t="s">
        <v>262</v>
      </c>
      <c r="D25" s="95" t="s">
        <v>263</v>
      </c>
      <c r="E25" t="s">
        <v>264</v>
      </c>
    </row>
    <row r="26" spans="1:5" x14ac:dyDescent="0.25">
      <c r="A26" s="94" t="s">
        <v>81</v>
      </c>
      <c r="B26" s="94" t="s">
        <v>3</v>
      </c>
      <c r="C26" s="96" t="s">
        <v>265</v>
      </c>
      <c r="D26" s="97" t="s">
        <v>266</v>
      </c>
    </row>
    <row r="27" spans="1:5" x14ac:dyDescent="0.25">
      <c r="A27" s="94" t="s">
        <v>82</v>
      </c>
      <c r="B27" s="94" t="s">
        <v>3</v>
      </c>
      <c r="C27" s="96" t="s">
        <v>267</v>
      </c>
      <c r="D27" s="97" t="s">
        <v>268</v>
      </c>
    </row>
    <row r="28" spans="1:5" x14ac:dyDescent="0.25">
      <c r="A28" s="94" t="s">
        <v>83</v>
      </c>
      <c r="B28" s="94" t="s">
        <v>3</v>
      </c>
      <c r="C28" s="96" t="s">
        <v>269</v>
      </c>
      <c r="D28" s="97" t="s">
        <v>270</v>
      </c>
    </row>
    <row r="29" spans="1:5" x14ac:dyDescent="0.25">
      <c r="A29" s="94" t="s">
        <v>84</v>
      </c>
      <c r="B29" s="94" t="s">
        <v>3</v>
      </c>
      <c r="C29" s="96" t="s">
        <v>271</v>
      </c>
      <c r="D29" s="97" t="s">
        <v>272</v>
      </c>
    </row>
    <row r="30" spans="1:5" x14ac:dyDescent="0.25">
      <c r="A30" s="94" t="s">
        <v>85</v>
      </c>
      <c r="B30" s="94" t="s">
        <v>3</v>
      </c>
      <c r="C30" s="96" t="s">
        <v>273</v>
      </c>
      <c r="D30" s="97" t="s">
        <v>274</v>
      </c>
    </row>
    <row r="31" spans="1:5" x14ac:dyDescent="0.25">
      <c r="A31" s="94" t="s">
        <v>86</v>
      </c>
      <c r="B31" s="94" t="s">
        <v>3</v>
      </c>
      <c r="C31" s="96" t="s">
        <v>275</v>
      </c>
      <c r="D31" s="97" t="s">
        <v>276</v>
      </c>
    </row>
    <row r="32" spans="1:5" x14ac:dyDescent="0.25">
      <c r="A32" s="94" t="s">
        <v>87</v>
      </c>
      <c r="B32" s="94" t="s">
        <v>3</v>
      </c>
      <c r="C32" s="96" t="s">
        <v>277</v>
      </c>
      <c r="D32" s="97" t="s">
        <v>278</v>
      </c>
    </row>
    <row r="33" spans="1:5" x14ac:dyDescent="0.25">
      <c r="A33" s="94" t="s">
        <v>88</v>
      </c>
      <c r="B33" s="94" t="s">
        <v>3</v>
      </c>
      <c r="C33" s="96" t="s">
        <v>279</v>
      </c>
      <c r="D33" s="97" t="s">
        <v>280</v>
      </c>
    </row>
    <row r="34" spans="1:5" customFormat="1" x14ac:dyDescent="0.25">
      <c r="A34" t="s">
        <v>89</v>
      </c>
      <c r="B34" t="s">
        <v>5</v>
      </c>
      <c r="C34" s="1" t="s">
        <v>281</v>
      </c>
      <c r="D34" s="95" t="s">
        <v>282</v>
      </c>
    </row>
    <row r="35" spans="1:5" x14ac:dyDescent="0.25">
      <c r="A35" s="94" t="s">
        <v>90</v>
      </c>
      <c r="B35" s="94" t="s">
        <v>3</v>
      </c>
      <c r="C35" s="96" t="s">
        <v>283</v>
      </c>
      <c r="D35" s="97" t="s">
        <v>284</v>
      </c>
    </row>
    <row r="36" spans="1:5" x14ac:dyDescent="0.25">
      <c r="A36" s="94" t="s">
        <v>91</v>
      </c>
      <c r="B36" s="94" t="s">
        <v>3</v>
      </c>
      <c r="C36" s="96" t="s">
        <v>285</v>
      </c>
      <c r="D36" s="97" t="s">
        <v>286</v>
      </c>
    </row>
    <row r="37" spans="1:5" x14ac:dyDescent="0.25">
      <c r="A37" s="94" t="s">
        <v>92</v>
      </c>
      <c r="B37" s="94" t="s">
        <v>3</v>
      </c>
      <c r="C37" s="96" t="s">
        <v>287</v>
      </c>
      <c r="D37" s="97" t="s">
        <v>288</v>
      </c>
    </row>
    <row r="38" spans="1:5" customFormat="1" x14ac:dyDescent="0.25">
      <c r="A38" t="s">
        <v>93</v>
      </c>
      <c r="B38" t="s">
        <v>248</v>
      </c>
      <c r="C38" s="1" t="s">
        <v>289</v>
      </c>
      <c r="D38" s="95" t="s">
        <v>290</v>
      </c>
      <c r="E38" t="s">
        <v>251</v>
      </c>
    </row>
    <row r="39" spans="1:5" customFormat="1" x14ac:dyDescent="0.25">
      <c r="A39" t="s">
        <v>94</v>
      </c>
      <c r="B39" t="s">
        <v>5</v>
      </c>
      <c r="C39" s="1" t="s">
        <v>291</v>
      </c>
      <c r="D39" s="95" t="s">
        <v>292</v>
      </c>
    </row>
    <row r="40" spans="1:5" x14ac:dyDescent="0.25">
      <c r="A40" s="94" t="s">
        <v>95</v>
      </c>
      <c r="B40" s="94" t="s">
        <v>293</v>
      </c>
      <c r="C40" s="96" t="s">
        <v>294</v>
      </c>
      <c r="D40" s="97" t="s">
        <v>295</v>
      </c>
    </row>
    <row r="41" spans="1:5" x14ac:dyDescent="0.25">
      <c r="A41" s="94" t="s">
        <v>96</v>
      </c>
      <c r="B41" s="94" t="s">
        <v>293</v>
      </c>
      <c r="C41" s="96" t="s">
        <v>296</v>
      </c>
      <c r="D41" s="97" t="s">
        <v>297</v>
      </c>
    </row>
    <row r="42" spans="1:5" x14ac:dyDescent="0.25">
      <c r="A42" s="94" t="s">
        <v>97</v>
      </c>
      <c r="B42" s="94" t="s">
        <v>293</v>
      </c>
      <c r="C42" s="96" t="s">
        <v>298</v>
      </c>
      <c r="D42" s="97" t="s">
        <v>299</v>
      </c>
    </row>
    <row r="43" spans="1:5" x14ac:dyDescent="0.25">
      <c r="A43" s="94" t="s">
        <v>98</v>
      </c>
      <c r="B43" s="94" t="s">
        <v>293</v>
      </c>
      <c r="C43" s="96" t="s">
        <v>300</v>
      </c>
      <c r="D43" s="97" t="s">
        <v>301</v>
      </c>
    </row>
    <row r="44" spans="1:5" x14ac:dyDescent="0.25">
      <c r="A44" s="94" t="s">
        <v>99</v>
      </c>
      <c r="B44" s="94" t="s">
        <v>293</v>
      </c>
      <c r="C44" s="96" t="s">
        <v>302</v>
      </c>
      <c r="D44" s="97" t="s">
        <v>303</v>
      </c>
    </row>
    <row r="45" spans="1:5" x14ac:dyDescent="0.25">
      <c r="A45" s="94" t="s">
        <v>100</v>
      </c>
      <c r="B45" s="94" t="s">
        <v>293</v>
      </c>
      <c r="C45" s="96" t="s">
        <v>304</v>
      </c>
      <c r="D45" s="97" t="s">
        <v>305</v>
      </c>
    </row>
    <row r="46" spans="1:5" x14ac:dyDescent="0.25">
      <c r="A46" s="94" t="s">
        <v>101</v>
      </c>
      <c r="B46" s="94" t="s">
        <v>293</v>
      </c>
      <c r="C46" s="96" t="s">
        <v>306</v>
      </c>
      <c r="D46" s="97" t="s">
        <v>307</v>
      </c>
    </row>
    <row r="47" spans="1:5" x14ac:dyDescent="0.25">
      <c r="A47" s="94" t="s">
        <v>102</v>
      </c>
      <c r="B47" s="94" t="s">
        <v>293</v>
      </c>
      <c r="C47" s="96" t="s">
        <v>308</v>
      </c>
      <c r="D47" s="97" t="s">
        <v>309</v>
      </c>
    </row>
    <row r="48" spans="1:5" x14ac:dyDescent="0.25">
      <c r="A48" s="94" t="s">
        <v>103</v>
      </c>
      <c r="B48" s="94" t="s">
        <v>293</v>
      </c>
      <c r="C48" s="96" t="s">
        <v>310</v>
      </c>
      <c r="D48" s="97" t="s">
        <v>311</v>
      </c>
    </row>
    <row r="49" spans="1:5" x14ac:dyDescent="0.25">
      <c r="A49" s="94" t="s">
        <v>104</v>
      </c>
      <c r="B49" s="94" t="s">
        <v>293</v>
      </c>
      <c r="C49" s="96" t="s">
        <v>312</v>
      </c>
      <c r="D49" s="97" t="s">
        <v>313</v>
      </c>
    </row>
    <row r="50" spans="1:5" customFormat="1" x14ac:dyDescent="0.25">
      <c r="A50" t="s">
        <v>105</v>
      </c>
      <c r="B50" t="s">
        <v>248</v>
      </c>
      <c r="C50" s="1" t="s">
        <v>314</v>
      </c>
      <c r="D50" s="95" t="s">
        <v>315</v>
      </c>
      <c r="E50" t="s">
        <v>251</v>
      </c>
    </row>
    <row r="51" spans="1:5" customFormat="1" x14ac:dyDescent="0.25">
      <c r="A51" t="s">
        <v>106</v>
      </c>
      <c r="B51" t="s">
        <v>5</v>
      </c>
      <c r="C51" s="1" t="s">
        <v>316</v>
      </c>
      <c r="D51" s="95" t="s">
        <v>317</v>
      </c>
    </row>
    <row r="52" spans="1:5" customFormat="1" x14ac:dyDescent="0.25">
      <c r="A52" t="s">
        <v>107</v>
      </c>
      <c r="B52" t="s">
        <v>5</v>
      </c>
      <c r="C52" s="1" t="s">
        <v>318</v>
      </c>
      <c r="D52" s="95" t="s">
        <v>319</v>
      </c>
    </row>
    <row r="53" spans="1:5" x14ac:dyDescent="0.25">
      <c r="A53" s="94" t="s">
        <v>108</v>
      </c>
      <c r="B53" s="94" t="s">
        <v>293</v>
      </c>
      <c r="C53" s="96" t="s">
        <v>320</v>
      </c>
      <c r="D53" s="97" t="s">
        <v>321</v>
      </c>
    </row>
    <row r="54" spans="1:5" x14ac:dyDescent="0.25">
      <c r="A54" s="94" t="s">
        <v>109</v>
      </c>
      <c r="B54" s="94" t="s">
        <v>293</v>
      </c>
      <c r="C54" s="96" t="s">
        <v>322</v>
      </c>
      <c r="D54" s="97" t="s">
        <v>323</v>
      </c>
    </row>
    <row r="55" spans="1:5" x14ac:dyDescent="0.25">
      <c r="A55" s="94" t="s">
        <v>110</v>
      </c>
      <c r="B55" s="94" t="s">
        <v>293</v>
      </c>
      <c r="C55" s="96" t="s">
        <v>324</v>
      </c>
      <c r="D55" s="97" t="s">
        <v>325</v>
      </c>
    </row>
    <row r="56" spans="1:5" x14ac:dyDescent="0.25">
      <c r="A56" s="94" t="s">
        <v>111</v>
      </c>
      <c r="B56" s="94" t="s">
        <v>293</v>
      </c>
      <c r="C56" s="96" t="s">
        <v>326</v>
      </c>
      <c r="D56" s="97" t="s">
        <v>327</v>
      </c>
    </row>
    <row r="57" spans="1:5" x14ac:dyDescent="0.25">
      <c r="A57" s="94" t="s">
        <v>112</v>
      </c>
      <c r="B57" s="94" t="s">
        <v>293</v>
      </c>
      <c r="C57" s="96" t="s">
        <v>328</v>
      </c>
      <c r="D57" s="97" t="s">
        <v>329</v>
      </c>
    </row>
    <row r="58" spans="1:5" x14ac:dyDescent="0.25">
      <c r="A58" s="94" t="s">
        <v>113</v>
      </c>
      <c r="B58" s="94" t="s">
        <v>293</v>
      </c>
      <c r="C58" s="96" t="s">
        <v>330</v>
      </c>
      <c r="D58" s="97" t="s">
        <v>331</v>
      </c>
    </row>
    <row r="59" spans="1:5" x14ac:dyDescent="0.25">
      <c r="A59" s="94" t="s">
        <v>114</v>
      </c>
      <c r="B59" s="94" t="s">
        <v>293</v>
      </c>
      <c r="C59" s="96" t="s">
        <v>332</v>
      </c>
      <c r="D59" s="97" t="s">
        <v>333</v>
      </c>
    </row>
    <row r="60" spans="1:5" x14ac:dyDescent="0.25">
      <c r="A60" s="94" t="s">
        <v>115</v>
      </c>
      <c r="B60" s="94" t="s">
        <v>293</v>
      </c>
      <c r="C60" s="96" t="s">
        <v>334</v>
      </c>
      <c r="D60" s="97" t="s">
        <v>335</v>
      </c>
    </row>
    <row r="61" spans="1:5" x14ac:dyDescent="0.25">
      <c r="A61" s="94" t="s">
        <v>116</v>
      </c>
      <c r="B61" s="94" t="s">
        <v>293</v>
      </c>
      <c r="C61" s="96" t="s">
        <v>336</v>
      </c>
      <c r="D61" s="97" t="s">
        <v>337</v>
      </c>
    </row>
    <row r="62" spans="1:5" x14ac:dyDescent="0.25">
      <c r="A62" s="94" t="s">
        <v>117</v>
      </c>
      <c r="B62" s="94" t="s">
        <v>293</v>
      </c>
      <c r="C62" s="96" t="s">
        <v>338</v>
      </c>
      <c r="D62" s="97" t="s">
        <v>339</v>
      </c>
    </row>
    <row r="63" spans="1:5" x14ac:dyDescent="0.25">
      <c r="A63" s="94" t="s">
        <v>118</v>
      </c>
      <c r="B63" s="94" t="s">
        <v>293</v>
      </c>
      <c r="C63" s="96" t="s">
        <v>340</v>
      </c>
      <c r="D63" s="97" t="s">
        <v>341</v>
      </c>
    </row>
    <row r="64" spans="1:5" x14ac:dyDescent="0.25">
      <c r="A64" s="94" t="s">
        <v>119</v>
      </c>
      <c r="B64" s="94" t="s">
        <v>293</v>
      </c>
      <c r="C64" s="96" t="s">
        <v>342</v>
      </c>
      <c r="D64" s="97" t="s">
        <v>343</v>
      </c>
    </row>
    <row r="65" spans="1:5" x14ac:dyDescent="0.25">
      <c r="A65" s="94" t="s">
        <v>120</v>
      </c>
      <c r="B65" s="94" t="s">
        <v>293</v>
      </c>
      <c r="C65" s="96" t="s">
        <v>344</v>
      </c>
      <c r="D65" s="97" t="s">
        <v>345</v>
      </c>
    </row>
    <row r="66" spans="1:5" x14ac:dyDescent="0.25">
      <c r="A66" s="94" t="s">
        <v>121</v>
      </c>
      <c r="B66" s="94" t="s">
        <v>293</v>
      </c>
      <c r="C66" s="96" t="s">
        <v>346</v>
      </c>
      <c r="D66" s="97" t="s">
        <v>347</v>
      </c>
    </row>
    <row r="67" spans="1:5" x14ac:dyDescent="0.25">
      <c r="A67" s="94" t="s">
        <v>122</v>
      </c>
      <c r="B67" s="94" t="s">
        <v>293</v>
      </c>
      <c r="C67" s="96" t="s">
        <v>348</v>
      </c>
      <c r="D67" s="97" t="s">
        <v>349</v>
      </c>
    </row>
    <row r="68" spans="1:5" x14ac:dyDescent="0.25">
      <c r="A68" s="94" t="s">
        <v>123</v>
      </c>
      <c r="B68" s="94" t="s">
        <v>293</v>
      </c>
      <c r="C68" s="96" t="s">
        <v>350</v>
      </c>
      <c r="D68" s="97" t="s">
        <v>351</v>
      </c>
    </row>
    <row r="69" spans="1:5" x14ac:dyDescent="0.25">
      <c r="A69" s="94" t="s">
        <v>124</v>
      </c>
      <c r="B69" s="94" t="s">
        <v>293</v>
      </c>
      <c r="C69" s="96" t="s">
        <v>352</v>
      </c>
      <c r="D69" s="97" t="s">
        <v>353</v>
      </c>
    </row>
    <row r="70" spans="1:5" x14ac:dyDescent="0.25">
      <c r="A70" s="94" t="s">
        <v>125</v>
      </c>
      <c r="B70" s="94" t="s">
        <v>293</v>
      </c>
      <c r="C70" s="96" t="s">
        <v>354</v>
      </c>
      <c r="D70" s="97" t="s">
        <v>355</v>
      </c>
    </row>
    <row r="71" spans="1:5" customFormat="1" x14ac:dyDescent="0.25">
      <c r="A71" t="s">
        <v>126</v>
      </c>
      <c r="B71" t="s">
        <v>248</v>
      </c>
      <c r="C71" s="1" t="s">
        <v>356</v>
      </c>
      <c r="D71" s="95" t="s">
        <v>357</v>
      </c>
      <c r="E71" t="s">
        <v>251</v>
      </c>
    </row>
    <row r="72" spans="1:5" x14ac:dyDescent="0.25">
      <c r="A72" s="94" t="s">
        <v>127</v>
      </c>
      <c r="B72" s="94" t="s">
        <v>7</v>
      </c>
      <c r="C72" s="96" t="s">
        <v>358</v>
      </c>
      <c r="D72" s="97" t="s">
        <v>359</v>
      </c>
    </row>
    <row r="73" spans="1:5" x14ac:dyDescent="0.25">
      <c r="A73" s="94" t="s">
        <v>128</v>
      </c>
      <c r="B73" s="94" t="s">
        <v>7</v>
      </c>
      <c r="C73" s="96" t="s">
        <v>360</v>
      </c>
      <c r="D73" s="97" t="s">
        <v>361</v>
      </c>
    </row>
    <row r="74" spans="1:5" x14ac:dyDescent="0.25">
      <c r="A74" s="94" t="s">
        <v>129</v>
      </c>
      <c r="B74" s="94" t="s">
        <v>7</v>
      </c>
      <c r="C74" s="96" t="s">
        <v>362</v>
      </c>
      <c r="D74" s="97" t="s">
        <v>363</v>
      </c>
    </row>
    <row r="75" spans="1:5" x14ac:dyDescent="0.25">
      <c r="A75" s="94" t="s">
        <v>130</v>
      </c>
      <c r="B75" s="94" t="s">
        <v>7</v>
      </c>
      <c r="C75" s="96" t="s">
        <v>364</v>
      </c>
      <c r="D75" s="97" t="s">
        <v>365</v>
      </c>
    </row>
    <row r="76" spans="1:5" x14ac:dyDescent="0.25">
      <c r="A76" s="94" t="s">
        <v>131</v>
      </c>
      <c r="B76" s="94" t="s">
        <v>7</v>
      </c>
      <c r="C76" s="96" t="s">
        <v>366</v>
      </c>
      <c r="D76" s="97" t="s">
        <v>367</v>
      </c>
    </row>
    <row r="77" spans="1:5" x14ac:dyDescent="0.25">
      <c r="A77" s="94" t="s">
        <v>132</v>
      </c>
      <c r="B77" s="94" t="s">
        <v>7</v>
      </c>
      <c r="C77" s="96" t="s">
        <v>368</v>
      </c>
      <c r="D77" s="97" t="s">
        <v>369</v>
      </c>
    </row>
    <row r="78" spans="1:5" x14ac:dyDescent="0.25">
      <c r="A78" s="94" t="s">
        <v>133</v>
      </c>
      <c r="B78" s="94" t="s">
        <v>7</v>
      </c>
      <c r="C78" s="96" t="s">
        <v>370</v>
      </c>
      <c r="D78" s="97" t="s">
        <v>371</v>
      </c>
    </row>
    <row r="79" spans="1:5" customFormat="1" x14ac:dyDescent="0.25">
      <c r="A79" t="s">
        <v>134</v>
      </c>
      <c r="B79" t="s">
        <v>248</v>
      </c>
      <c r="C79" s="1" t="s">
        <v>372</v>
      </c>
      <c r="D79" s="95" t="s">
        <v>373</v>
      </c>
      <c r="E79" t="s">
        <v>251</v>
      </c>
    </row>
    <row r="80" spans="1:5" customFormat="1" x14ac:dyDescent="0.25">
      <c r="A80" t="s">
        <v>135</v>
      </c>
      <c r="B80" t="s">
        <v>9</v>
      </c>
      <c r="C80" s="1" t="s">
        <v>374</v>
      </c>
      <c r="D80" s="95" t="s">
        <v>375</v>
      </c>
      <c r="E80" t="s">
        <v>376</v>
      </c>
    </row>
    <row r="81" spans="1:5" customFormat="1" x14ac:dyDescent="0.25">
      <c r="A81" t="s">
        <v>136</v>
      </c>
      <c r="B81" t="s">
        <v>248</v>
      </c>
      <c r="C81" s="1" t="s">
        <v>377</v>
      </c>
      <c r="D81" s="95" t="s">
        <v>378</v>
      </c>
      <c r="E81" t="s">
        <v>251</v>
      </c>
    </row>
    <row r="82" spans="1:5" customFormat="1" x14ac:dyDescent="0.25">
      <c r="A82" t="s">
        <v>137</v>
      </c>
      <c r="B82" t="s">
        <v>5</v>
      </c>
      <c r="C82" s="1" t="s">
        <v>379</v>
      </c>
      <c r="D82" s="95" t="s">
        <v>380</v>
      </c>
    </row>
    <row r="83" spans="1:5" customFormat="1" x14ac:dyDescent="0.25">
      <c r="A83" t="s">
        <v>138</v>
      </c>
      <c r="B83" t="s">
        <v>248</v>
      </c>
      <c r="C83" s="1" t="s">
        <v>381</v>
      </c>
      <c r="D83" s="95" t="s">
        <v>382</v>
      </c>
      <c r="E83" t="s">
        <v>251</v>
      </c>
    </row>
    <row r="84" spans="1:5" customFormat="1" x14ac:dyDescent="0.25">
      <c r="A84" t="s">
        <v>139</v>
      </c>
      <c r="B84" t="s">
        <v>248</v>
      </c>
      <c r="C84" s="1" t="s">
        <v>383</v>
      </c>
      <c r="D84" s="95" t="s">
        <v>384</v>
      </c>
      <c r="E84" t="s">
        <v>251</v>
      </c>
    </row>
    <row r="85" spans="1:5" customFormat="1" x14ac:dyDescent="0.25">
      <c r="A85" t="s">
        <v>140</v>
      </c>
      <c r="B85" t="s">
        <v>248</v>
      </c>
      <c r="C85" s="1" t="s">
        <v>385</v>
      </c>
      <c r="D85" s="95" t="s">
        <v>386</v>
      </c>
      <c r="E85" t="s">
        <v>251</v>
      </c>
    </row>
    <row r="86" spans="1:5" customFormat="1" x14ac:dyDescent="0.25">
      <c r="A86" t="s">
        <v>141</v>
      </c>
      <c r="B86" t="s">
        <v>5</v>
      </c>
      <c r="C86" s="1" t="s">
        <v>387</v>
      </c>
      <c r="D86" s="95" t="s">
        <v>388</v>
      </c>
    </row>
    <row r="87" spans="1:5" x14ac:dyDescent="0.25">
      <c r="A87" s="94" t="s">
        <v>142</v>
      </c>
      <c r="B87" s="94" t="s">
        <v>3</v>
      </c>
      <c r="C87" s="96" t="s">
        <v>389</v>
      </c>
      <c r="D87" s="97" t="s">
        <v>390</v>
      </c>
    </row>
    <row r="88" spans="1:5" x14ac:dyDescent="0.25">
      <c r="A88" s="94" t="s">
        <v>143</v>
      </c>
      <c r="B88" s="94" t="s">
        <v>3</v>
      </c>
      <c r="C88" s="96" t="s">
        <v>391</v>
      </c>
      <c r="D88" s="97" t="s">
        <v>392</v>
      </c>
    </row>
    <row r="89" spans="1:5" x14ac:dyDescent="0.25">
      <c r="A89" s="94" t="s">
        <v>144</v>
      </c>
      <c r="B89" s="94" t="s">
        <v>3</v>
      </c>
      <c r="C89" s="96" t="s">
        <v>393</v>
      </c>
      <c r="D89" s="97" t="s">
        <v>394</v>
      </c>
    </row>
    <row r="90" spans="1:5" x14ac:dyDescent="0.25">
      <c r="A90" s="94" t="s">
        <v>145</v>
      </c>
      <c r="B90" s="94" t="s">
        <v>3</v>
      </c>
      <c r="C90" s="96" t="s">
        <v>395</v>
      </c>
      <c r="D90" s="97" t="s">
        <v>396</v>
      </c>
    </row>
    <row r="91" spans="1:5" x14ac:dyDescent="0.25">
      <c r="A91" s="94" t="s">
        <v>146</v>
      </c>
      <c r="B91" s="94" t="s">
        <v>3</v>
      </c>
      <c r="C91" s="96" t="s">
        <v>397</v>
      </c>
      <c r="D91" s="97" t="s">
        <v>398</v>
      </c>
    </row>
    <row r="92" spans="1:5" x14ac:dyDescent="0.25">
      <c r="A92" s="94" t="s">
        <v>147</v>
      </c>
      <c r="B92" s="94" t="s">
        <v>3</v>
      </c>
      <c r="C92" s="96" t="s">
        <v>399</v>
      </c>
      <c r="D92" s="97" t="s">
        <v>400</v>
      </c>
    </row>
    <row r="93" spans="1:5" x14ac:dyDescent="0.25">
      <c r="A93" s="94" t="s">
        <v>148</v>
      </c>
      <c r="B93" s="94" t="s">
        <v>3</v>
      </c>
      <c r="C93" s="96" t="s">
        <v>401</v>
      </c>
      <c r="D93" s="97" t="s">
        <v>402</v>
      </c>
    </row>
    <row r="94" spans="1:5" x14ac:dyDescent="0.25">
      <c r="A94" s="94" t="s">
        <v>149</v>
      </c>
      <c r="B94" s="94" t="s">
        <v>3</v>
      </c>
      <c r="C94" s="96" t="s">
        <v>403</v>
      </c>
      <c r="D94" s="97" t="s">
        <v>404</v>
      </c>
    </row>
    <row r="95" spans="1:5" x14ac:dyDescent="0.25">
      <c r="A95" s="94" t="s">
        <v>150</v>
      </c>
      <c r="B95" s="94" t="s">
        <v>3</v>
      </c>
      <c r="C95" s="96" t="s">
        <v>405</v>
      </c>
      <c r="D95" s="97" t="s">
        <v>406</v>
      </c>
    </row>
    <row r="96" spans="1:5" x14ac:dyDescent="0.25">
      <c r="A96" s="94" t="s">
        <v>151</v>
      </c>
      <c r="B96" s="94" t="s">
        <v>3</v>
      </c>
      <c r="C96" s="96" t="s">
        <v>407</v>
      </c>
      <c r="D96" s="97" t="s">
        <v>408</v>
      </c>
    </row>
    <row r="97" spans="1:4" x14ac:dyDescent="0.25">
      <c r="A97" s="94" t="s">
        <v>152</v>
      </c>
      <c r="B97" s="94" t="s">
        <v>3</v>
      </c>
      <c r="C97" s="96" t="s">
        <v>409</v>
      </c>
      <c r="D97" s="97" t="s">
        <v>410</v>
      </c>
    </row>
    <row r="98" spans="1:4" x14ac:dyDescent="0.25">
      <c r="A98" s="94" t="s">
        <v>153</v>
      </c>
      <c r="B98" s="94" t="s">
        <v>3</v>
      </c>
      <c r="C98" s="96" t="s">
        <v>411</v>
      </c>
      <c r="D98" s="97" t="s">
        <v>412</v>
      </c>
    </row>
    <row r="99" spans="1:4" x14ac:dyDescent="0.25">
      <c r="A99" s="94" t="s">
        <v>154</v>
      </c>
      <c r="B99" s="94" t="s">
        <v>3</v>
      </c>
      <c r="C99" s="96" t="s">
        <v>413</v>
      </c>
      <c r="D99" s="97" t="s">
        <v>414</v>
      </c>
    </row>
    <row r="100" spans="1:4" x14ac:dyDescent="0.25">
      <c r="A100" s="94" t="s">
        <v>155</v>
      </c>
      <c r="B100" s="94" t="s">
        <v>3</v>
      </c>
      <c r="C100" s="96" t="s">
        <v>415</v>
      </c>
      <c r="D100" s="97" t="s">
        <v>416</v>
      </c>
    </row>
    <row r="101" spans="1:4" x14ac:dyDescent="0.25">
      <c r="A101" s="94" t="s">
        <v>156</v>
      </c>
      <c r="B101" s="94" t="s">
        <v>3</v>
      </c>
      <c r="C101" s="96" t="s">
        <v>417</v>
      </c>
      <c r="D101" s="97" t="s">
        <v>418</v>
      </c>
    </row>
    <row r="102" spans="1:4" x14ac:dyDescent="0.25">
      <c r="A102" s="94" t="s">
        <v>157</v>
      </c>
      <c r="B102" s="94" t="s">
        <v>3</v>
      </c>
      <c r="C102" s="96" t="s">
        <v>419</v>
      </c>
      <c r="D102" s="97" t="s">
        <v>420</v>
      </c>
    </row>
    <row r="103" spans="1:4" x14ac:dyDescent="0.25">
      <c r="A103" s="94" t="s">
        <v>158</v>
      </c>
      <c r="B103" s="94" t="s">
        <v>3</v>
      </c>
      <c r="C103" s="96" t="s">
        <v>421</v>
      </c>
      <c r="D103" s="97" t="s">
        <v>422</v>
      </c>
    </row>
    <row r="104" spans="1:4" x14ac:dyDescent="0.25">
      <c r="A104" s="94" t="s">
        <v>159</v>
      </c>
      <c r="B104" s="94" t="s">
        <v>3</v>
      </c>
      <c r="C104" s="96" t="s">
        <v>423</v>
      </c>
      <c r="D104" s="97" t="s">
        <v>424</v>
      </c>
    </row>
    <row r="105" spans="1:4" x14ac:dyDescent="0.25">
      <c r="A105" s="94" t="s">
        <v>160</v>
      </c>
      <c r="B105" s="94" t="s">
        <v>3</v>
      </c>
      <c r="C105" s="96" t="s">
        <v>425</v>
      </c>
      <c r="D105" s="97" t="s">
        <v>426</v>
      </c>
    </row>
    <row r="106" spans="1:4" x14ac:dyDescent="0.25">
      <c r="A106" s="94" t="s">
        <v>161</v>
      </c>
      <c r="B106" s="94" t="s">
        <v>3</v>
      </c>
      <c r="C106" s="96" t="s">
        <v>427</v>
      </c>
      <c r="D106" s="97" t="s">
        <v>428</v>
      </c>
    </row>
    <row r="107" spans="1:4" x14ac:dyDescent="0.25">
      <c r="A107" s="94" t="s">
        <v>162</v>
      </c>
      <c r="B107" s="94" t="s">
        <v>3</v>
      </c>
      <c r="C107" s="96" t="s">
        <v>429</v>
      </c>
      <c r="D107" s="97" t="s">
        <v>430</v>
      </c>
    </row>
    <row r="108" spans="1:4" x14ac:dyDescent="0.25">
      <c r="A108" s="94" t="s">
        <v>163</v>
      </c>
      <c r="B108" s="94" t="s">
        <v>3</v>
      </c>
      <c r="C108" s="96" t="s">
        <v>431</v>
      </c>
      <c r="D108" s="97" t="s">
        <v>432</v>
      </c>
    </row>
    <row r="109" spans="1:4" x14ac:dyDescent="0.25">
      <c r="A109" s="94" t="s">
        <v>164</v>
      </c>
      <c r="B109" s="94" t="s">
        <v>3</v>
      </c>
      <c r="C109" s="96" t="s">
        <v>433</v>
      </c>
      <c r="D109" s="97" t="s">
        <v>434</v>
      </c>
    </row>
    <row r="110" spans="1:4" x14ac:dyDescent="0.25">
      <c r="A110" s="94" t="s">
        <v>165</v>
      </c>
      <c r="B110" s="94" t="s">
        <v>3</v>
      </c>
      <c r="C110" s="96" t="s">
        <v>435</v>
      </c>
      <c r="D110" s="97" t="s">
        <v>436</v>
      </c>
    </row>
    <row r="111" spans="1:4" x14ac:dyDescent="0.25">
      <c r="A111" s="94" t="s">
        <v>166</v>
      </c>
      <c r="B111" s="94" t="s">
        <v>3</v>
      </c>
      <c r="C111" s="96" t="s">
        <v>437</v>
      </c>
      <c r="D111" s="97" t="s">
        <v>438</v>
      </c>
    </row>
    <row r="112" spans="1:4" x14ac:dyDescent="0.25">
      <c r="A112" s="94" t="s">
        <v>167</v>
      </c>
      <c r="B112" s="94" t="s">
        <v>3</v>
      </c>
      <c r="C112" s="96" t="s">
        <v>439</v>
      </c>
      <c r="D112" s="97" t="s">
        <v>440</v>
      </c>
    </row>
    <row r="113" spans="1:5" x14ac:dyDescent="0.25">
      <c r="A113" s="94" t="s">
        <v>168</v>
      </c>
      <c r="B113" s="94" t="s">
        <v>3</v>
      </c>
      <c r="C113" s="96" t="s">
        <v>441</v>
      </c>
      <c r="D113" s="97" t="s">
        <v>442</v>
      </c>
    </row>
    <row r="114" spans="1:5" customFormat="1" x14ac:dyDescent="0.25">
      <c r="A114" t="s">
        <v>169</v>
      </c>
      <c r="B114" t="s">
        <v>248</v>
      </c>
      <c r="C114" s="1" t="s">
        <v>443</v>
      </c>
      <c r="D114" s="95" t="s">
        <v>444</v>
      </c>
      <c r="E114" t="s">
        <v>251</v>
      </c>
    </row>
    <row r="115" spans="1:5" customFormat="1" x14ac:dyDescent="0.25">
      <c r="A115" t="s">
        <v>170</v>
      </c>
      <c r="B115" t="s">
        <v>5</v>
      </c>
      <c r="C115" s="1" t="s">
        <v>445</v>
      </c>
      <c r="D115" s="95" t="s">
        <v>446</v>
      </c>
    </row>
    <row r="116" spans="1:5" x14ac:dyDescent="0.25">
      <c r="A116" s="94" t="s">
        <v>171</v>
      </c>
      <c r="B116" s="94" t="s">
        <v>3</v>
      </c>
      <c r="C116" s="96" t="s">
        <v>447</v>
      </c>
      <c r="D116" s="97" t="s">
        <v>448</v>
      </c>
    </row>
    <row r="117" spans="1:5" x14ac:dyDescent="0.25">
      <c r="A117" s="94" t="s">
        <v>172</v>
      </c>
      <c r="B117" s="94" t="s">
        <v>3</v>
      </c>
      <c r="C117" s="96" t="s">
        <v>449</v>
      </c>
      <c r="D117" s="97" t="s">
        <v>450</v>
      </c>
    </row>
    <row r="118" spans="1:5" x14ac:dyDescent="0.25">
      <c r="A118" s="94" t="s">
        <v>173</v>
      </c>
      <c r="B118" s="94" t="s">
        <v>3</v>
      </c>
      <c r="C118" s="96" t="s">
        <v>451</v>
      </c>
      <c r="D118" s="97" t="s">
        <v>452</v>
      </c>
    </row>
    <row r="119" spans="1:5" x14ac:dyDescent="0.25">
      <c r="A119" s="94" t="s">
        <v>174</v>
      </c>
      <c r="B119" s="94" t="s">
        <v>3</v>
      </c>
      <c r="C119" s="96" t="s">
        <v>453</v>
      </c>
      <c r="D119" s="97" t="s">
        <v>454</v>
      </c>
    </row>
    <row r="120" spans="1:5" x14ac:dyDescent="0.25">
      <c r="A120" s="94" t="s">
        <v>175</v>
      </c>
      <c r="B120" s="94" t="s">
        <v>3</v>
      </c>
      <c r="C120" s="96" t="s">
        <v>455</v>
      </c>
      <c r="D120" s="97" t="s">
        <v>456</v>
      </c>
    </row>
    <row r="121" spans="1:5" x14ac:dyDescent="0.25">
      <c r="A121" s="94" t="s">
        <v>176</v>
      </c>
      <c r="B121" s="94" t="s">
        <v>3</v>
      </c>
      <c r="C121" s="96" t="s">
        <v>457</v>
      </c>
      <c r="D121" s="97" t="s">
        <v>458</v>
      </c>
    </row>
    <row r="122" spans="1:5" x14ac:dyDescent="0.25">
      <c r="A122" s="94" t="s">
        <v>177</v>
      </c>
      <c r="B122" s="94" t="s">
        <v>3</v>
      </c>
      <c r="C122" s="96" t="s">
        <v>459</v>
      </c>
      <c r="D122" s="97" t="s">
        <v>460</v>
      </c>
    </row>
    <row r="123" spans="1:5" x14ac:dyDescent="0.25">
      <c r="A123" s="94" t="s">
        <v>178</v>
      </c>
      <c r="B123" s="94" t="s">
        <v>3</v>
      </c>
      <c r="C123" s="96" t="s">
        <v>461</v>
      </c>
      <c r="D123" s="97" t="s">
        <v>462</v>
      </c>
    </row>
    <row r="124" spans="1:5" x14ac:dyDescent="0.25">
      <c r="A124" s="94" t="s">
        <v>179</v>
      </c>
      <c r="B124" s="94" t="s">
        <v>3</v>
      </c>
      <c r="C124" s="96" t="s">
        <v>463</v>
      </c>
      <c r="D124" s="97" t="s">
        <v>464</v>
      </c>
    </row>
    <row r="125" spans="1:5" x14ac:dyDescent="0.25">
      <c r="A125" s="94" t="s">
        <v>180</v>
      </c>
      <c r="B125" s="94" t="s">
        <v>3</v>
      </c>
      <c r="C125" s="96" t="s">
        <v>465</v>
      </c>
      <c r="D125" s="97" t="s">
        <v>466</v>
      </c>
    </row>
    <row r="126" spans="1:5" x14ac:dyDescent="0.25">
      <c r="A126" s="94" t="s">
        <v>181</v>
      </c>
      <c r="B126" s="94" t="s">
        <v>3</v>
      </c>
      <c r="C126" s="96" t="s">
        <v>467</v>
      </c>
      <c r="D126" s="97" t="s">
        <v>468</v>
      </c>
    </row>
    <row r="127" spans="1:5" x14ac:dyDescent="0.25">
      <c r="A127" s="94" t="s">
        <v>182</v>
      </c>
      <c r="B127" s="94" t="s">
        <v>3</v>
      </c>
      <c r="C127" s="96" t="s">
        <v>469</v>
      </c>
      <c r="D127" s="97" t="s">
        <v>470</v>
      </c>
    </row>
    <row r="128" spans="1:5" x14ac:dyDescent="0.25">
      <c r="A128" s="94" t="s">
        <v>183</v>
      </c>
      <c r="B128" s="94" t="s">
        <v>3</v>
      </c>
      <c r="C128" s="96" t="s">
        <v>471</v>
      </c>
      <c r="D128" s="97" t="s">
        <v>472</v>
      </c>
    </row>
    <row r="129" spans="1:5" x14ac:dyDescent="0.25">
      <c r="A129" s="94" t="s">
        <v>184</v>
      </c>
      <c r="B129" s="94" t="s">
        <v>3</v>
      </c>
      <c r="C129" s="96" t="s">
        <v>473</v>
      </c>
      <c r="D129" s="97" t="s">
        <v>474</v>
      </c>
    </row>
    <row r="130" spans="1:5" customFormat="1" x14ac:dyDescent="0.25">
      <c r="A130" t="s">
        <v>185</v>
      </c>
      <c r="B130" t="s">
        <v>248</v>
      </c>
      <c r="C130" s="1" t="s">
        <v>475</v>
      </c>
      <c r="D130" s="95" t="s">
        <v>476</v>
      </c>
      <c r="E130" t="s">
        <v>251</v>
      </c>
    </row>
    <row r="131" spans="1:5" customFormat="1" x14ac:dyDescent="0.25">
      <c r="A131" t="s">
        <v>186</v>
      </c>
      <c r="B131" t="s">
        <v>5</v>
      </c>
      <c r="C131" s="1" t="s">
        <v>477</v>
      </c>
      <c r="D131" s="95" t="s">
        <v>478</v>
      </c>
    </row>
    <row r="132" spans="1:5" x14ac:dyDescent="0.25">
      <c r="A132" s="94" t="s">
        <v>187</v>
      </c>
      <c r="B132" s="94" t="s">
        <v>3</v>
      </c>
      <c r="C132" s="96" t="s">
        <v>479</v>
      </c>
      <c r="D132" s="97" t="s">
        <v>480</v>
      </c>
    </row>
    <row r="133" spans="1:5" x14ac:dyDescent="0.25">
      <c r="A133" s="94" t="s">
        <v>188</v>
      </c>
      <c r="B133" s="94" t="s">
        <v>3</v>
      </c>
      <c r="C133" s="96" t="s">
        <v>481</v>
      </c>
      <c r="D133" s="97" t="s">
        <v>482</v>
      </c>
    </row>
    <row r="134" spans="1:5" x14ac:dyDescent="0.25">
      <c r="A134" s="94" t="s">
        <v>189</v>
      </c>
      <c r="B134" s="94" t="s">
        <v>3</v>
      </c>
      <c r="C134" s="96" t="s">
        <v>483</v>
      </c>
      <c r="D134" s="97" t="s">
        <v>484</v>
      </c>
    </row>
    <row r="135" spans="1:5" x14ac:dyDescent="0.25">
      <c r="A135" s="94" t="s">
        <v>190</v>
      </c>
      <c r="B135" s="94" t="s">
        <v>3</v>
      </c>
      <c r="C135" s="96" t="s">
        <v>485</v>
      </c>
      <c r="D135" s="97" t="s">
        <v>486</v>
      </c>
    </row>
    <row r="136" spans="1:5" x14ac:dyDescent="0.25">
      <c r="A136" s="94" t="s">
        <v>191</v>
      </c>
      <c r="B136" s="94" t="s">
        <v>3</v>
      </c>
      <c r="C136" s="96" t="s">
        <v>487</v>
      </c>
      <c r="D136" s="97" t="s">
        <v>488</v>
      </c>
    </row>
    <row r="137" spans="1:5" x14ac:dyDescent="0.25">
      <c r="A137" s="94" t="s">
        <v>192</v>
      </c>
      <c r="B137" s="94" t="s">
        <v>3</v>
      </c>
      <c r="C137" s="96" t="s">
        <v>489</v>
      </c>
      <c r="D137" s="97" t="s">
        <v>490</v>
      </c>
    </row>
    <row r="138" spans="1:5" customFormat="1" x14ac:dyDescent="0.25">
      <c r="A138" t="s">
        <v>491</v>
      </c>
      <c r="B138" t="s">
        <v>248</v>
      </c>
      <c r="C138" s="1" t="s">
        <v>492</v>
      </c>
      <c r="D138" s="95" t="s">
        <v>493</v>
      </c>
      <c r="E138" t="s">
        <v>251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81</v>
      </c>
    </row>
    <row r="2" spans="1:7" x14ac:dyDescent="0.25">
      <c r="A2" s="2" t="str">
        <f>TEXT(A1,"0.00")</f>
        <v>4.25</v>
      </c>
      <c r="B2" s="2" t="str">
        <f>VLOOKUP(A$2,Eixo4[],3,FALSE)</f>
        <v>Com relação à oferta de editais anuais de apoio à pesquisa destinados aos docentes,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34</v>
      </c>
      <c r="D6" s="2">
        <f>COUNTIF(Resp4[Vínculo],"docente")-SUM(D$7:D$12)</f>
        <v>11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COUNTIFS(Resp4[Vínculo],"tecnico",Resp4[4.25],B7)</f>
        <v>0</v>
      </c>
      <c r="D7" s="4">
        <f>COUNTIFS(Resp4[Vínculo],"docente",Resp4[4.25],B7)</f>
        <v>3</v>
      </c>
      <c r="E7" s="4">
        <f>COUNTIF(Resp4[4.25],B7)</f>
        <v>3</v>
      </c>
      <c r="F7" s="4">
        <f t="shared" ref="F7:F13" si="0">ROUND($E7/E$13*100,2)</f>
        <v>4.41</v>
      </c>
      <c r="G7" s="3">
        <f t="shared" ref="G7:G12" si="1">ROUND($E7/SUM($E$7:$E$12)*100,3)</f>
        <v>13.042999999999999</v>
      </c>
    </row>
    <row r="8" spans="1:7" x14ac:dyDescent="0.25">
      <c r="B8" s="2" t="s">
        <v>206</v>
      </c>
      <c r="C8" s="4">
        <f>COUNTIFS(Resp4[Vínculo],"tecnico",Resp4[4.25],B8)</f>
        <v>0</v>
      </c>
      <c r="D8" s="4">
        <f>COUNTIFS(Resp4[Vínculo],"docente",Resp4[4.25],B8)</f>
        <v>0</v>
      </c>
      <c r="E8" s="4">
        <f>COUNTIF(Resp4[4.25],B8)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COUNTIFS(Resp4[Vínculo],"tecnico",Resp4[4.25],B9)</f>
        <v>0</v>
      </c>
      <c r="D9" s="4">
        <f>COUNTIFS(Resp4[Vínculo],"docente",Resp4[4.25],B9)</f>
        <v>3</v>
      </c>
      <c r="E9" s="4">
        <f>COUNTIF(Resp4[4.25],B9)</f>
        <v>3</v>
      </c>
      <c r="F9" s="4">
        <f t="shared" si="0"/>
        <v>4.41</v>
      </c>
      <c r="G9" s="3">
        <f t="shared" si="1"/>
        <v>13.042999999999999</v>
      </c>
    </row>
    <row r="10" spans="1:7" x14ac:dyDescent="0.25">
      <c r="B10" s="2" t="s">
        <v>30</v>
      </c>
      <c r="C10" s="4">
        <f>COUNTIFS(Resp4[Vínculo],"tecnico",Resp4[4.25],B10)</f>
        <v>0</v>
      </c>
      <c r="D10" s="4">
        <f>COUNTIFS(Resp4[Vínculo],"docente",Resp4[4.25],B10)</f>
        <v>3</v>
      </c>
      <c r="E10" s="4">
        <f>COUNTIF(Resp4[4.25],B10)</f>
        <v>3</v>
      </c>
      <c r="F10" s="4">
        <f t="shared" si="0"/>
        <v>4.41</v>
      </c>
      <c r="G10" s="3">
        <f t="shared" si="1"/>
        <v>13.042999999999999</v>
      </c>
    </row>
    <row r="11" spans="1:7" x14ac:dyDescent="0.25">
      <c r="B11" s="2" t="s">
        <v>199</v>
      </c>
      <c r="C11" s="4">
        <f>COUNTIFS(Resp4[Vínculo],"tecnico",Resp4[4.25],B11)</f>
        <v>0</v>
      </c>
      <c r="D11" s="4">
        <f>COUNTIFS(Resp4[Vínculo],"docente",Resp4[4.25],B11)</f>
        <v>11</v>
      </c>
      <c r="E11" s="4">
        <f>COUNTIF(Resp4[4.25],B11)</f>
        <v>11</v>
      </c>
      <c r="F11" s="4">
        <f t="shared" si="0"/>
        <v>16.18</v>
      </c>
      <c r="G11" s="3">
        <f t="shared" si="1"/>
        <v>47.826000000000001</v>
      </c>
    </row>
    <row r="12" spans="1:7" x14ac:dyDescent="0.25">
      <c r="B12" s="7" t="s">
        <v>200</v>
      </c>
      <c r="C12" s="4">
        <f>COUNTIFS(Resp4[Vínculo],"tecnico",Resp4[4.25],B12)</f>
        <v>0</v>
      </c>
      <c r="D12" s="4">
        <f>COUNTIFS(Resp4[Vínculo],"docente",Resp4[4.25],B12)</f>
        <v>3</v>
      </c>
      <c r="E12" s="4">
        <f>COUNTIF(Resp4[4.25],B12)</f>
        <v>3</v>
      </c>
      <c r="F12" s="22">
        <f t="shared" si="0"/>
        <v>4.41</v>
      </c>
      <c r="G12" s="3">
        <f t="shared" si="1"/>
        <v>13.042999999999999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99.99799999999999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13.042999999999999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13.042999999999999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13.042999999999999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60.87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82</v>
      </c>
    </row>
    <row r="2" spans="1:7" x14ac:dyDescent="0.25">
      <c r="A2" s="2" t="str">
        <f>TEXT(A1,"0.00")</f>
        <v>4.26</v>
      </c>
      <c r="B2" s="2" t="str">
        <f>VLOOKUP(A$2,Eixo4[],3,FALSE)</f>
        <v>Com relação à oferta de editais anuais de apoio à pesquisa destinados aos docentes,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26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34</v>
      </c>
      <c r="D6" s="2">
        <f>COUNTIF(Resp4[Vínculo],"docente")-SUM(D$7:D$12)</f>
        <v>11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COUNTIFS(Resp4[Vínculo],"tecnico",Resp4[4.26],B7)</f>
        <v>0</v>
      </c>
      <c r="D7" s="4">
        <f>COUNTIFS(Resp4[Vínculo],"docente",Resp4[4.26],B7)</f>
        <v>4</v>
      </c>
      <c r="E7" s="4">
        <f>COUNTIF(Resp4[4.26],B7)</f>
        <v>4</v>
      </c>
      <c r="F7" s="4">
        <f t="shared" ref="F7:F13" si="0">ROUND($E7/E$13*100,2)</f>
        <v>5.88</v>
      </c>
      <c r="G7" s="3">
        <f t="shared" ref="G7:G12" si="1">ROUND($E7/SUM($E$7:$E$12)*100,3)</f>
        <v>17.390999999999998</v>
      </c>
    </row>
    <row r="8" spans="1:7" x14ac:dyDescent="0.25">
      <c r="B8" s="2" t="s">
        <v>206</v>
      </c>
      <c r="C8" s="4">
        <f>COUNTIFS(Resp4[Vínculo],"tecnico",Resp4[4.26],B8)</f>
        <v>0</v>
      </c>
      <c r="D8" s="4">
        <f>COUNTIFS(Resp4[Vínculo],"docente",Resp4[4.26],B8)</f>
        <v>2</v>
      </c>
      <c r="E8" s="4">
        <f>COUNTIF(Resp4[4.26],B8)</f>
        <v>2</v>
      </c>
      <c r="F8" s="4">
        <f t="shared" si="0"/>
        <v>2.94</v>
      </c>
      <c r="G8" s="3">
        <f t="shared" si="1"/>
        <v>8.6959999999999997</v>
      </c>
    </row>
    <row r="9" spans="1:7" x14ac:dyDescent="0.25">
      <c r="B9" s="2" t="s">
        <v>202</v>
      </c>
      <c r="C9" s="4">
        <f>COUNTIFS(Resp4[Vínculo],"tecnico",Resp4[4.26],B9)</f>
        <v>0</v>
      </c>
      <c r="D9" s="4">
        <f>COUNTIFS(Resp4[Vínculo],"docente",Resp4[4.26],B9)</f>
        <v>2</v>
      </c>
      <c r="E9" s="4">
        <f>COUNTIF(Resp4[4.26],B9)</f>
        <v>2</v>
      </c>
      <c r="F9" s="4">
        <f t="shared" si="0"/>
        <v>2.94</v>
      </c>
      <c r="G9" s="3">
        <f t="shared" si="1"/>
        <v>8.6959999999999997</v>
      </c>
    </row>
    <row r="10" spans="1:7" x14ac:dyDescent="0.25">
      <c r="B10" s="2" t="s">
        <v>30</v>
      </c>
      <c r="C10" s="4">
        <f>COUNTIFS(Resp4[Vínculo],"tecnico",Resp4[4.26],B10)</f>
        <v>0</v>
      </c>
      <c r="D10" s="4">
        <f>COUNTIFS(Resp4[Vínculo],"docente",Resp4[4.26],B10)</f>
        <v>2</v>
      </c>
      <c r="E10" s="4">
        <f>COUNTIF(Resp4[4.26],B10)</f>
        <v>2</v>
      </c>
      <c r="F10" s="4">
        <f t="shared" si="0"/>
        <v>2.94</v>
      </c>
      <c r="G10" s="3">
        <f t="shared" si="1"/>
        <v>8.6959999999999997</v>
      </c>
    </row>
    <row r="11" spans="1:7" x14ac:dyDescent="0.25">
      <c r="B11" s="2" t="s">
        <v>199</v>
      </c>
      <c r="C11" s="4">
        <f>COUNTIFS(Resp4[Vínculo],"tecnico",Resp4[4.26],B11)</f>
        <v>0</v>
      </c>
      <c r="D11" s="4">
        <f>COUNTIFS(Resp4[Vínculo],"docente",Resp4[4.26],B11)</f>
        <v>11</v>
      </c>
      <c r="E11" s="4">
        <f>COUNTIF(Resp4[4.26],B11)</f>
        <v>11</v>
      </c>
      <c r="F11" s="4">
        <f t="shared" si="0"/>
        <v>16.18</v>
      </c>
      <c r="G11" s="3">
        <f t="shared" si="1"/>
        <v>47.826000000000001</v>
      </c>
    </row>
    <row r="12" spans="1:7" x14ac:dyDescent="0.25">
      <c r="B12" s="7" t="s">
        <v>200</v>
      </c>
      <c r="C12" s="4">
        <f>COUNTIFS(Resp4[Vínculo],"tecnico",Resp4[4.26],B12)</f>
        <v>0</v>
      </c>
      <c r="D12" s="4">
        <f>COUNTIFS(Resp4[Vínculo],"docente",Resp4[4.26],B12)</f>
        <v>2</v>
      </c>
      <c r="E12" s="4">
        <f>COUNTIF(Resp4[4.26],B12)</f>
        <v>2</v>
      </c>
      <c r="F12" s="22">
        <f t="shared" si="0"/>
        <v>2.94</v>
      </c>
      <c r="G12" s="3">
        <f t="shared" si="1"/>
        <v>8.6959999999999997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17.390999999999998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17.390999999999998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8.6959999999999997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56.521999999999998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83</v>
      </c>
    </row>
    <row r="2" spans="1:7" x14ac:dyDescent="0.25">
      <c r="A2" s="2" t="str">
        <f>TEXT(A1,"0.00")</f>
        <v>4.27</v>
      </c>
      <c r="B2" s="2" t="str">
        <f>VLOOKUP(A$2,Eixo4[],3,FALSE)</f>
        <v>Com relação à oferta de editais anuais de apoio à pesquisa destinados aos docentes,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27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34</v>
      </c>
      <c r="D6" s="2">
        <f>COUNTIF(Resp4[Vínculo],"docente")-SUM(D$7:D$12)</f>
        <v>11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COUNTIFS(Resp4[Vínculo],"tecnico",Resp4[4.27],B7)</f>
        <v>0</v>
      </c>
      <c r="D7" s="4">
        <f>COUNTIFS(Resp4[Vínculo],"docente",Resp4[4.27],B7)</f>
        <v>9</v>
      </c>
      <c r="E7" s="4">
        <f>COUNTIF(Resp4[4.27],B7)</f>
        <v>9</v>
      </c>
      <c r="F7" s="4">
        <f t="shared" ref="F7:F13" si="0">ROUND($E7/E$13*100,2)</f>
        <v>13.24</v>
      </c>
      <c r="G7" s="3">
        <f t="shared" ref="G7:G12" si="1">ROUND($E7/SUM($E$7:$E$12)*100,3)</f>
        <v>39.130000000000003</v>
      </c>
    </row>
    <row r="8" spans="1:7" x14ac:dyDescent="0.25">
      <c r="B8" s="2" t="s">
        <v>206</v>
      </c>
      <c r="C8" s="4">
        <f>COUNTIFS(Resp4[Vínculo],"tecnico",Resp4[4.27],B8)</f>
        <v>0</v>
      </c>
      <c r="D8" s="4">
        <f>COUNTIFS(Resp4[Vínculo],"docente",Resp4[4.27],B8)</f>
        <v>1</v>
      </c>
      <c r="E8" s="4">
        <f>COUNTIF(Resp4[4.27],B8)</f>
        <v>1</v>
      </c>
      <c r="F8" s="4">
        <f t="shared" si="0"/>
        <v>1.47</v>
      </c>
      <c r="G8" s="3">
        <f t="shared" si="1"/>
        <v>4.3479999999999999</v>
      </c>
    </row>
    <row r="9" spans="1:7" x14ac:dyDescent="0.25">
      <c r="B9" s="2" t="s">
        <v>202</v>
      </c>
      <c r="C9" s="4">
        <f>COUNTIFS(Resp4[Vínculo],"tecnico",Resp4[4.27],B9)</f>
        <v>0</v>
      </c>
      <c r="D9" s="4">
        <f>COUNTIFS(Resp4[Vínculo],"docente",Resp4[4.27],B9)</f>
        <v>1</v>
      </c>
      <c r="E9" s="4">
        <f>COUNTIF(Resp4[4.27],B9)</f>
        <v>1</v>
      </c>
      <c r="F9" s="4">
        <f t="shared" si="0"/>
        <v>1.47</v>
      </c>
      <c r="G9" s="3">
        <f t="shared" si="1"/>
        <v>4.3479999999999999</v>
      </c>
    </row>
    <row r="10" spans="1:7" x14ac:dyDescent="0.25">
      <c r="B10" s="2" t="s">
        <v>30</v>
      </c>
      <c r="C10" s="4">
        <f>COUNTIFS(Resp4[Vínculo],"tecnico",Resp4[4.27],B10)</f>
        <v>0</v>
      </c>
      <c r="D10" s="4">
        <f>COUNTIFS(Resp4[Vínculo],"docente",Resp4[4.27],B10)</f>
        <v>4</v>
      </c>
      <c r="E10" s="4">
        <f>COUNTIF(Resp4[4.27],B10)</f>
        <v>4</v>
      </c>
      <c r="F10" s="4">
        <f t="shared" si="0"/>
        <v>5.88</v>
      </c>
      <c r="G10" s="3">
        <f t="shared" si="1"/>
        <v>17.390999999999998</v>
      </c>
    </row>
    <row r="11" spans="1:7" x14ac:dyDescent="0.25">
      <c r="B11" s="2" t="s">
        <v>199</v>
      </c>
      <c r="C11" s="4">
        <f>COUNTIFS(Resp4[Vínculo],"tecnico",Resp4[4.27],B11)</f>
        <v>0</v>
      </c>
      <c r="D11" s="4">
        <f>COUNTIFS(Resp4[Vínculo],"docente",Resp4[4.27],B11)</f>
        <v>6</v>
      </c>
      <c r="E11" s="4">
        <f>COUNTIF(Resp4[4.27],B11)</f>
        <v>6</v>
      </c>
      <c r="F11" s="4">
        <f t="shared" si="0"/>
        <v>8.82</v>
      </c>
      <c r="G11" s="3">
        <f t="shared" si="1"/>
        <v>26.087</v>
      </c>
    </row>
    <row r="12" spans="1:7" x14ac:dyDescent="0.25">
      <c r="B12" s="7" t="s">
        <v>200</v>
      </c>
      <c r="C12" s="4">
        <f>COUNTIFS(Resp4[Vínculo],"tecnico",Resp4[4.27],B12)</f>
        <v>0</v>
      </c>
      <c r="D12" s="4">
        <f>COUNTIFS(Resp4[Vínculo],"docente",Resp4[4.27],B12)</f>
        <v>2</v>
      </c>
      <c r="E12" s="4">
        <f>COUNTIF(Resp4[4.27],B12)</f>
        <v>2</v>
      </c>
      <c r="F12" s="22">
        <f t="shared" si="0"/>
        <v>2.94</v>
      </c>
      <c r="G12" s="3">
        <f t="shared" si="1"/>
        <v>8.6959999999999997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8.6959999999999997</v>
      </c>
    </row>
    <row r="26" spans="2:7" x14ac:dyDescent="0.25">
      <c r="B26" s="16" t="s">
        <v>505</v>
      </c>
      <c r="C26" s="16" t="s">
        <v>23</v>
      </c>
      <c r="D26" s="14">
        <f>D7</f>
        <v>9</v>
      </c>
      <c r="E26" s="15">
        <f>ROUND(D26/SUM(D$25:D$28)*100,3)</f>
        <v>39.130000000000003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17.390999999999998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34.783000000000001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.285156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84</v>
      </c>
    </row>
    <row r="2" spans="1:7" x14ac:dyDescent="0.25">
      <c r="A2" s="2" t="str">
        <f>TEXT(A1,"0.00")</f>
        <v>4.28</v>
      </c>
      <c r="B2" s="2" t="str">
        <f>VLOOKUP(A$2,Eixo4[],3,FALSE)</f>
        <v>Com relação à oferta de editais anuais de apoio à pesquisa destinados aos docentes,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28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34</v>
      </c>
      <c r="D6" s="2">
        <f>COUNTIF(Resp4[Vínculo],"docente")-SUM(D$7:D$12)</f>
        <v>11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COUNTIFS(Resp4[Vínculo],"tecnico",Resp4[4.28],B7)</f>
        <v>0</v>
      </c>
      <c r="D7" s="4">
        <f>COUNTIFS(Resp4[Vínculo],"docente",Resp4[4.28],B7)</f>
        <v>6</v>
      </c>
      <c r="E7" s="4">
        <f>COUNTIF(Resp4[4.28],B7)</f>
        <v>6</v>
      </c>
      <c r="F7" s="4">
        <f t="shared" ref="F7:F13" si="0">ROUND($E7/E$13*100,2)</f>
        <v>8.82</v>
      </c>
      <c r="G7" s="3">
        <f t="shared" ref="G7:G12" si="1">ROUND($E7/SUM($E$7:$E$12)*100,3)</f>
        <v>26.087</v>
      </c>
    </row>
    <row r="8" spans="1:7" x14ac:dyDescent="0.25">
      <c r="B8" s="2" t="s">
        <v>206</v>
      </c>
      <c r="C8" s="4">
        <f>COUNTIFS(Resp4[Vínculo],"tecnico",Resp4[4.28],B8)</f>
        <v>0</v>
      </c>
      <c r="D8" s="4">
        <f>COUNTIFS(Resp4[Vínculo],"docente",Resp4[4.28],B8)</f>
        <v>1</v>
      </c>
      <c r="E8" s="4">
        <f>COUNTIF(Resp4[4.28],B8)</f>
        <v>1</v>
      </c>
      <c r="F8" s="4">
        <f t="shared" si="0"/>
        <v>1.47</v>
      </c>
      <c r="G8" s="3">
        <f t="shared" si="1"/>
        <v>4.3479999999999999</v>
      </c>
    </row>
    <row r="9" spans="1:7" x14ac:dyDescent="0.25">
      <c r="B9" s="2" t="s">
        <v>202</v>
      </c>
      <c r="C9" s="4">
        <f>COUNTIFS(Resp4[Vínculo],"tecnico",Resp4[4.28],B9)</f>
        <v>0</v>
      </c>
      <c r="D9" s="4">
        <f>COUNTIFS(Resp4[Vínculo],"docente",Resp4[4.28],B9)</f>
        <v>2</v>
      </c>
      <c r="E9" s="4">
        <f>COUNTIF(Resp4[4.28],B9)</f>
        <v>2</v>
      </c>
      <c r="F9" s="4">
        <f t="shared" si="0"/>
        <v>2.94</v>
      </c>
      <c r="G9" s="3">
        <f t="shared" si="1"/>
        <v>8.6959999999999997</v>
      </c>
    </row>
    <row r="10" spans="1:7" x14ac:dyDescent="0.25">
      <c r="B10" s="2" t="s">
        <v>30</v>
      </c>
      <c r="C10" s="4">
        <f>COUNTIFS(Resp4[Vínculo],"tecnico",Resp4[4.28],B10)</f>
        <v>0</v>
      </c>
      <c r="D10" s="4">
        <f>COUNTIFS(Resp4[Vínculo],"docente",Resp4[4.28],B10)</f>
        <v>5</v>
      </c>
      <c r="E10" s="4">
        <f>COUNTIF(Resp4[4.28],B10)</f>
        <v>5</v>
      </c>
      <c r="F10" s="4">
        <f t="shared" si="0"/>
        <v>7.35</v>
      </c>
      <c r="G10" s="3">
        <f t="shared" si="1"/>
        <v>21.739000000000001</v>
      </c>
    </row>
    <row r="11" spans="1:7" x14ac:dyDescent="0.25">
      <c r="B11" s="2" t="s">
        <v>199</v>
      </c>
      <c r="C11" s="4">
        <f>COUNTIFS(Resp4[Vínculo],"tecnico",Resp4[4.28],B11)</f>
        <v>0</v>
      </c>
      <c r="D11" s="4">
        <f>COUNTIFS(Resp4[Vínculo],"docente",Resp4[4.28],B11)</f>
        <v>6</v>
      </c>
      <c r="E11" s="4">
        <f>COUNTIF(Resp4[4.28],B11)</f>
        <v>6</v>
      </c>
      <c r="F11" s="4">
        <f t="shared" si="0"/>
        <v>8.82</v>
      </c>
      <c r="G11" s="3">
        <f t="shared" si="1"/>
        <v>26.087</v>
      </c>
    </row>
    <row r="12" spans="1:7" x14ac:dyDescent="0.25">
      <c r="B12" s="7" t="s">
        <v>200</v>
      </c>
      <c r="C12" s="4">
        <f>COUNTIFS(Resp4[Vínculo],"tecnico",Resp4[4.28],B12)</f>
        <v>0</v>
      </c>
      <c r="D12" s="4">
        <f>COUNTIFS(Resp4[Vínculo],"docente",Resp4[4.28],B12)</f>
        <v>3</v>
      </c>
      <c r="E12" s="4">
        <f>COUNTIF(Resp4[4.28],B12)</f>
        <v>3</v>
      </c>
      <c r="F12" s="22">
        <f t="shared" si="0"/>
        <v>4.41</v>
      </c>
      <c r="G12" s="3">
        <f t="shared" si="1"/>
        <v>13.042999999999999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13.042999999999999</v>
      </c>
    </row>
    <row r="26" spans="2:7" x14ac:dyDescent="0.25">
      <c r="B26" s="16" t="s">
        <v>505</v>
      </c>
      <c r="C26" s="16" t="s">
        <v>23</v>
      </c>
      <c r="D26" s="14">
        <f>D7</f>
        <v>6</v>
      </c>
      <c r="E26" s="15">
        <f>ROUND(D26/SUM(D$25:D$28)*100,3)</f>
        <v>26.087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21.739000000000001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39.130000000000003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3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85</v>
      </c>
    </row>
    <row r="2" spans="1:7" x14ac:dyDescent="0.25">
      <c r="A2" s="2" t="str">
        <f>TEXT(A1,"0.00")</f>
        <v>4.29</v>
      </c>
      <c r="B2" s="2" t="str">
        <f>VLOOKUP(A$2,Eixo4[],3,FALSE)</f>
        <v>Com relação à oferta de editais anuais de apoio à pesquisa destinados aos técnicos, avalie os itens a seguir: [Edital de Apoio a Atividades de Pesquisa]</v>
      </c>
    </row>
    <row r="3" spans="1:7" x14ac:dyDescent="0.25">
      <c r="A3" s="2" t="s">
        <v>494</v>
      </c>
      <c r="B3" s="2" t="str">
        <f>VLOOKUP(A$2,Eixo4[],4,FALSE)</f>
        <v>Eixo 4: Questão 29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34</v>
      </c>
      <c r="E6" s="4">
        <f>E13-SUM(E7:E12)</f>
        <v>62</v>
      </c>
      <c r="F6" s="4">
        <f>ROUND($E6/E$13*100,2)</f>
        <v>91.18</v>
      </c>
    </row>
    <row r="7" spans="1:7" x14ac:dyDescent="0.25">
      <c r="B7" s="2" t="s">
        <v>201</v>
      </c>
      <c r="C7" s="4">
        <f>COUNTIFS(Resp4[Vínculo],"tecnico",Resp4[4.29],B7)</f>
        <v>1</v>
      </c>
      <c r="D7" s="4">
        <f>COUNTIFS(Resp4[Vínculo],"docente",Resp4[4.29],B7)</f>
        <v>0</v>
      </c>
      <c r="E7" s="4">
        <f>COUNTIF(Resp4[4.29],B7)</f>
        <v>1</v>
      </c>
      <c r="F7" s="4">
        <f t="shared" ref="F7:F13" si="0">ROUND($E7/E$13*100,2)</f>
        <v>1.47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COUNTIFS(Resp4[Vínculo],"tecnico",Resp4[4.29],B8)</f>
        <v>1</v>
      </c>
      <c r="D8" s="4">
        <f>COUNTIFS(Resp4[Vínculo],"docente",Resp4[4.29],B8)</f>
        <v>0</v>
      </c>
      <c r="E8" s="4">
        <f>COUNTIF(Resp4[4.29],B8)</f>
        <v>1</v>
      </c>
      <c r="F8" s="4">
        <f t="shared" si="0"/>
        <v>1.47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COUNTIFS(Resp4[Vínculo],"tecnico",Resp4[4.29],B9)</f>
        <v>0</v>
      </c>
      <c r="D9" s="4">
        <f>COUNTIFS(Resp4[Vínculo],"docente",Resp4[4.29],B9)</f>
        <v>0</v>
      </c>
      <c r="E9" s="4">
        <f>COUNTIF(Resp4[4.29],B9)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COUNTIFS(Resp4[Vínculo],"tecnico",Resp4[4.29],B10)</f>
        <v>1</v>
      </c>
      <c r="D10" s="4">
        <f>COUNTIFS(Resp4[Vínculo],"docente",Resp4[4.29],B10)</f>
        <v>0</v>
      </c>
      <c r="E10" s="4">
        <f>COUNTIF(Resp4[4.29],B10)</f>
        <v>1</v>
      </c>
      <c r="F10" s="4">
        <f t="shared" si="0"/>
        <v>1.47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COUNTIFS(Resp4[Vínculo],"tecnico",Resp4[4.29],B11)</f>
        <v>1</v>
      </c>
      <c r="D11" s="4">
        <f>COUNTIFS(Resp4[Vínculo],"docente",Resp4[4.29],B11)</f>
        <v>0</v>
      </c>
      <c r="E11" s="4">
        <f>COUNTIF(Resp4[4.29],B11)</f>
        <v>1</v>
      </c>
      <c r="F11" s="4">
        <f t="shared" si="0"/>
        <v>1.47</v>
      </c>
      <c r="G11" s="3">
        <f t="shared" si="1"/>
        <v>16.667000000000002</v>
      </c>
    </row>
    <row r="12" spans="1:7" x14ac:dyDescent="0.25">
      <c r="B12" s="7" t="s">
        <v>200</v>
      </c>
      <c r="C12" s="4">
        <f>COUNTIFS(Resp4[Vínculo],"tecnico",Resp4[4.29],B12)</f>
        <v>2</v>
      </c>
      <c r="D12" s="4">
        <f>COUNTIFS(Resp4[Vínculo],"docente",Resp4[4.29],B12)</f>
        <v>0</v>
      </c>
      <c r="E12" s="4">
        <f>COUNTIF(Resp4[4.29],B12)</f>
        <v>2</v>
      </c>
      <c r="F12" s="22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68" t="s">
        <v>33</v>
      </c>
      <c r="C28" s="68" t="s">
        <v>32</v>
      </c>
      <c r="D28" s="69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9" style="2" customWidth="1"/>
    <col min="3" max="3" width="1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86</v>
      </c>
    </row>
    <row r="2" spans="1:7" x14ac:dyDescent="0.25">
      <c r="A2" s="2" t="str">
        <f>TEXT(A1,"0.00")</f>
        <v>4.30</v>
      </c>
      <c r="B2" s="2" t="str">
        <f>VLOOKUP(A$2,Eixo4[],3,FALSE)</f>
        <v>Com relação à oferta de editais anuais de apoio à pesquisa destinados aos técnicos, avalie os itens a seguir: [Edital de Apoio à Manutenção de Equipamentos de Pesquisa]</v>
      </c>
    </row>
    <row r="3" spans="1:7" x14ac:dyDescent="0.25">
      <c r="A3" s="2" t="s">
        <v>494</v>
      </c>
      <c r="B3" s="2" t="str">
        <f>VLOOKUP(A$2,Eixo4[],4,FALSE)</f>
        <v>Eixo 4: Questão 30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34</v>
      </c>
      <c r="E6" s="4">
        <f>E13-SUM(E7:E12)</f>
        <v>62</v>
      </c>
      <c r="F6" s="4">
        <f>ROUND($E6/E$13*100,2)</f>
        <v>91.18</v>
      </c>
    </row>
    <row r="7" spans="1:7" x14ac:dyDescent="0.25">
      <c r="B7" s="2" t="s">
        <v>201</v>
      </c>
      <c r="C7" s="4">
        <f>COUNTIFS(Resp4[Vínculo],"tecnico",Resp4[4.30],B7)</f>
        <v>1</v>
      </c>
      <c r="D7" s="4">
        <f>COUNTIFS(Resp4[Vínculo],"docente",Resp4[4.30],B7)</f>
        <v>0</v>
      </c>
      <c r="E7" s="4">
        <f>COUNTIF(Resp4[4.30],B7)</f>
        <v>1</v>
      </c>
      <c r="F7" s="4">
        <f t="shared" ref="F7:F13" si="0">ROUND($E7/E$13*100,2)</f>
        <v>1.47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COUNTIFS(Resp4[Vínculo],"tecnico",Resp4[4.30],B8)</f>
        <v>1</v>
      </c>
      <c r="D8" s="4">
        <f>COUNTIFS(Resp4[Vínculo],"docente",Resp4[4.30],B8)</f>
        <v>0</v>
      </c>
      <c r="E8" s="4">
        <f>COUNTIF(Resp4[4.30],B8)</f>
        <v>1</v>
      </c>
      <c r="F8" s="4">
        <f t="shared" si="0"/>
        <v>1.47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COUNTIFS(Resp4[Vínculo],"tecnico",Resp4[4.30],B9)</f>
        <v>0</v>
      </c>
      <c r="D9" s="4">
        <f>COUNTIFS(Resp4[Vínculo],"docente",Resp4[4.30],B9)</f>
        <v>0</v>
      </c>
      <c r="E9" s="4">
        <f>COUNTIF(Resp4[4.30],B9)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COUNTIFS(Resp4[Vínculo],"tecnico",Resp4[4.30],B10)</f>
        <v>1</v>
      </c>
      <c r="D10" s="4">
        <f>COUNTIFS(Resp4[Vínculo],"docente",Resp4[4.30],B10)</f>
        <v>0</v>
      </c>
      <c r="E10" s="4">
        <f>COUNTIF(Resp4[4.30],B10)</f>
        <v>1</v>
      </c>
      <c r="F10" s="4">
        <f t="shared" si="0"/>
        <v>1.47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COUNTIFS(Resp4[Vínculo],"tecnico",Resp4[4.30],B11)</f>
        <v>1</v>
      </c>
      <c r="D11" s="4">
        <f>COUNTIFS(Resp4[Vínculo],"docente",Resp4[4.30],B11)</f>
        <v>0</v>
      </c>
      <c r="E11" s="4">
        <f>COUNTIF(Resp4[4.30],B11)</f>
        <v>1</v>
      </c>
      <c r="F11" s="4">
        <f t="shared" si="0"/>
        <v>1.47</v>
      </c>
      <c r="G11" s="3">
        <f t="shared" si="1"/>
        <v>16.667000000000002</v>
      </c>
    </row>
    <row r="12" spans="1:7" x14ac:dyDescent="0.25">
      <c r="B12" s="7" t="s">
        <v>200</v>
      </c>
      <c r="C12" s="4">
        <f>COUNTIFS(Resp4[Vínculo],"tecnico",Resp4[4.30],B12)</f>
        <v>2</v>
      </c>
      <c r="D12" s="4">
        <f>COUNTIFS(Resp4[Vínculo],"docente",Resp4[4.30],B12)</f>
        <v>0</v>
      </c>
      <c r="E12" s="4">
        <f>COUNTIF(Resp4[4.30],B12)</f>
        <v>2</v>
      </c>
      <c r="F12" s="22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42578125" style="2" customWidth="1"/>
    <col min="4" max="4" width="12.7109375" style="2" customWidth="1"/>
    <col min="5" max="5" width="13.7109375" style="2" customWidth="1"/>
    <col min="6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87</v>
      </c>
    </row>
    <row r="2" spans="1:7" x14ac:dyDescent="0.25">
      <c r="A2" s="2" t="str">
        <f>TEXT(A1,"0.00")</f>
        <v>4.31</v>
      </c>
      <c r="B2" s="2" t="str">
        <f>VLOOKUP(A$2,Eixo4[],3,FALSE)</f>
        <v>Com relação à oferta de editais anuais de apoio à pesquisa destinados aos técnicos, avalie os itens a seguir: [Edital de Apoio a Publicações Científicas Internacionais]</v>
      </c>
    </row>
    <row r="3" spans="1:7" x14ac:dyDescent="0.25">
      <c r="A3" s="2" t="s">
        <v>494</v>
      </c>
      <c r="B3" s="2" t="str">
        <f>VLOOKUP(A$2,Eixo4[],4,FALSE)</f>
        <v>Eixo 4: Questão 31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34</v>
      </c>
      <c r="E6" s="4">
        <f>E13-SUM(E7:E12)</f>
        <v>62</v>
      </c>
      <c r="F6" s="4">
        <f>ROUND($E6/E$13*100,2)</f>
        <v>91.18</v>
      </c>
    </row>
    <row r="7" spans="1:7" x14ac:dyDescent="0.25">
      <c r="B7" s="2" t="s">
        <v>201</v>
      </c>
      <c r="C7" s="4">
        <f>COUNTIFS(Resp4[Vínculo],"tecnico",Resp4[4.31],B7)</f>
        <v>1</v>
      </c>
      <c r="D7" s="4">
        <f>COUNTIFS(Resp4[Vínculo],"docente",Resp4[4.31],B7)</f>
        <v>0</v>
      </c>
      <c r="E7" s="4">
        <f>COUNTIF(Resp4[4.31],B7)</f>
        <v>1</v>
      </c>
      <c r="F7" s="4">
        <f t="shared" ref="F7:F13" si="0">ROUND($E7/E$13*100,2)</f>
        <v>1.47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COUNTIFS(Resp4[Vínculo],"tecnico",Resp4[4.31],B8)</f>
        <v>1</v>
      </c>
      <c r="D8" s="4">
        <f>COUNTIFS(Resp4[Vínculo],"docente",Resp4[4.31],B8)</f>
        <v>0</v>
      </c>
      <c r="E8" s="4">
        <f>COUNTIF(Resp4[4.31],B8)</f>
        <v>1</v>
      </c>
      <c r="F8" s="4">
        <f t="shared" si="0"/>
        <v>1.47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COUNTIFS(Resp4[Vínculo],"tecnico",Resp4[4.31],B9)</f>
        <v>0</v>
      </c>
      <c r="D9" s="4">
        <f>COUNTIFS(Resp4[Vínculo],"docente",Resp4[4.31],B9)</f>
        <v>0</v>
      </c>
      <c r="E9" s="4">
        <f>COUNTIF(Resp4[4.31],B9)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COUNTIFS(Resp4[Vínculo],"tecnico",Resp4[4.31],B10)</f>
        <v>1</v>
      </c>
      <c r="D10" s="4">
        <f>COUNTIFS(Resp4[Vínculo],"docente",Resp4[4.31],B10)</f>
        <v>0</v>
      </c>
      <c r="E10" s="4">
        <f>COUNTIF(Resp4[4.31],B10)</f>
        <v>1</v>
      </c>
      <c r="F10" s="4">
        <f t="shared" si="0"/>
        <v>1.47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COUNTIFS(Resp4[Vínculo],"tecnico",Resp4[4.31],B11)</f>
        <v>1</v>
      </c>
      <c r="D11" s="4">
        <f>COUNTIFS(Resp4[Vínculo],"docente",Resp4[4.31],B11)</f>
        <v>0</v>
      </c>
      <c r="E11" s="4">
        <f>COUNTIF(Resp4[4.31],B11)</f>
        <v>1</v>
      </c>
      <c r="F11" s="4">
        <f t="shared" si="0"/>
        <v>1.47</v>
      </c>
      <c r="G11" s="3">
        <f t="shared" si="1"/>
        <v>16.667000000000002</v>
      </c>
    </row>
    <row r="12" spans="1:7" x14ac:dyDescent="0.25">
      <c r="B12" s="7" t="s">
        <v>200</v>
      </c>
      <c r="C12" s="4">
        <f>COUNTIFS(Resp4[Vínculo],"tecnico",Resp4[4.31],B12)</f>
        <v>2</v>
      </c>
      <c r="D12" s="4">
        <f>COUNTIFS(Resp4[Vínculo],"docente",Resp4[4.31],B12)</f>
        <v>0</v>
      </c>
      <c r="E12" s="4">
        <f>COUNTIF(Resp4[4.31],B12)</f>
        <v>2</v>
      </c>
      <c r="F12" s="22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85546875" style="2" customWidth="1"/>
    <col min="3" max="3" width="18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88</v>
      </c>
    </row>
    <row r="2" spans="1:7" x14ac:dyDescent="0.25">
      <c r="A2" s="2" t="str">
        <f>TEXT(A1,"0.00")</f>
        <v>4.32</v>
      </c>
      <c r="B2" s="2" t="str">
        <f>VLOOKUP(A$2,Eixo4[],3,FALSE)</f>
        <v>Com relação à oferta de editais anuais de apoio à pesquisa destinados aos técnicos, avalie os itens a seguir: [Edital de apoio à participação e organização de eventos]</v>
      </c>
    </row>
    <row r="3" spans="1:7" x14ac:dyDescent="0.25">
      <c r="A3" s="2" t="s">
        <v>494</v>
      </c>
      <c r="B3" s="2" t="str">
        <f>VLOOKUP(A$2,Eixo4[],4,FALSE)</f>
        <v>Eixo 4: Questão 32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34</v>
      </c>
      <c r="E6" s="4">
        <f>E13-SUM(E7:E12)</f>
        <v>62</v>
      </c>
      <c r="F6" s="4">
        <f>ROUND($E6/E$13*100,2)</f>
        <v>91.18</v>
      </c>
    </row>
    <row r="7" spans="1:7" x14ac:dyDescent="0.25">
      <c r="B7" s="2" t="s">
        <v>201</v>
      </c>
      <c r="C7" s="4">
        <f>COUNTIFS(Resp4[Vínculo],"tecnico",Resp4[4.32],B7)</f>
        <v>1</v>
      </c>
      <c r="D7" s="4">
        <f>COUNTIFS(Resp4[Vínculo],"docente",Resp4[4.32],B7)</f>
        <v>0</v>
      </c>
      <c r="E7" s="4">
        <f>COUNTIF(Resp4[4.32],B7)</f>
        <v>1</v>
      </c>
      <c r="F7" s="4">
        <f t="shared" ref="F7:F13" si="0">ROUND($E7/E$13*100,2)</f>
        <v>1.47</v>
      </c>
      <c r="G7" s="3">
        <f t="shared" ref="G7:G12" si="1">ROUND($E7/SUM($E$7:$E$12)*100,3)</f>
        <v>16.667000000000002</v>
      </c>
    </row>
    <row r="8" spans="1:7" x14ac:dyDescent="0.25">
      <c r="B8" s="2" t="s">
        <v>206</v>
      </c>
      <c r="C8" s="4">
        <f>COUNTIFS(Resp4[Vínculo],"tecnico",Resp4[4.32],B8)</f>
        <v>1</v>
      </c>
      <c r="D8" s="4">
        <f>COUNTIFS(Resp4[Vínculo],"docente",Resp4[4.32],B8)</f>
        <v>0</v>
      </c>
      <c r="E8" s="4">
        <f>COUNTIF(Resp4[4.32],B8)</f>
        <v>1</v>
      </c>
      <c r="F8" s="4">
        <f t="shared" si="0"/>
        <v>1.47</v>
      </c>
      <c r="G8" s="3">
        <f t="shared" si="1"/>
        <v>16.667000000000002</v>
      </c>
    </row>
    <row r="9" spans="1:7" x14ac:dyDescent="0.25">
      <c r="B9" s="2" t="s">
        <v>202</v>
      </c>
      <c r="C9" s="4">
        <f>COUNTIFS(Resp4[Vínculo],"tecnico",Resp4[4.32],B9)</f>
        <v>0</v>
      </c>
      <c r="D9" s="4">
        <f>COUNTIFS(Resp4[Vínculo],"docente",Resp4[4.32],B9)</f>
        <v>0</v>
      </c>
      <c r="E9" s="4">
        <f>COUNTIF(Resp4[4.32],B9)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COUNTIFS(Resp4[Vínculo],"tecnico",Resp4[4.32],B10)</f>
        <v>1</v>
      </c>
      <c r="D10" s="4">
        <f>COUNTIFS(Resp4[Vínculo],"docente",Resp4[4.32],B10)</f>
        <v>0</v>
      </c>
      <c r="E10" s="4">
        <f>COUNTIF(Resp4[4.32],B10)</f>
        <v>1</v>
      </c>
      <c r="F10" s="4">
        <f t="shared" si="0"/>
        <v>1.47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COUNTIFS(Resp4[Vínculo],"tecnico",Resp4[4.32],B11)</f>
        <v>1</v>
      </c>
      <c r="D11" s="4">
        <f>COUNTIFS(Resp4[Vínculo],"docente",Resp4[4.32],B11)</f>
        <v>0</v>
      </c>
      <c r="E11" s="4">
        <f>COUNTIF(Resp4[4.32],B11)</f>
        <v>1</v>
      </c>
      <c r="F11" s="4">
        <f t="shared" si="0"/>
        <v>1.47</v>
      </c>
      <c r="G11" s="3">
        <f t="shared" si="1"/>
        <v>16.667000000000002</v>
      </c>
    </row>
    <row r="12" spans="1:7" x14ac:dyDescent="0.25">
      <c r="B12" s="7" t="s">
        <v>200</v>
      </c>
      <c r="C12" s="4">
        <f>COUNTIFS(Resp4[Vínculo],"tecnico",Resp4[4.32],B12)</f>
        <v>2</v>
      </c>
      <c r="D12" s="4">
        <f>COUNTIFS(Resp4[Vínculo],"docente",Resp4[4.32],B12)</f>
        <v>0</v>
      </c>
      <c r="E12" s="4">
        <f>COUNTIF(Resp4[4.32],B12)</f>
        <v>2</v>
      </c>
      <c r="F12" s="22">
        <f t="shared" si="0"/>
        <v>2.94</v>
      </c>
      <c r="G12" s="3">
        <f t="shared" si="1"/>
        <v>33.332999999999998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v>0</v>
      </c>
    </row>
    <row r="28" spans="2:7" x14ac:dyDescent="0.25">
      <c r="B28" s="32" t="s">
        <v>33</v>
      </c>
      <c r="C28" s="32" t="s">
        <v>32</v>
      </c>
      <c r="D28" s="18">
        <f>SUM(D11:D12)</f>
        <v>0</v>
      </c>
      <c r="E28" s="70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89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4.33</v>
      </c>
      <c r="B2" s="2" t="str">
        <f>VLOOKUP(A$2, Eixo4[], 3, FALSE)</f>
        <v>Você participa de algum grupo de pesquisa?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33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COUNTIFS(Resp4[Vínculo],"tecnico",Resp4[4.33],B7)</f>
        <v>1</v>
      </c>
      <c r="D7" s="4">
        <f>COUNTIFS(Resp4[Vínculo],"docente",Resp4[4.33],B7)</f>
        <v>22</v>
      </c>
      <c r="E7" s="2">
        <f>COUNTIF(Resp4[4.33],B7)</f>
        <v>23</v>
      </c>
      <c r="F7" s="4">
        <f t="shared" ref="F7:F9" si="0">ROUND($E7/E$9*100,2)</f>
        <v>33.82</v>
      </c>
      <c r="G7" s="4">
        <f>ROUND($E7/SUM($E$7:$E$8)*100,2)</f>
        <v>33.82</v>
      </c>
      <c r="H7" s="2"/>
    </row>
    <row r="8" spans="1:8" x14ac:dyDescent="0.25">
      <c r="A8" s="2"/>
      <c r="B8" s="2" t="s">
        <v>194</v>
      </c>
      <c r="C8" s="4">
        <f>COUNTIFS(Resp4[Vínculo],"tecnico",Resp4[4.33],B8)</f>
        <v>33</v>
      </c>
      <c r="D8" s="4">
        <f>COUNTIFS(Resp4[Vínculo],"docente",Resp4[4.33],B8)</f>
        <v>12</v>
      </c>
      <c r="E8" s="2">
        <f>COUNTIF(Resp4[4.33],B8)</f>
        <v>45</v>
      </c>
      <c r="F8" s="22">
        <f t="shared" si="0"/>
        <v>66.180000000000007</v>
      </c>
      <c r="G8" s="4">
        <f>ROUND($E8/SUM($E$7:$E$8)*100,2)</f>
        <v>66.180000000000007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7" style="2" customWidth="1"/>
    <col min="3" max="3" width="21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90</v>
      </c>
    </row>
    <row r="2" spans="1:7" x14ac:dyDescent="0.25">
      <c r="A2" s="2" t="str">
        <f>TEXT(A1,"0.00")</f>
        <v>4.34</v>
      </c>
      <c r="B2" s="2" t="str">
        <f>VLOOKUP(A$2,Eixo4[],3,FALSE)</f>
        <v>Com relação aos grupos de pesquisa, avalie: [O grupo de pesquisa como fórum de discussão e ampliação de conhecimento]</v>
      </c>
    </row>
    <row r="3" spans="1:7" x14ac:dyDescent="0.25">
      <c r="A3" s="2" t="s">
        <v>494</v>
      </c>
      <c r="B3" s="2" t="str">
        <f>VLOOKUP(A$2,Eixo4[],4,FALSE)</f>
        <v>Eixo 4: Questão 34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12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COUNTIFS(Resp4[Vínculo],"tecnico",Resp4[4.34],B7)</f>
        <v>0</v>
      </c>
      <c r="D7" s="4">
        <f>COUNTIFS(Resp4[Vínculo],"docente",Resp4[4.34],B7)</f>
        <v>2</v>
      </c>
      <c r="E7" s="4">
        <f>COUNTIF(Resp4[4.34],B7)</f>
        <v>2</v>
      </c>
      <c r="F7" s="4">
        <f t="shared" ref="F7:F13" si="0">ROUND($E7/E$13*100,2)</f>
        <v>2.94</v>
      </c>
      <c r="G7" s="3">
        <f t="shared" ref="G7:G12" si="1">ROUND($E7/SUM($E$7:$E$12)*100,3)</f>
        <v>8.6959999999999997</v>
      </c>
    </row>
    <row r="8" spans="1:7" x14ac:dyDescent="0.25">
      <c r="B8" s="2" t="s">
        <v>206</v>
      </c>
      <c r="C8" s="4">
        <f>COUNTIFS(Resp4[Vínculo],"tecnico",Resp4[4.34],B8)</f>
        <v>0</v>
      </c>
      <c r="D8" s="4">
        <f>COUNTIFS(Resp4[Vínculo],"docente",Resp4[4.34],B8)</f>
        <v>0</v>
      </c>
      <c r="E8" s="4">
        <f>COUNTIF(Resp4[4.34],B8)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COUNTIFS(Resp4[Vínculo],"tecnico",Resp4[4.34],B9)</f>
        <v>0</v>
      </c>
      <c r="D9" s="4">
        <f>COUNTIFS(Resp4[Vínculo],"docente",Resp4[4.34],B9)</f>
        <v>0</v>
      </c>
      <c r="E9" s="4">
        <f>COUNTIF(Resp4[4.34],B9)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COUNTIFS(Resp4[Vínculo],"tecnico",Resp4[4.34],B10)</f>
        <v>0</v>
      </c>
      <c r="D10" s="4">
        <f>COUNTIFS(Resp4[Vínculo],"docente",Resp4[4.34],B10)</f>
        <v>1</v>
      </c>
      <c r="E10" s="4">
        <f>COUNTIF(Resp4[4.34],B10)</f>
        <v>1</v>
      </c>
      <c r="F10" s="4">
        <f t="shared" si="0"/>
        <v>1.47</v>
      </c>
      <c r="G10" s="3">
        <f t="shared" si="1"/>
        <v>4.3479999999999999</v>
      </c>
    </row>
    <row r="11" spans="1:7" x14ac:dyDescent="0.25">
      <c r="B11" s="2" t="s">
        <v>199</v>
      </c>
      <c r="C11" s="4">
        <f>COUNTIFS(Resp4[Vínculo],"tecnico",Resp4[4.34],B11)</f>
        <v>1</v>
      </c>
      <c r="D11" s="4">
        <f>COUNTIFS(Resp4[Vínculo],"docente",Resp4[4.34],B11)</f>
        <v>11</v>
      </c>
      <c r="E11" s="4">
        <f>COUNTIF(Resp4[4.34],B11)</f>
        <v>12</v>
      </c>
      <c r="F11" s="4">
        <f t="shared" si="0"/>
        <v>17.649999999999999</v>
      </c>
      <c r="G11" s="3">
        <f t="shared" si="1"/>
        <v>52.173999999999999</v>
      </c>
    </row>
    <row r="12" spans="1:7" x14ac:dyDescent="0.25">
      <c r="B12" s="7" t="s">
        <v>200</v>
      </c>
      <c r="C12" s="4">
        <f>COUNTIFS(Resp4[Vínculo],"tecnico",Resp4[4.34],B12)</f>
        <v>0</v>
      </c>
      <c r="D12" s="4">
        <f>COUNTIFS(Resp4[Vínculo],"docente",Resp4[4.34],B12)</f>
        <v>8</v>
      </c>
      <c r="E12" s="4">
        <f>COUNTIF(Resp4[4.34],B12)</f>
        <v>8</v>
      </c>
      <c r="F12" s="22">
        <f t="shared" si="0"/>
        <v>11.76</v>
      </c>
      <c r="G12" s="3">
        <f t="shared" si="1"/>
        <v>34.783000000000001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4.5449999999999999</v>
      </c>
    </row>
    <row r="28" spans="2:7" x14ac:dyDescent="0.25">
      <c r="B28" s="32" t="s">
        <v>33</v>
      </c>
      <c r="C28" s="32" t="s">
        <v>32</v>
      </c>
      <c r="D28" s="18">
        <f>SUM(D11:D12)</f>
        <v>19</v>
      </c>
      <c r="E28" s="19">
        <f>ROUND(D28/SUM(D$25:D$28)*100,3)</f>
        <v>86.364000000000004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customWidth="1"/>
    <col min="2" max="2" width="16.85546875" customWidth="1"/>
    <col min="3" max="3" width="15.5703125" customWidth="1"/>
  </cols>
  <sheetData>
    <row r="1" spans="1:7" x14ac:dyDescent="0.25">
      <c r="A1" s="2" t="s">
        <v>58</v>
      </c>
      <c r="B1" s="2"/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3">
        <f>ROUND($E6/E$13*100,2)</f>
        <v>55.88</v>
      </c>
      <c r="G6" s="3"/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1</v>
      </c>
      <c r="E7" s="4">
        <f>COUNTIF(Resp4[4.02],B7)</f>
        <v>1</v>
      </c>
      <c r="F7" s="3">
        <f t="shared" ref="F7:F13" si="0">ROUND($E7/E$13*100,2)</f>
        <v>1.47</v>
      </c>
      <c r="G7" s="3">
        <f t="shared" ref="G7:G12" si="1">ROUND($E7/SUM($E$7:$E$12)*100,3)</f>
        <v>3.3330000000000002</v>
      </c>
    </row>
    <row r="8" spans="1:7" x14ac:dyDescent="0.25">
      <c r="B8" s="2" t="s">
        <v>206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1.47</v>
      </c>
      <c r="G8" s="3">
        <f t="shared" si="1"/>
        <v>3.3330000000000002</v>
      </c>
    </row>
    <row r="9" spans="1:7" x14ac:dyDescent="0.25">
      <c r="B9" s="2" t="s">
        <v>202</v>
      </c>
      <c r="C9" s="4">
        <f>COUNTIFS(Resp4[Vínculo],"tecnico",Resp4[4.02],B$9)</f>
        <v>1</v>
      </c>
      <c r="D9" s="4">
        <f>COUNTIFS(Resp4[Vínculo],"docente",Resp4[4.02],B9)</f>
        <v>1</v>
      </c>
      <c r="E9" s="4">
        <f>COUNTIF(Resp4[4.02],B9)</f>
        <v>2</v>
      </c>
      <c r="F9" s="3">
        <f t="shared" si="0"/>
        <v>2.94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5</v>
      </c>
      <c r="E10" s="4">
        <f>COUNTIF(Resp4[4.02],B10)</f>
        <v>5</v>
      </c>
      <c r="F10" s="3">
        <f t="shared" si="0"/>
        <v>7.35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COUNTIFS(Resp4[Vínculo],"tecnico",Resp4[4.02],B$11)</f>
        <v>2</v>
      </c>
      <c r="D11" s="4">
        <f>COUNTIFS(Resp4[Vínculo],"docente",Resp4[4.02],B11)</f>
        <v>15</v>
      </c>
      <c r="E11" s="4">
        <f>COUNTIF(Resp4[4.02],B11)</f>
        <v>17</v>
      </c>
      <c r="F11" s="3">
        <f t="shared" si="0"/>
        <v>25</v>
      </c>
      <c r="G11" s="3">
        <f t="shared" si="1"/>
        <v>56.667000000000002</v>
      </c>
    </row>
    <row r="12" spans="1:7" x14ac:dyDescent="0.25">
      <c r="B12" s="7" t="s">
        <v>200</v>
      </c>
      <c r="C12" s="4">
        <f>COUNTIFS(Resp4[Vínculo],"tecnico",Resp4[4.02],B$12)</f>
        <v>2</v>
      </c>
      <c r="D12" s="4">
        <f>COUNTIFS(Resp4[Vínculo],"docente",Resp4[4.02],B12)</f>
        <v>2</v>
      </c>
      <c r="E12" s="4">
        <f>COUNTIF(Resp4[4.02],B12)</f>
        <v>4</v>
      </c>
      <c r="F12" s="24">
        <f t="shared" si="0"/>
        <v>5.88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7" spans="2:5" x14ac:dyDescent="0.25">
      <c r="B17" s="21" t="s">
        <v>503</v>
      </c>
      <c r="C17" s="21" t="s">
        <v>504</v>
      </c>
      <c r="D17" s="5" t="s">
        <v>496</v>
      </c>
      <c r="E17" s="6" t="s">
        <v>499</v>
      </c>
    </row>
    <row r="18" spans="2:5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</row>
    <row r="19" spans="2:5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</row>
    <row r="20" spans="2:5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5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5" x14ac:dyDescent="0.25">
      <c r="B22" s="2"/>
      <c r="C22" s="2"/>
      <c r="D22" s="2"/>
      <c r="E22" s="20"/>
    </row>
    <row r="23" spans="2:5" x14ac:dyDescent="0.25">
      <c r="B23" s="2"/>
      <c r="C23" s="2"/>
      <c r="D23" s="2"/>
      <c r="E23" s="20"/>
    </row>
    <row r="24" spans="2:5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5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5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</v>
      </c>
    </row>
    <row r="27" spans="2:5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5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68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0.285156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91</v>
      </c>
    </row>
    <row r="2" spans="1:7" x14ac:dyDescent="0.25">
      <c r="A2" s="2" t="str">
        <f>TEXT(A1,"0.00")</f>
        <v>4.35</v>
      </c>
      <c r="B2" s="2" t="str">
        <f>VLOOKUP(A$2,Eixo4[],3,FALSE)</f>
        <v>Com relação aos grupos de pesquisa, avalie: [O fomento à Rede de Contatos Futuros (pesquisadores, empresas, etc.)]</v>
      </c>
    </row>
    <row r="3" spans="1:7" x14ac:dyDescent="0.25">
      <c r="A3" s="2" t="s">
        <v>494</v>
      </c>
      <c r="B3" s="2" t="str">
        <f>VLOOKUP(A$2,Eixo4[],4,FALSE)</f>
        <v>Eixo 4: Questão 35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12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COUNTIFS(Resp4[Vínculo],"tecnico",Resp4[4.35],B7)</f>
        <v>0</v>
      </c>
      <c r="D7" s="4">
        <f>COUNTIFS(Resp4[Vínculo],"docente",Resp4[4.35],B7)</f>
        <v>2</v>
      </c>
      <c r="E7" s="4">
        <f>COUNTIF(Resp4[4.35],B7)</f>
        <v>2</v>
      </c>
      <c r="F7" s="4">
        <f t="shared" ref="F7:F13" si="0">ROUND($E7/E$13*100,2)</f>
        <v>2.94</v>
      </c>
      <c r="G7" s="3">
        <f t="shared" ref="G7:G12" si="1">ROUND($E7/SUM($E$7:$E$12)*100,3)</f>
        <v>8.6959999999999997</v>
      </c>
    </row>
    <row r="8" spans="1:7" x14ac:dyDescent="0.25">
      <c r="B8" s="2" t="s">
        <v>206</v>
      </c>
      <c r="C8" s="4">
        <f>COUNTIFS(Resp4[Vínculo],"tecnico",Resp4[4.35],B8)</f>
        <v>0</v>
      </c>
      <c r="D8" s="4">
        <f>COUNTIFS(Resp4[Vínculo],"docente",Resp4[4.35],B8)</f>
        <v>2</v>
      </c>
      <c r="E8" s="4">
        <f>COUNTIF(Resp4[4.35],B8)</f>
        <v>2</v>
      </c>
      <c r="F8" s="4">
        <f t="shared" si="0"/>
        <v>2.94</v>
      </c>
      <c r="G8" s="3">
        <f t="shared" si="1"/>
        <v>8.6959999999999997</v>
      </c>
    </row>
    <row r="9" spans="1:7" x14ac:dyDescent="0.25">
      <c r="B9" s="2" t="s">
        <v>202</v>
      </c>
      <c r="C9" s="4">
        <f>COUNTIFS(Resp4[Vínculo],"tecnico",Resp4[4.35],B9)</f>
        <v>0</v>
      </c>
      <c r="D9" s="4">
        <f>COUNTIFS(Resp4[Vínculo],"docente",Resp4[4.35],B9)</f>
        <v>0</v>
      </c>
      <c r="E9" s="4">
        <f>COUNTIF(Resp4[4.35],B9)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COUNTIFS(Resp4[Vínculo],"tecnico",Resp4[4.35],B10)</f>
        <v>1</v>
      </c>
      <c r="D10" s="4">
        <f>COUNTIFS(Resp4[Vínculo],"docente",Resp4[4.35],B10)</f>
        <v>7</v>
      </c>
      <c r="E10" s="4">
        <f>COUNTIF(Resp4[4.35],B10)</f>
        <v>8</v>
      </c>
      <c r="F10" s="4">
        <f t="shared" si="0"/>
        <v>11.76</v>
      </c>
      <c r="G10" s="3">
        <f t="shared" si="1"/>
        <v>34.783000000000001</v>
      </c>
    </row>
    <row r="11" spans="1:7" x14ac:dyDescent="0.25">
      <c r="B11" s="2" t="s">
        <v>199</v>
      </c>
      <c r="C11" s="4">
        <f>COUNTIFS(Resp4[Vínculo],"tecnico",Resp4[4.35],B11)</f>
        <v>0</v>
      </c>
      <c r="D11" s="4">
        <f>COUNTIFS(Resp4[Vínculo],"docente",Resp4[4.35],B11)</f>
        <v>9</v>
      </c>
      <c r="E11" s="4">
        <f>COUNTIF(Resp4[4.35],B11)</f>
        <v>9</v>
      </c>
      <c r="F11" s="4">
        <f t="shared" si="0"/>
        <v>13.24</v>
      </c>
      <c r="G11" s="3">
        <f t="shared" si="1"/>
        <v>39.130000000000003</v>
      </c>
    </row>
    <row r="12" spans="1:7" x14ac:dyDescent="0.25">
      <c r="B12" s="7" t="s">
        <v>200</v>
      </c>
      <c r="C12" s="4">
        <f>COUNTIFS(Resp4[Vínculo],"tecnico",Resp4[4.35],B12)</f>
        <v>0</v>
      </c>
      <c r="D12" s="4">
        <f>COUNTIFS(Resp4[Vínculo],"docente",Resp4[4.35],B12)</f>
        <v>2</v>
      </c>
      <c r="E12" s="4">
        <f>COUNTIF(Resp4[4.35],B12)</f>
        <v>2</v>
      </c>
      <c r="F12" s="22">
        <f t="shared" si="0"/>
        <v>2.94</v>
      </c>
      <c r="G12" s="3">
        <f t="shared" si="1"/>
        <v>8.6959999999999997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9.0909999999999993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31.818000000000001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50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28515625" style="2" customWidth="1"/>
    <col min="3" max="3" width="23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92</v>
      </c>
    </row>
    <row r="2" spans="1:7" x14ac:dyDescent="0.25">
      <c r="A2" s="2" t="str">
        <f>TEXT(A1,"0.00")</f>
        <v>4.36</v>
      </c>
      <c r="B2" s="2" t="str">
        <f>VLOOKUP(A$2,Eixo4[],3,FALSE)</f>
        <v>Com relação aos grupos de pesquisa, avalie: [O impacto da interação com outros grupos de pesquisa no projeto de pesquisa em andamento]</v>
      </c>
    </row>
    <row r="3" spans="1:7" x14ac:dyDescent="0.25">
      <c r="A3" s="2" t="s">
        <v>494</v>
      </c>
      <c r="B3" s="2" t="str">
        <f>VLOOKUP(A$2,Eixo4[],4,FALSE)</f>
        <v>Eixo 4: Questão 36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12</v>
      </c>
      <c r="E6" s="4">
        <f>E13-SUM(E7:E12)</f>
        <v>45</v>
      </c>
      <c r="F6" s="4">
        <f>ROUND($E6/E$13*100,2)</f>
        <v>66.180000000000007</v>
      </c>
    </row>
    <row r="7" spans="1:7" x14ac:dyDescent="0.25">
      <c r="B7" s="2" t="s">
        <v>201</v>
      </c>
      <c r="C7" s="4">
        <f>COUNTIFS(Resp4[Vínculo],"tecnico",Resp4[4.36],B7)</f>
        <v>0</v>
      </c>
      <c r="D7" s="4">
        <f>COUNTIFS(Resp4[Vínculo],"docente",Resp4[4.36],B7)</f>
        <v>1</v>
      </c>
      <c r="E7" s="4">
        <f>COUNTIF(Resp4[4.36],B7)</f>
        <v>1</v>
      </c>
      <c r="F7" s="4">
        <f t="shared" ref="F7:F13" si="0">ROUND($E7/E$13*100,2)</f>
        <v>1.47</v>
      </c>
      <c r="G7" s="3">
        <f t="shared" ref="G7:G12" si="1">ROUND($E7/SUM($E$7:$E$12)*100,3)</f>
        <v>4.3479999999999999</v>
      </c>
    </row>
    <row r="8" spans="1:7" x14ac:dyDescent="0.25">
      <c r="B8" s="2" t="s">
        <v>206</v>
      </c>
      <c r="C8" s="4">
        <f>COUNTIFS(Resp4[Vínculo],"tecnico",Resp4[4.36],B8)</f>
        <v>0</v>
      </c>
      <c r="D8" s="4">
        <f>COUNTIFS(Resp4[Vínculo],"docente",Resp4[4.36],B8)</f>
        <v>1</v>
      </c>
      <c r="E8" s="4">
        <f>COUNTIF(Resp4[4.36],B8)</f>
        <v>1</v>
      </c>
      <c r="F8" s="4">
        <f t="shared" si="0"/>
        <v>1.47</v>
      </c>
      <c r="G8" s="3">
        <f t="shared" si="1"/>
        <v>4.3479999999999999</v>
      </c>
    </row>
    <row r="9" spans="1:7" x14ac:dyDescent="0.25">
      <c r="B9" s="2" t="s">
        <v>202</v>
      </c>
      <c r="C9" s="4">
        <f>COUNTIFS(Resp4[Vínculo],"tecnico",Resp4[4.36],B9)</f>
        <v>0</v>
      </c>
      <c r="D9" s="4">
        <f>COUNTIFS(Resp4[Vínculo],"docente",Resp4[4.36],B9)</f>
        <v>0</v>
      </c>
      <c r="E9" s="4">
        <f>COUNTIF(Resp4[4.36],B9)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COUNTIFS(Resp4[Vínculo],"tecnico",Resp4[4.36],B10)</f>
        <v>1</v>
      </c>
      <c r="D10" s="4">
        <f>COUNTIFS(Resp4[Vínculo],"docente",Resp4[4.36],B10)</f>
        <v>4</v>
      </c>
      <c r="E10" s="4">
        <f>COUNTIF(Resp4[4.36],B10)</f>
        <v>5</v>
      </c>
      <c r="F10" s="4">
        <f t="shared" si="0"/>
        <v>7.35</v>
      </c>
      <c r="G10" s="3">
        <f t="shared" si="1"/>
        <v>21.739000000000001</v>
      </c>
    </row>
    <row r="11" spans="1:7" x14ac:dyDescent="0.25">
      <c r="B11" s="2" t="s">
        <v>199</v>
      </c>
      <c r="C11" s="4">
        <f>COUNTIFS(Resp4[Vínculo],"tecnico",Resp4[4.36],B11)</f>
        <v>0</v>
      </c>
      <c r="D11" s="4">
        <f>COUNTIFS(Resp4[Vínculo],"docente",Resp4[4.36],B11)</f>
        <v>9</v>
      </c>
      <c r="E11" s="4">
        <f>COUNTIF(Resp4[4.36],B11)</f>
        <v>9</v>
      </c>
      <c r="F11" s="4">
        <f t="shared" si="0"/>
        <v>13.24</v>
      </c>
      <c r="G11" s="3">
        <f t="shared" si="1"/>
        <v>39.130000000000003</v>
      </c>
    </row>
    <row r="12" spans="1:7" x14ac:dyDescent="0.25">
      <c r="B12" s="7" t="s">
        <v>200</v>
      </c>
      <c r="C12" s="4">
        <f>COUNTIFS(Resp4[Vínculo],"tecnico",Resp4[4.36],B12)</f>
        <v>0</v>
      </c>
      <c r="D12" s="4">
        <f>COUNTIFS(Resp4[Vínculo],"docente",Resp4[4.36],B12)</f>
        <v>7</v>
      </c>
      <c r="E12" s="4">
        <f>COUNTIF(Resp4[4.36],B12)</f>
        <v>7</v>
      </c>
      <c r="F12" s="22">
        <f t="shared" si="0"/>
        <v>10.29</v>
      </c>
      <c r="G12" s="3">
        <f t="shared" si="1"/>
        <v>30.434999999999999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4.5449999999999999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4.5449999999999999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18.181999999999999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72.727000000000004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94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4.38</v>
      </c>
      <c r="B2" s="2" t="str">
        <f>VLOOKUP(A$2, Eixo4[], 3, FALSE)</f>
        <v>Você orienta ou participa do Programa de Iniciação Científica e Tecnológica?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38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COUNTIFS(Resp4[Vínculo],"tecnico",Resp4[4.38],B7)</f>
        <v>1</v>
      </c>
      <c r="D7" s="4">
        <f>COUNTIFS(Resp4[Vínculo],"docente",Resp4[4.38],B7)</f>
        <v>18</v>
      </c>
      <c r="E7" s="2">
        <f>COUNTIF(Resp4[4.38],B7)</f>
        <v>19</v>
      </c>
      <c r="F7" s="4">
        <f t="shared" ref="F7:F9" si="0">ROUND($E7/E$9*100,2)</f>
        <v>27.94</v>
      </c>
      <c r="G7" s="4">
        <f>ROUND($E7/SUM($E$7:$E$8)*100,2)</f>
        <v>27.94</v>
      </c>
      <c r="H7" s="2"/>
    </row>
    <row r="8" spans="1:8" x14ac:dyDescent="0.25">
      <c r="A8" s="2"/>
      <c r="B8" s="2" t="s">
        <v>194</v>
      </c>
      <c r="C8" s="4">
        <f>COUNTIFS(Resp4[Vínculo],"tecnico",Resp4[4.38],B8)</f>
        <v>33</v>
      </c>
      <c r="D8" s="4">
        <f>COUNTIFS(Resp4[Vínculo],"docente",Resp4[4.38],B8)</f>
        <v>16</v>
      </c>
      <c r="E8" s="2">
        <f>COUNTIF(Resp4[4.38],B8)</f>
        <v>49</v>
      </c>
      <c r="F8" s="22">
        <f t="shared" si="0"/>
        <v>72.06</v>
      </c>
      <c r="G8" s="4">
        <f>ROUND($E8/SUM($E$7:$E$8)*100,2)</f>
        <v>72.06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9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16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95</v>
      </c>
    </row>
    <row r="2" spans="1:7" x14ac:dyDescent="0.25">
      <c r="A2" s="2" t="str">
        <f>TEXT(A1,"0.00")</f>
        <v>4.39</v>
      </c>
      <c r="B2" s="2" t="str">
        <f>VLOOKUP(A$2,Eixo4[],3,FALSE)</f>
        <v>Considerando o Programa de Iniciação Científica e Tecnológica, avalie: [As políticas e normas do Programa de Iniciação Científica e de Desenvolvimento Tecnológico e Inovação (PICDTI) da UFPR]</v>
      </c>
    </row>
    <row r="3" spans="1:7" x14ac:dyDescent="0.25">
      <c r="A3" s="2" t="s">
        <v>494</v>
      </c>
      <c r="B3" s="2" t="str">
        <f>VLOOKUP(A$2,Eixo4[],4,FALSE)</f>
        <v>Eixo 4: Questão 39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COUNTIFS(Resp4[Vínculo],"tecnico",Resp4[4.39],B7)</f>
        <v>0</v>
      </c>
      <c r="D7" s="4">
        <f>COUNTIFS(Resp4[Vínculo],"docente",Resp4[4.39],B7)</f>
        <v>1</v>
      </c>
      <c r="E7" s="4">
        <f>COUNTIF(Resp4[4.39],B7)</f>
        <v>1</v>
      </c>
      <c r="F7" s="4">
        <f t="shared" ref="F7:F13" si="0">ROUND($E7/E$13*100,2)</f>
        <v>1.47</v>
      </c>
      <c r="G7" s="3">
        <f t="shared" ref="G7:G12" si="1">ROUND($E7/SUM($E$7:$E$12)*100,3)</f>
        <v>5.2629999999999999</v>
      </c>
    </row>
    <row r="8" spans="1:7" x14ac:dyDescent="0.25">
      <c r="B8" s="2" t="s">
        <v>206</v>
      </c>
      <c r="C8" s="4">
        <f>COUNTIFS(Resp4[Vínculo],"tecnico",Resp4[4.39],B8)</f>
        <v>0</v>
      </c>
      <c r="D8" s="4">
        <f>COUNTIFS(Resp4[Vínculo],"docente",Resp4[4.39],B8)</f>
        <v>2</v>
      </c>
      <c r="E8" s="4">
        <f>COUNTIF(Resp4[4.39],B8)</f>
        <v>2</v>
      </c>
      <c r="F8" s="4">
        <f t="shared" si="0"/>
        <v>2.94</v>
      </c>
      <c r="G8" s="3">
        <f t="shared" si="1"/>
        <v>10.526</v>
      </c>
    </row>
    <row r="9" spans="1:7" x14ac:dyDescent="0.25">
      <c r="B9" s="2" t="s">
        <v>202</v>
      </c>
      <c r="C9" s="4">
        <f>COUNTIFS(Resp4[Vínculo],"tecnico",Resp4[4.39],B9)</f>
        <v>0</v>
      </c>
      <c r="D9" s="4">
        <f>COUNTIFS(Resp4[Vínculo],"docente",Resp4[4.39],B9)</f>
        <v>2</v>
      </c>
      <c r="E9" s="4">
        <f>COUNTIF(Resp4[4.39],B9)</f>
        <v>2</v>
      </c>
      <c r="F9" s="4">
        <f t="shared" si="0"/>
        <v>2.94</v>
      </c>
      <c r="G9" s="3">
        <f t="shared" si="1"/>
        <v>10.526</v>
      </c>
    </row>
    <row r="10" spans="1:7" x14ac:dyDescent="0.25">
      <c r="B10" s="2" t="s">
        <v>30</v>
      </c>
      <c r="C10" s="4">
        <f>COUNTIFS(Resp4[Vínculo],"tecnico",Resp4[4.39],B10)</f>
        <v>0</v>
      </c>
      <c r="D10" s="4">
        <f>COUNTIFS(Resp4[Vínculo],"docente",Resp4[4.39],B10)</f>
        <v>1</v>
      </c>
      <c r="E10" s="4">
        <f>COUNTIF(Resp4[4.39],B10)</f>
        <v>1</v>
      </c>
      <c r="F10" s="4">
        <f t="shared" si="0"/>
        <v>1.47</v>
      </c>
      <c r="G10" s="3">
        <f t="shared" si="1"/>
        <v>5.2629999999999999</v>
      </c>
    </row>
    <row r="11" spans="1:7" x14ac:dyDescent="0.25">
      <c r="B11" s="2" t="s">
        <v>199</v>
      </c>
      <c r="C11" s="4">
        <f>COUNTIFS(Resp4[Vínculo],"tecnico",Resp4[4.39],B11)</f>
        <v>0</v>
      </c>
      <c r="D11" s="4">
        <f>COUNTIFS(Resp4[Vínculo],"docente",Resp4[4.39],B11)</f>
        <v>9</v>
      </c>
      <c r="E11" s="4">
        <f>COUNTIF(Resp4[4.39],B11)</f>
        <v>9</v>
      </c>
      <c r="F11" s="4">
        <f t="shared" si="0"/>
        <v>13.24</v>
      </c>
      <c r="G11" s="3">
        <f t="shared" si="1"/>
        <v>47.368000000000002</v>
      </c>
    </row>
    <row r="12" spans="1:7" x14ac:dyDescent="0.25">
      <c r="B12" s="7" t="s">
        <v>200</v>
      </c>
      <c r="C12" s="4">
        <f>COUNTIFS(Resp4[Vínculo],"tecnico",Resp4[4.39],B12)</f>
        <v>1</v>
      </c>
      <c r="D12" s="4">
        <f>COUNTIFS(Resp4[Vínculo],"docente",Resp4[4.39],B12)</f>
        <v>3</v>
      </c>
      <c r="E12" s="4">
        <f>COUNTIF(Resp4[4.39],B12)</f>
        <v>4</v>
      </c>
      <c r="F12" s="22">
        <f t="shared" si="0"/>
        <v>5.88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22.222000000000001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8554687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96</v>
      </c>
    </row>
    <row r="2" spans="1:7" x14ac:dyDescent="0.25">
      <c r="A2" s="2" t="str">
        <f>TEXT(A1,"0.00")</f>
        <v>4.40</v>
      </c>
      <c r="B2" s="2" t="str">
        <f>VLOOKUP(A$2,Eixo4[],3,FALSE)</f>
        <v>Considerando o Programa de Iniciação Científica e Tecnológica, avalie: [Os programas institucionais de bolsas (PIBIC, PIBIC - Af, PIBITI e PIBIC EM) quanto aos editais]</v>
      </c>
    </row>
    <row r="3" spans="1:7" x14ac:dyDescent="0.25">
      <c r="A3" s="2" t="s">
        <v>494</v>
      </c>
      <c r="B3" s="2" t="str">
        <f>VLOOKUP(A$2,Eixo4[],4,FALSE)</f>
        <v>Eixo 4: Questão 40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15">
        <f>ROUND($E6/E$13*100,2)</f>
        <v>72.06</v>
      </c>
    </row>
    <row r="7" spans="1:7" x14ac:dyDescent="0.25">
      <c r="B7" s="2" t="s">
        <v>201</v>
      </c>
      <c r="C7" s="4">
        <f>COUNTIFS(Resp4[Vínculo],"tecnico",Resp4[4.40],B7)</f>
        <v>0</v>
      </c>
      <c r="D7" s="4">
        <f>COUNTIFS(Resp4[Vínculo],"docente",Resp4[4.40],B7)</f>
        <v>0</v>
      </c>
      <c r="E7" s="4">
        <f>COUNTIF(Resp4[4.40],B7)</f>
        <v>0</v>
      </c>
      <c r="F7" s="15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COUNTIFS(Resp4[Vínculo],"tecnico",Resp4[4.40],B8)</f>
        <v>0</v>
      </c>
      <c r="D8" s="4">
        <f>COUNTIFS(Resp4[Vínculo],"docente",Resp4[4.40],B8)</f>
        <v>2</v>
      </c>
      <c r="E8" s="4">
        <f>COUNTIF(Resp4[4.40],B8)</f>
        <v>2</v>
      </c>
      <c r="F8" s="15">
        <f t="shared" si="0"/>
        <v>2.94</v>
      </c>
      <c r="G8" s="3">
        <f t="shared" si="1"/>
        <v>10.526</v>
      </c>
    </row>
    <row r="9" spans="1:7" x14ac:dyDescent="0.25">
      <c r="B9" s="2" t="s">
        <v>202</v>
      </c>
      <c r="C9" s="4">
        <f>COUNTIFS(Resp4[Vínculo],"tecnico",Resp4[4.40],B9)</f>
        <v>0</v>
      </c>
      <c r="D9" s="4">
        <f>COUNTIFS(Resp4[Vínculo],"docente",Resp4[4.40],B9)</f>
        <v>0</v>
      </c>
      <c r="E9" s="4">
        <f>COUNTIF(Resp4[4.40],B9)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COUNTIFS(Resp4[Vínculo],"tecnico",Resp4[4.40],B10)</f>
        <v>0</v>
      </c>
      <c r="D10" s="4">
        <f>COUNTIFS(Resp4[Vínculo],"docente",Resp4[4.40],B10)</f>
        <v>1</v>
      </c>
      <c r="E10" s="4">
        <f>COUNTIF(Resp4[4.40],B10)</f>
        <v>1</v>
      </c>
      <c r="F10" s="15">
        <f t="shared" si="0"/>
        <v>1.47</v>
      </c>
      <c r="G10" s="3">
        <f t="shared" si="1"/>
        <v>5.2629999999999999</v>
      </c>
    </row>
    <row r="11" spans="1:7" x14ac:dyDescent="0.25">
      <c r="B11" s="2" t="s">
        <v>199</v>
      </c>
      <c r="C11" s="4">
        <f>COUNTIFS(Resp4[Vínculo],"tecnico",Resp4[4.40],B11)</f>
        <v>0</v>
      </c>
      <c r="D11" s="4">
        <f>COUNTIFS(Resp4[Vínculo],"docente",Resp4[4.40],B11)</f>
        <v>11</v>
      </c>
      <c r="E11" s="4">
        <f>COUNTIF(Resp4[4.40],B11)</f>
        <v>11</v>
      </c>
      <c r="F11" s="15">
        <f t="shared" si="0"/>
        <v>16.18</v>
      </c>
      <c r="G11" s="3">
        <f t="shared" si="1"/>
        <v>57.895000000000003</v>
      </c>
    </row>
    <row r="12" spans="1:7" x14ac:dyDescent="0.25">
      <c r="B12" s="7" t="s">
        <v>200</v>
      </c>
      <c r="C12" s="4">
        <f>COUNTIFS(Resp4[Vínculo],"tecnico",Resp4[4.40],B12)</f>
        <v>1</v>
      </c>
      <c r="D12" s="4">
        <f>COUNTIFS(Resp4[Vínculo],"docente",Resp4[4.40],B12)</f>
        <v>4</v>
      </c>
      <c r="E12" s="4">
        <f>COUNTIF(Resp4[4.40],B12)</f>
        <v>5</v>
      </c>
      <c r="F12" s="19">
        <f t="shared" si="0"/>
        <v>7.35</v>
      </c>
      <c r="G12" s="3">
        <f t="shared" si="1"/>
        <v>26.315999999999999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5.556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9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5703125" style="2" customWidth="1"/>
    <col min="3" max="3" width="20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97</v>
      </c>
    </row>
    <row r="2" spans="1:7" x14ac:dyDescent="0.25">
      <c r="A2" s="2" t="str">
        <f>TEXT(A1,"0.00")</f>
        <v>4.41</v>
      </c>
      <c r="B2" s="2" t="str">
        <f>VLOOKUP(A$2,Eixo4[],3,FALSE)</f>
        <v>Considerando o Programa de Iniciação Científica e Tecnológica, avalie: [Os programas institucionais de bolsas (PIBIC, PIBIC - Af, PIBITI e PIBIC EM) quanto ao processo seletivo]</v>
      </c>
    </row>
    <row r="3" spans="1:7" x14ac:dyDescent="0.25">
      <c r="A3" s="2" t="s">
        <v>494</v>
      </c>
      <c r="B3" s="2" t="str">
        <f>VLOOKUP(A$2,Eixo4[],4,FALSE)</f>
        <v>Eixo 4: Questão 41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COUNTIFS(Resp4[Vínculo],"tecnico",Resp4[4.41],B7)</f>
        <v>0</v>
      </c>
      <c r="D7" s="4">
        <f>COUNTIFS(Resp4[Vínculo],"docente",Resp4[4.41],B7)</f>
        <v>0</v>
      </c>
      <c r="E7" s="4">
        <f>COUNTIF(Resp4[4.41],B7)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COUNTIFS(Resp4[Vínculo],"tecnico",Resp4[4.41],B8)</f>
        <v>0</v>
      </c>
      <c r="D8" s="4">
        <f>COUNTIFS(Resp4[Vínculo],"docente",Resp4[4.41],B8)</f>
        <v>2</v>
      </c>
      <c r="E8" s="4">
        <f>COUNTIF(Resp4[4.41],B8)</f>
        <v>2</v>
      </c>
      <c r="F8" s="4">
        <f t="shared" si="0"/>
        <v>2.94</v>
      </c>
      <c r="G8" s="3">
        <f t="shared" si="1"/>
        <v>10.526</v>
      </c>
    </row>
    <row r="9" spans="1:7" x14ac:dyDescent="0.25">
      <c r="B9" s="2" t="s">
        <v>202</v>
      </c>
      <c r="C9" s="4">
        <f>COUNTIFS(Resp4[Vínculo],"tecnico",Resp4[4.41],B9)</f>
        <v>0</v>
      </c>
      <c r="D9" s="4">
        <f>COUNTIFS(Resp4[Vínculo],"docente",Resp4[4.41],B9)</f>
        <v>0</v>
      </c>
      <c r="E9" s="4">
        <f>COUNTIF(Resp4[4.41],B9)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COUNTIFS(Resp4[Vínculo],"tecnico",Resp4[4.41],B10)</f>
        <v>0</v>
      </c>
      <c r="D10" s="4">
        <f>COUNTIFS(Resp4[Vínculo],"docente",Resp4[4.41],B10)</f>
        <v>2</v>
      </c>
      <c r="E10" s="4">
        <f>COUNTIF(Resp4[4.41],B10)</f>
        <v>2</v>
      </c>
      <c r="F10" s="4">
        <f t="shared" si="0"/>
        <v>2.94</v>
      </c>
      <c r="G10" s="3">
        <f t="shared" si="1"/>
        <v>10.526</v>
      </c>
    </row>
    <row r="11" spans="1:7" x14ac:dyDescent="0.25">
      <c r="B11" s="2" t="s">
        <v>199</v>
      </c>
      <c r="C11" s="4">
        <f>COUNTIFS(Resp4[Vínculo],"tecnico",Resp4[4.41],B11)</f>
        <v>0</v>
      </c>
      <c r="D11" s="4">
        <f>COUNTIFS(Resp4[Vínculo],"docente",Resp4[4.41],B11)</f>
        <v>11</v>
      </c>
      <c r="E11" s="4">
        <f>COUNTIF(Resp4[4.41],B11)</f>
        <v>11</v>
      </c>
      <c r="F11" s="4">
        <f t="shared" si="0"/>
        <v>16.18</v>
      </c>
      <c r="G11" s="3">
        <f t="shared" si="1"/>
        <v>57.895000000000003</v>
      </c>
    </row>
    <row r="12" spans="1:7" x14ac:dyDescent="0.25">
      <c r="B12" s="7" t="s">
        <v>200</v>
      </c>
      <c r="C12" s="4">
        <f>COUNTIFS(Resp4[Vínculo],"tecnico",Resp4[4.41],B12)</f>
        <v>1</v>
      </c>
      <c r="D12" s="4">
        <f>COUNTIFS(Resp4[Vínculo],"docente",Resp4[4.41],B12)</f>
        <v>3</v>
      </c>
      <c r="E12" s="4">
        <f>COUNTIF(Resp4[4.41],B12)</f>
        <v>4</v>
      </c>
      <c r="F12" s="22">
        <f t="shared" si="0"/>
        <v>5.88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  <row r="109" ht="22.5" customHeight="1" x14ac:dyDescent="0.25"/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4" style="2" customWidth="1"/>
    <col min="3" max="3" width="23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98</v>
      </c>
    </row>
    <row r="2" spans="1:7" x14ac:dyDescent="0.25">
      <c r="A2" s="2" t="str">
        <f>TEXT(A1,"0.00")</f>
        <v>4.42</v>
      </c>
      <c r="B2" s="2" t="str">
        <f>VLOOKUP(A$2,Eixo4[],3,FALSE)</f>
        <v>Considerando o Programa de Iniciação Científica e Tecnológica, avalie: [Os programas institucionais de bolsas (PIBIC, PIBIC - Af, PIBITI e PIBIC EM) quanto ao cadastro de informações]</v>
      </c>
    </row>
    <row r="3" spans="1:7" x14ac:dyDescent="0.25">
      <c r="A3" s="2" t="s">
        <v>494</v>
      </c>
      <c r="B3" s="2" t="str">
        <f>VLOOKUP(A$2,Eixo4[],4,FALSE)</f>
        <v>Eixo 4: Questão 42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COUNTIFS(Resp4[Vínculo],"tecnico",Resp4[4.42],B7)</f>
        <v>0</v>
      </c>
      <c r="D7" s="4">
        <f>COUNTIFS(Resp4[Vínculo],"docente",Resp4[4.42],B7)</f>
        <v>1</v>
      </c>
      <c r="E7" s="4">
        <f>COUNTIF(Resp4[4.42],B7)</f>
        <v>1</v>
      </c>
      <c r="F7" s="4">
        <f t="shared" ref="F7:F13" si="0">ROUND($E7/E$13*100,2)</f>
        <v>1.47</v>
      </c>
      <c r="G7" s="3">
        <f t="shared" ref="G7:G12" si="1">ROUND($E7/SUM($E$7:$E$12)*100,3)</f>
        <v>5.2629999999999999</v>
      </c>
    </row>
    <row r="8" spans="1:7" x14ac:dyDescent="0.25">
      <c r="B8" s="2" t="s">
        <v>206</v>
      </c>
      <c r="C8" s="4">
        <f>COUNTIFS(Resp4[Vínculo],"tecnico",Resp4[4.42],B8)</f>
        <v>0</v>
      </c>
      <c r="D8" s="4">
        <f>COUNTIFS(Resp4[Vínculo],"docente",Resp4[4.42],B8)</f>
        <v>1</v>
      </c>
      <c r="E8" s="4">
        <f>COUNTIF(Resp4[4.42],B8)</f>
        <v>1</v>
      </c>
      <c r="F8" s="4">
        <f t="shared" si="0"/>
        <v>1.47</v>
      </c>
      <c r="G8" s="3">
        <f t="shared" si="1"/>
        <v>5.2629999999999999</v>
      </c>
    </row>
    <row r="9" spans="1:7" x14ac:dyDescent="0.25">
      <c r="B9" s="2" t="s">
        <v>202</v>
      </c>
      <c r="C9" s="4">
        <f>COUNTIFS(Resp4[Vínculo],"tecnico",Resp4[4.42],B9)</f>
        <v>0</v>
      </c>
      <c r="D9" s="4">
        <f>COUNTIFS(Resp4[Vínculo],"docente",Resp4[4.42],B9)</f>
        <v>0</v>
      </c>
      <c r="E9" s="4">
        <f>COUNTIF(Resp4[4.42],B9)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COUNTIFS(Resp4[Vínculo],"tecnico",Resp4[4.42],B10)</f>
        <v>0</v>
      </c>
      <c r="D10" s="4">
        <f>COUNTIFS(Resp4[Vínculo],"docente",Resp4[4.42],B10)</f>
        <v>0</v>
      </c>
      <c r="E10" s="4">
        <f>COUNTIF(Resp4[4.42],B10)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COUNTIFS(Resp4[Vínculo],"tecnico",Resp4[4.42],B11)</f>
        <v>0</v>
      </c>
      <c r="D11" s="4">
        <f>COUNTIFS(Resp4[Vínculo],"docente",Resp4[4.42],B11)</f>
        <v>13</v>
      </c>
      <c r="E11" s="4">
        <f>COUNTIF(Resp4[4.42],B11)</f>
        <v>13</v>
      </c>
      <c r="F11" s="4">
        <f t="shared" si="0"/>
        <v>19.12</v>
      </c>
      <c r="G11" s="3">
        <f t="shared" si="1"/>
        <v>68.421000000000006</v>
      </c>
    </row>
    <row r="12" spans="1:7" x14ac:dyDescent="0.25">
      <c r="B12" s="7" t="s">
        <v>200</v>
      </c>
      <c r="C12" s="4">
        <f>COUNTIFS(Resp4[Vínculo],"tecnico",Resp4[4.42],B12)</f>
        <v>1</v>
      </c>
      <c r="D12" s="4">
        <f>COUNTIFS(Resp4[Vínculo],"docente",Resp4[4.42],B12)</f>
        <v>3</v>
      </c>
      <c r="E12" s="4">
        <f>COUNTIF(Resp4[4.42],B12)</f>
        <v>4</v>
      </c>
      <c r="F12" s="22">
        <f t="shared" si="0"/>
        <v>5.88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88.888999999999996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71093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99</v>
      </c>
    </row>
    <row r="2" spans="1:7" x14ac:dyDescent="0.25">
      <c r="A2" s="2" t="str">
        <f>TEXT(A1,"0.00")</f>
        <v>4.43</v>
      </c>
      <c r="B2" s="2" t="str">
        <f>VLOOKUP(A$2,Eixo4[],3,FALSE)</f>
        <v>Considerando o Programa de Iniciação Científica e Tecnológica, avalie: [A disponibilidade de bolsas]</v>
      </c>
    </row>
    <row r="3" spans="1:7" x14ac:dyDescent="0.25">
      <c r="A3" s="2" t="s">
        <v>494</v>
      </c>
      <c r="B3" s="2" t="str">
        <f>VLOOKUP(A$2,Eixo4[],4,FALSE)</f>
        <v>Eixo 4: Questão 43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COUNTIFS(Resp4[Vínculo],"tecnico",Resp4[4.43],B7)</f>
        <v>0</v>
      </c>
      <c r="D7" s="4">
        <f>COUNTIFS(Resp4[Vínculo],"docente",Resp4[4.43],B7)</f>
        <v>1</v>
      </c>
      <c r="E7" s="4">
        <f>COUNTIF(Resp4[4.43],B7)</f>
        <v>1</v>
      </c>
      <c r="F7" s="4">
        <f t="shared" ref="F7:F13" si="0">ROUND($E7/E$13*100,2)</f>
        <v>1.47</v>
      </c>
      <c r="G7" s="3">
        <f t="shared" ref="G7:G12" si="1">ROUND($E7/SUM($E$7:$E$12)*100,3)</f>
        <v>5.2629999999999999</v>
      </c>
    </row>
    <row r="8" spans="1:7" x14ac:dyDescent="0.25">
      <c r="B8" s="2" t="s">
        <v>206</v>
      </c>
      <c r="C8" s="4">
        <f>COUNTIFS(Resp4[Vínculo],"tecnico",Resp4[4.43],B8)</f>
        <v>0</v>
      </c>
      <c r="D8" s="4">
        <f>COUNTIFS(Resp4[Vínculo],"docente",Resp4[4.43],B8)</f>
        <v>1</v>
      </c>
      <c r="E8" s="4">
        <f>COUNTIF(Resp4[4.43],B8)</f>
        <v>1</v>
      </c>
      <c r="F8" s="4">
        <f t="shared" si="0"/>
        <v>1.47</v>
      </c>
      <c r="G8" s="3">
        <f t="shared" si="1"/>
        <v>5.2629999999999999</v>
      </c>
    </row>
    <row r="9" spans="1:7" x14ac:dyDescent="0.25">
      <c r="B9" s="2" t="s">
        <v>202</v>
      </c>
      <c r="C9" s="4">
        <f>COUNTIFS(Resp4[Vínculo],"tecnico",Resp4[4.43],B9)</f>
        <v>0</v>
      </c>
      <c r="D9" s="4">
        <f>COUNTIFS(Resp4[Vínculo],"docente",Resp4[4.43],B9)</f>
        <v>2</v>
      </c>
      <c r="E9" s="4">
        <f>COUNTIF(Resp4[4.43],B9)</f>
        <v>2</v>
      </c>
      <c r="F9" s="4">
        <f t="shared" si="0"/>
        <v>2.94</v>
      </c>
      <c r="G9" s="3">
        <f t="shared" si="1"/>
        <v>10.526</v>
      </c>
    </row>
    <row r="10" spans="1:7" x14ac:dyDescent="0.25">
      <c r="B10" s="2" t="s">
        <v>30</v>
      </c>
      <c r="C10" s="4">
        <f>COUNTIFS(Resp4[Vínculo],"tecnico",Resp4[4.43],B10)</f>
        <v>0</v>
      </c>
      <c r="D10" s="4">
        <f>COUNTIFS(Resp4[Vínculo],"docente",Resp4[4.43],B10)</f>
        <v>7</v>
      </c>
      <c r="E10" s="4">
        <f>COUNTIF(Resp4[4.43],B10)</f>
        <v>7</v>
      </c>
      <c r="F10" s="4">
        <f t="shared" si="0"/>
        <v>10.29</v>
      </c>
      <c r="G10" s="3">
        <f t="shared" si="1"/>
        <v>36.841999999999999</v>
      </c>
    </row>
    <row r="11" spans="1:7" x14ac:dyDescent="0.25">
      <c r="B11" s="2" t="s">
        <v>199</v>
      </c>
      <c r="C11" s="4">
        <f>COUNTIFS(Resp4[Vínculo],"tecnico",Resp4[4.43],B11)</f>
        <v>0</v>
      </c>
      <c r="D11" s="4">
        <f>COUNTIFS(Resp4[Vínculo],"docente",Resp4[4.43],B11)</f>
        <v>7</v>
      </c>
      <c r="E11" s="4">
        <f>COUNTIF(Resp4[4.43],B11)</f>
        <v>7</v>
      </c>
      <c r="F11" s="4">
        <f t="shared" si="0"/>
        <v>10.29</v>
      </c>
      <c r="G11" s="3">
        <f t="shared" si="1"/>
        <v>36.841999999999999</v>
      </c>
    </row>
    <row r="12" spans="1:7" x14ac:dyDescent="0.25">
      <c r="B12" s="7" t="s">
        <v>200</v>
      </c>
      <c r="C12" s="4">
        <f>COUNTIFS(Resp4[Vínculo],"tecnico",Resp4[4.43],B12)</f>
        <v>1</v>
      </c>
      <c r="D12" s="4">
        <f>COUNTIFS(Resp4[Vínculo],"docente",Resp4[4.43],B12)</f>
        <v>0</v>
      </c>
      <c r="E12" s="4">
        <f>COUNTIF(Resp4[4.43],B12)</f>
        <v>1</v>
      </c>
      <c r="F12" s="22">
        <f t="shared" si="0"/>
        <v>1.47</v>
      </c>
      <c r="G12" s="3">
        <f t="shared" si="1"/>
        <v>5.2629999999999999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7</v>
      </c>
      <c r="E27" s="15">
        <f>ROUND(D27/SUM(D$25:D$28)*100,3)</f>
        <v>38.889000000000003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38.889000000000003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8.85546875" style="2" customWidth="1"/>
    <col min="3" max="3" width="21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100</v>
      </c>
    </row>
    <row r="2" spans="1:7" x14ac:dyDescent="0.25">
      <c r="A2" s="2" t="str">
        <f>TEXT(A1,"0.00")</f>
        <v>4.44</v>
      </c>
      <c r="B2" s="2" t="str">
        <f>VLOOKUP(A$2,Eixo4[],3,FALSE)</f>
        <v>Considerando o Programa de Iniciação Científica e Tecnológica, avalie: [A compatibilidade da formação do aluno com o projeto]</v>
      </c>
    </row>
    <row r="3" spans="1:7" x14ac:dyDescent="0.25">
      <c r="A3" s="2" t="s">
        <v>494</v>
      </c>
      <c r="B3" s="2" t="str">
        <f>VLOOKUP(A$2,Eixo4[],4,FALSE)</f>
        <v>Eixo 4: Questão 44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COUNTIFS(Resp4[Vínculo],"tecnico",Resp4[4.44],B7)</f>
        <v>0</v>
      </c>
      <c r="D7" s="4">
        <f>COUNTIFS(Resp4[Vínculo],"docente",Resp4[4.44],B7)</f>
        <v>1</v>
      </c>
      <c r="E7" s="4">
        <f>COUNTIF(Resp4[4.44],B7)</f>
        <v>1</v>
      </c>
      <c r="F7" s="4">
        <f t="shared" ref="F7:F13" si="0">ROUND($E7/E$13*100,2)</f>
        <v>1.47</v>
      </c>
      <c r="G7" s="3">
        <f t="shared" ref="G7:G12" si="1">ROUND($E7/SUM($E$7:$E$12)*100,3)</f>
        <v>5.2629999999999999</v>
      </c>
    </row>
    <row r="8" spans="1:7" x14ac:dyDescent="0.25">
      <c r="B8" s="2" t="s">
        <v>206</v>
      </c>
      <c r="C8" s="4">
        <f>COUNTIFS(Resp4[Vínculo],"tecnico",Resp4[4.44],B8)</f>
        <v>0</v>
      </c>
      <c r="D8" s="4">
        <f>COUNTIFS(Resp4[Vínculo],"docente",Resp4[4.44],B8)</f>
        <v>0</v>
      </c>
      <c r="E8" s="4">
        <f>COUNTIF(Resp4[4.44],B8)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COUNTIFS(Resp4[Vínculo],"tecnico",Resp4[4.44],B9)</f>
        <v>0</v>
      </c>
      <c r="D9" s="4">
        <f>COUNTIFS(Resp4[Vínculo],"docente",Resp4[4.44],B9)</f>
        <v>0</v>
      </c>
      <c r="E9" s="4">
        <f>COUNTIF(Resp4[4.44],B9)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COUNTIFS(Resp4[Vínculo],"tecnico",Resp4[4.44],B10)</f>
        <v>0</v>
      </c>
      <c r="D10" s="4">
        <f>COUNTIFS(Resp4[Vínculo],"docente",Resp4[4.44],B10)</f>
        <v>3</v>
      </c>
      <c r="E10" s="4">
        <f>COUNTIF(Resp4[4.44],B10)</f>
        <v>3</v>
      </c>
      <c r="F10" s="4">
        <f t="shared" si="0"/>
        <v>4.41</v>
      </c>
      <c r="G10" s="3">
        <f t="shared" si="1"/>
        <v>15.789</v>
      </c>
    </row>
    <row r="11" spans="1:7" x14ac:dyDescent="0.25">
      <c r="B11" s="2" t="s">
        <v>199</v>
      </c>
      <c r="C11" s="4">
        <f>COUNTIFS(Resp4[Vínculo],"tecnico",Resp4[4.44],B11)</f>
        <v>0</v>
      </c>
      <c r="D11" s="4">
        <f>COUNTIFS(Resp4[Vínculo],"docente",Resp4[4.44],B11)</f>
        <v>11</v>
      </c>
      <c r="E11" s="4">
        <f>COUNTIF(Resp4[4.44],B11)</f>
        <v>11</v>
      </c>
      <c r="F11" s="4">
        <f t="shared" si="0"/>
        <v>16.18</v>
      </c>
      <c r="G11" s="3">
        <f t="shared" si="1"/>
        <v>57.895000000000003</v>
      </c>
    </row>
    <row r="12" spans="1:7" x14ac:dyDescent="0.25">
      <c r="B12" s="7" t="s">
        <v>200</v>
      </c>
      <c r="C12" s="4">
        <f>COUNTIFS(Resp4[Vínculo],"tecnico",Resp4[4.44],B12)</f>
        <v>1</v>
      </c>
      <c r="D12" s="4">
        <f>COUNTIFS(Resp4[Vínculo],"docente",Resp4[4.44],B12)</f>
        <v>3</v>
      </c>
      <c r="E12" s="4">
        <f>COUNTIF(Resp4[4.44],B12)</f>
        <v>4</v>
      </c>
      <c r="F12" s="22">
        <f t="shared" si="0"/>
        <v>5.88</v>
      </c>
      <c r="G12" s="3">
        <f t="shared" si="1"/>
        <v>21.053000000000001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101</v>
      </c>
    </row>
    <row r="2" spans="1:7" x14ac:dyDescent="0.25">
      <c r="A2" s="2" t="str">
        <f>TEXT(A1,"0.00")</f>
        <v>4.45</v>
      </c>
      <c r="B2" s="2" t="str">
        <f>VLOOKUP(A$2,Eixo4[],3,FALSE)</f>
        <v>Considerando o Programa de Iniciação Científica e Tecnológica, avalie: [A disponibilidade do aluno para as atividades de pesquisa]</v>
      </c>
    </row>
    <row r="3" spans="1:7" x14ac:dyDescent="0.25">
      <c r="A3" s="2" t="s">
        <v>494</v>
      </c>
      <c r="B3" s="2" t="str">
        <f>VLOOKUP(A$2,Eixo4[],4,FALSE)</f>
        <v>Eixo 4: Questão 45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COUNTIFS(Resp4[Vínculo],"tecnico",Resp4[4.45],B7)</f>
        <v>0</v>
      </c>
      <c r="D7" s="4">
        <f>COUNTIFS(Resp4[Vínculo],"docente",Resp4[4.45],B7)</f>
        <v>0</v>
      </c>
      <c r="E7" s="4">
        <f>COUNTIF(Resp4[4.45],B7)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COUNTIFS(Resp4[Vínculo],"tecnico",Resp4[4.45],B8)</f>
        <v>0</v>
      </c>
      <c r="D8" s="4">
        <f>COUNTIFS(Resp4[Vínculo],"docente",Resp4[4.45],B8)</f>
        <v>1</v>
      </c>
      <c r="E8" s="4">
        <f>COUNTIF(Resp4[4.45],B8)</f>
        <v>1</v>
      </c>
      <c r="F8" s="4">
        <f t="shared" si="0"/>
        <v>1.47</v>
      </c>
      <c r="G8" s="3">
        <f t="shared" si="1"/>
        <v>5.2629999999999999</v>
      </c>
    </row>
    <row r="9" spans="1:7" x14ac:dyDescent="0.25">
      <c r="B9" s="2" t="s">
        <v>202</v>
      </c>
      <c r="C9" s="4">
        <f>COUNTIFS(Resp4[Vínculo],"tecnico",Resp4[4.45],B9)</f>
        <v>0</v>
      </c>
      <c r="D9" s="4">
        <f>COUNTIFS(Resp4[Vínculo],"docente",Resp4[4.45],B9)</f>
        <v>2</v>
      </c>
      <c r="E9" s="4">
        <f>COUNTIF(Resp4[4.45],B9)</f>
        <v>2</v>
      </c>
      <c r="F9" s="4">
        <f t="shared" si="0"/>
        <v>2.94</v>
      </c>
      <c r="G9" s="3">
        <f t="shared" si="1"/>
        <v>10.526</v>
      </c>
    </row>
    <row r="10" spans="1:7" x14ac:dyDescent="0.25">
      <c r="B10" s="2" t="s">
        <v>30</v>
      </c>
      <c r="C10" s="4">
        <f>COUNTIFS(Resp4[Vínculo],"tecnico",Resp4[4.45],B10)</f>
        <v>0</v>
      </c>
      <c r="D10" s="4">
        <f>COUNTIFS(Resp4[Vínculo],"docente",Resp4[4.45],B10)</f>
        <v>3</v>
      </c>
      <c r="E10" s="4">
        <f>COUNTIF(Resp4[4.45],B10)</f>
        <v>3</v>
      </c>
      <c r="F10" s="4">
        <f t="shared" si="0"/>
        <v>4.41</v>
      </c>
      <c r="G10" s="3">
        <f t="shared" si="1"/>
        <v>15.789</v>
      </c>
    </row>
    <row r="11" spans="1:7" x14ac:dyDescent="0.25">
      <c r="B11" s="2" t="s">
        <v>199</v>
      </c>
      <c r="C11" s="4">
        <f>COUNTIFS(Resp4[Vínculo],"tecnico",Resp4[4.45],B11)</f>
        <v>0</v>
      </c>
      <c r="D11" s="4">
        <f>COUNTIFS(Resp4[Vínculo],"docente",Resp4[4.45],B11)</f>
        <v>8</v>
      </c>
      <c r="E11" s="4">
        <f>COUNTIF(Resp4[4.45],B11)</f>
        <v>8</v>
      </c>
      <c r="F11" s="4">
        <f t="shared" si="0"/>
        <v>11.76</v>
      </c>
      <c r="G11" s="3">
        <f t="shared" si="1"/>
        <v>42.104999999999997</v>
      </c>
    </row>
    <row r="12" spans="1:7" x14ac:dyDescent="0.25">
      <c r="B12" s="7" t="s">
        <v>200</v>
      </c>
      <c r="C12" s="4">
        <f>COUNTIFS(Resp4[Vínculo],"tecnico",Resp4[4.45],B12)</f>
        <v>1</v>
      </c>
      <c r="D12" s="4">
        <f>COUNTIFS(Resp4[Vínculo],"docente",Resp4[4.45],B12)</f>
        <v>4</v>
      </c>
      <c r="E12" s="4">
        <f>COUNTIF(Resp4[4.45],B12)</f>
        <v>5</v>
      </c>
      <c r="F12" s="22">
        <f t="shared" si="0"/>
        <v>7.35</v>
      </c>
      <c r="G12" s="3">
        <f t="shared" si="1"/>
        <v>26.315999999999999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16.667000000000002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66.667000000000002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COUNTIFS(Resp4[Vínculo],"tecnico",Resp4[4.01],B7)</f>
        <v>5</v>
      </c>
      <c r="D7" s="4">
        <f>COUNTIFS(Resp4[Vínculo],"docente",Resp4[4.01],B7)</f>
        <v>25</v>
      </c>
      <c r="E7" s="2">
        <f>COUNTIF(Resp4[4.01],B7)</f>
        <v>30</v>
      </c>
      <c r="F7" s="3">
        <f t="shared" ref="F7:F8" si="0">ROUND($E7/E$9*100,2)</f>
        <v>44.12</v>
      </c>
      <c r="G7" s="4">
        <f>ROUND($E7/SUM($E$7:$E$8)*100,2)</f>
        <v>44.12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29</v>
      </c>
      <c r="D8" s="4">
        <f>COUNTIFS(Resp4[Vínculo],"docente",Resp4[4.01],B8)</f>
        <v>9</v>
      </c>
      <c r="E8" s="2">
        <f>COUNTIF(Resp4[4.01],B8)</f>
        <v>38</v>
      </c>
      <c r="F8" s="24">
        <f t="shared" si="0"/>
        <v>55.88</v>
      </c>
      <c r="G8" s="4">
        <f>ROUND($E8/SUM($E$7:$E$8)*100,2)</f>
        <v>55.88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>SUM(F6:F8)</f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8554687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102</v>
      </c>
    </row>
    <row r="2" spans="1:7" x14ac:dyDescent="0.25">
      <c r="A2" s="2" t="str">
        <f>TEXT(A1,"0.00")</f>
        <v>4.46</v>
      </c>
      <c r="B2" s="2" t="str">
        <f>VLOOKUP(A$2,Eixo4[],3,FALSE)</f>
        <v>Considerando o Programa de Iniciação Científica e Tecnológica, avalie: [As melhorias das expectativas profissionais do aluno (acesso à PG ou ao mercado de trabalho)]</v>
      </c>
    </row>
    <row r="3" spans="1:7" x14ac:dyDescent="0.25">
      <c r="A3" s="2" t="s">
        <v>494</v>
      </c>
      <c r="B3" s="2" t="str">
        <f>VLOOKUP(A$2,Eixo4[],4,FALSE)</f>
        <v>Eixo 4: Questão 46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COUNTIFS(Resp4[Vínculo],"tecnico",Resp4[4.46],B7)</f>
        <v>0</v>
      </c>
      <c r="D7" s="4">
        <f>COUNTIFS(Resp4[Vínculo],"docente",Resp4[4.46],B7)</f>
        <v>0</v>
      </c>
      <c r="E7" s="4">
        <f>COUNTIF(Resp4[4.46],B7)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COUNTIFS(Resp4[Vínculo],"tecnico",Resp4[4.46],B8)</f>
        <v>0</v>
      </c>
      <c r="D8" s="4">
        <f>COUNTIFS(Resp4[Vínculo],"docente",Resp4[4.46],B8)</f>
        <v>0</v>
      </c>
      <c r="E8" s="4">
        <f>COUNTIF(Resp4[4.46],B8)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COUNTIFS(Resp4[Vínculo],"tecnico",Resp4[4.46],B9)</f>
        <v>0</v>
      </c>
      <c r="D9" s="4">
        <f>COUNTIFS(Resp4[Vínculo],"docente",Resp4[4.46],B9)</f>
        <v>1</v>
      </c>
      <c r="E9" s="4">
        <f>COUNTIF(Resp4[4.46],B9)</f>
        <v>1</v>
      </c>
      <c r="F9" s="4">
        <f t="shared" si="0"/>
        <v>1.47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COUNTIFS(Resp4[Vínculo],"tecnico",Resp4[4.46],B10)</f>
        <v>0</v>
      </c>
      <c r="D10" s="4">
        <f>COUNTIFS(Resp4[Vínculo],"docente",Resp4[4.46],B10)</f>
        <v>3</v>
      </c>
      <c r="E10" s="4">
        <f>COUNTIF(Resp4[4.46],B10)</f>
        <v>3</v>
      </c>
      <c r="F10" s="4">
        <f t="shared" si="0"/>
        <v>4.41</v>
      </c>
      <c r="G10" s="3">
        <f t="shared" si="1"/>
        <v>15.789</v>
      </c>
    </row>
    <row r="11" spans="1:7" x14ac:dyDescent="0.25">
      <c r="B11" s="2" t="s">
        <v>199</v>
      </c>
      <c r="C11" s="4">
        <f>COUNTIFS(Resp4[Vínculo],"tecnico",Resp4[4.46],B11)</f>
        <v>0</v>
      </c>
      <c r="D11" s="4">
        <f>COUNTIFS(Resp4[Vínculo],"docente",Resp4[4.46],B11)</f>
        <v>10</v>
      </c>
      <c r="E11" s="4">
        <f>COUNTIF(Resp4[4.46],B11)</f>
        <v>10</v>
      </c>
      <c r="F11" s="4">
        <f t="shared" si="0"/>
        <v>14.71</v>
      </c>
      <c r="G11" s="3">
        <f t="shared" si="1"/>
        <v>52.631999999999998</v>
      </c>
    </row>
    <row r="12" spans="1:7" x14ac:dyDescent="0.25">
      <c r="B12" s="7" t="s">
        <v>200</v>
      </c>
      <c r="C12" s="4">
        <f>COUNTIFS(Resp4[Vínculo],"tecnico",Resp4[4.46],B12)</f>
        <v>1</v>
      </c>
      <c r="D12" s="4">
        <f>COUNTIFS(Resp4[Vínculo],"docente",Resp4[4.46],B12)</f>
        <v>4</v>
      </c>
      <c r="E12" s="4">
        <f>COUNTIF(Resp4[4.46],B12)</f>
        <v>5</v>
      </c>
      <c r="F12" s="22">
        <f t="shared" si="0"/>
        <v>7.35</v>
      </c>
      <c r="G12" s="3">
        <f t="shared" si="1"/>
        <v>26.315999999999999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1406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103</v>
      </c>
    </row>
    <row r="2" spans="1:7" x14ac:dyDescent="0.25">
      <c r="A2" s="2" t="str">
        <f>TEXT(A1,"0.00")</f>
        <v>4.47</v>
      </c>
      <c r="B2" s="2" t="str">
        <f>VLOOKUP(A$2,Eixo4[],3,FALSE)</f>
        <v>Considerando o Programa de Iniciação Científica e Tecnológica, avalie: [O desempenho do aluno em relação ao seu desenvolvimento, considerando os objetivos acadêmicos e sociais do programa]</v>
      </c>
    </row>
    <row r="3" spans="1:7" x14ac:dyDescent="0.25">
      <c r="A3" s="2" t="s">
        <v>494</v>
      </c>
      <c r="B3" s="2" t="str">
        <f>VLOOKUP(A$2,Eixo4[],4,FALSE)</f>
        <v>Eixo 4: Questão 47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COUNTIFS(Resp4[Vínculo],"tecnico",Resp4[4.47],B7)</f>
        <v>0</v>
      </c>
      <c r="D7" s="4">
        <f>COUNTIFS(Resp4[Vínculo],"docente",Resp4[4.47],B7)</f>
        <v>0</v>
      </c>
      <c r="E7" s="4">
        <f>COUNTIF(Resp4[4.47],B7)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COUNTIFS(Resp4[Vínculo],"tecnico",Resp4[4.47],B8)</f>
        <v>0</v>
      </c>
      <c r="D8" s="4">
        <f>COUNTIFS(Resp4[Vínculo],"docente",Resp4[4.47],B8)</f>
        <v>0</v>
      </c>
      <c r="E8" s="4">
        <f>COUNTIF(Resp4[4.47],B8)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COUNTIFS(Resp4[Vínculo],"tecnico",Resp4[4.47],B9)</f>
        <v>0</v>
      </c>
      <c r="D9" s="4">
        <f>COUNTIFS(Resp4[Vínculo],"docente",Resp4[4.47],B9)</f>
        <v>1</v>
      </c>
      <c r="E9" s="4">
        <f>COUNTIF(Resp4[4.47],B9)</f>
        <v>1</v>
      </c>
      <c r="F9" s="4">
        <f t="shared" si="0"/>
        <v>1.47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COUNTIFS(Resp4[Vínculo],"tecnico",Resp4[4.47],B10)</f>
        <v>0</v>
      </c>
      <c r="D10" s="4">
        <f>COUNTIFS(Resp4[Vínculo],"docente",Resp4[4.47],B10)</f>
        <v>2</v>
      </c>
      <c r="E10" s="4">
        <f>COUNTIF(Resp4[4.47],B10)</f>
        <v>2</v>
      </c>
      <c r="F10" s="4">
        <f t="shared" si="0"/>
        <v>2.94</v>
      </c>
      <c r="G10" s="3">
        <f t="shared" si="1"/>
        <v>10.526</v>
      </c>
    </row>
    <row r="11" spans="1:7" x14ac:dyDescent="0.25">
      <c r="B11" s="2" t="s">
        <v>199</v>
      </c>
      <c r="C11" s="4">
        <f>COUNTIFS(Resp4[Vínculo],"tecnico",Resp4[4.47],B11)</f>
        <v>0</v>
      </c>
      <c r="D11" s="4">
        <f>COUNTIFS(Resp4[Vínculo],"docente",Resp4[4.47],B11)</f>
        <v>9</v>
      </c>
      <c r="E11" s="4">
        <f>COUNTIF(Resp4[4.47],B11)</f>
        <v>9</v>
      </c>
      <c r="F11" s="4">
        <f t="shared" si="0"/>
        <v>13.24</v>
      </c>
      <c r="G11" s="3">
        <f t="shared" si="1"/>
        <v>47.368000000000002</v>
      </c>
    </row>
    <row r="12" spans="1:7" x14ac:dyDescent="0.25">
      <c r="B12" s="7" t="s">
        <v>200</v>
      </c>
      <c r="C12" s="4">
        <f>COUNTIFS(Resp4[Vínculo],"tecnico",Resp4[4.47],B12)</f>
        <v>1</v>
      </c>
      <c r="D12" s="4">
        <f>COUNTIFS(Resp4[Vínculo],"docente",Resp4[4.47],B12)</f>
        <v>6</v>
      </c>
      <c r="E12" s="4">
        <f>COUNTIF(Resp4[4.47],B12)</f>
        <v>7</v>
      </c>
      <c r="F12" s="22">
        <f t="shared" si="0"/>
        <v>10.29</v>
      </c>
      <c r="G12" s="3">
        <f t="shared" si="1"/>
        <v>36.841999999999999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83.332999999999998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8.710937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104</v>
      </c>
    </row>
    <row r="2" spans="1:7" x14ac:dyDescent="0.25">
      <c r="A2" s="2" t="str">
        <f>TEXT(A1,"0.00")</f>
        <v>4.48</v>
      </c>
      <c r="B2" s="2" t="str">
        <f>VLOOKUP(A$2,Eixo4[],3,FALSE)</f>
        <v>Considerando o Programa de Iniciação Científica e Tecnológica, avalie: [O calendário de atividades]</v>
      </c>
    </row>
    <row r="3" spans="1:7" x14ac:dyDescent="0.25">
      <c r="A3" s="2" t="s">
        <v>494</v>
      </c>
      <c r="B3" s="2" t="str">
        <f>VLOOKUP(A$2,Eixo4[],4,FALSE)</f>
        <v>Eixo 4: Questão 48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16</v>
      </c>
      <c r="E6" s="4">
        <f>E13-SUM(E7:E12)</f>
        <v>49</v>
      </c>
      <c r="F6" s="4">
        <f>ROUND($E6/E$13*100,2)</f>
        <v>72.06</v>
      </c>
    </row>
    <row r="7" spans="1:7" x14ac:dyDescent="0.25">
      <c r="B7" s="2" t="s">
        <v>201</v>
      </c>
      <c r="C7" s="4">
        <f>COUNTIFS(Resp4[Vínculo],"tecnico",Resp4[4.48],B7)</f>
        <v>0</v>
      </c>
      <c r="D7" s="4">
        <f>COUNTIFS(Resp4[Vínculo],"docente",Resp4[4.48],B7)</f>
        <v>1</v>
      </c>
      <c r="E7" s="4">
        <f>COUNTIF(Resp4[4.48],B7)</f>
        <v>1</v>
      </c>
      <c r="F7" s="4">
        <f t="shared" ref="F7:F13" si="0">ROUND($E7/E$13*100,2)</f>
        <v>1.47</v>
      </c>
      <c r="G7" s="3">
        <f t="shared" ref="G7:G12" si="1">ROUND($E7/SUM($E$7:$E$12)*100,3)</f>
        <v>5.2629999999999999</v>
      </c>
    </row>
    <row r="8" spans="1:7" x14ac:dyDescent="0.25">
      <c r="B8" s="2" t="s">
        <v>206</v>
      </c>
      <c r="C8" s="4">
        <f>COUNTIFS(Resp4[Vínculo],"tecnico",Resp4[4.48],B8)</f>
        <v>0</v>
      </c>
      <c r="D8" s="4">
        <f>COUNTIFS(Resp4[Vínculo],"docente",Resp4[4.48],B8)</f>
        <v>1</v>
      </c>
      <c r="E8" s="4">
        <f>COUNTIF(Resp4[4.48],B8)</f>
        <v>1</v>
      </c>
      <c r="F8" s="4">
        <f t="shared" si="0"/>
        <v>1.47</v>
      </c>
      <c r="G8" s="3">
        <f t="shared" si="1"/>
        <v>5.2629999999999999</v>
      </c>
    </row>
    <row r="9" spans="1:7" x14ac:dyDescent="0.25">
      <c r="B9" s="2" t="s">
        <v>202</v>
      </c>
      <c r="C9" s="4">
        <f>COUNTIFS(Resp4[Vínculo],"tecnico",Resp4[4.48],B9)</f>
        <v>0</v>
      </c>
      <c r="D9" s="4">
        <f>COUNTIFS(Resp4[Vínculo],"docente",Resp4[4.48],B9)</f>
        <v>1</v>
      </c>
      <c r="E9" s="4">
        <f>COUNTIF(Resp4[4.48],B9)</f>
        <v>1</v>
      </c>
      <c r="F9" s="4">
        <f t="shared" si="0"/>
        <v>1.47</v>
      </c>
      <c r="G9" s="3">
        <f t="shared" si="1"/>
        <v>5.2629999999999999</v>
      </c>
    </row>
    <row r="10" spans="1:7" x14ac:dyDescent="0.25">
      <c r="B10" s="2" t="s">
        <v>30</v>
      </c>
      <c r="C10" s="4">
        <f>COUNTIFS(Resp4[Vínculo],"tecnico",Resp4[4.48],B10)</f>
        <v>0</v>
      </c>
      <c r="D10" s="4">
        <f>COUNTIFS(Resp4[Vínculo],"docente",Resp4[4.48],B10)</f>
        <v>2</v>
      </c>
      <c r="E10" s="4">
        <f>COUNTIF(Resp4[4.48],B10)</f>
        <v>2</v>
      </c>
      <c r="F10" s="4">
        <f t="shared" si="0"/>
        <v>2.94</v>
      </c>
      <c r="G10" s="3">
        <f t="shared" si="1"/>
        <v>10.526</v>
      </c>
    </row>
    <row r="11" spans="1:7" x14ac:dyDescent="0.25">
      <c r="B11" s="2" t="s">
        <v>199</v>
      </c>
      <c r="C11" s="4">
        <f>COUNTIFS(Resp4[Vínculo],"tecnico",Resp4[4.48],B11)</f>
        <v>0</v>
      </c>
      <c r="D11" s="4">
        <f>COUNTIFS(Resp4[Vínculo],"docente",Resp4[4.48],B11)</f>
        <v>12</v>
      </c>
      <c r="E11" s="4">
        <f>COUNTIF(Resp4[4.48],B11)</f>
        <v>12</v>
      </c>
      <c r="F11" s="4">
        <f t="shared" si="0"/>
        <v>17.649999999999999</v>
      </c>
      <c r="G11" s="3">
        <f t="shared" si="1"/>
        <v>63.158000000000001</v>
      </c>
    </row>
    <row r="12" spans="1:7" x14ac:dyDescent="0.25">
      <c r="B12" s="7" t="s">
        <v>200</v>
      </c>
      <c r="C12" s="4">
        <f>COUNTIFS(Resp4[Vínculo],"tecnico",Resp4[4.48],B12)</f>
        <v>1</v>
      </c>
      <c r="D12" s="4">
        <f>COUNTIFS(Resp4[Vínculo],"docente",Resp4[4.48],B12)</f>
        <v>1</v>
      </c>
      <c r="E12" s="4">
        <f>COUNTIF(Resp4[4.48],B12)</f>
        <v>2</v>
      </c>
      <c r="F12" s="22">
        <f t="shared" si="0"/>
        <v>2.94</v>
      </c>
      <c r="G12" s="3">
        <f t="shared" si="1"/>
        <v>10.526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11.111000000000001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5.556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11.111000000000001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72.221999999999994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106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4.50</v>
      </c>
      <c r="B2" s="2" t="str">
        <f>VLOOKUP(A$2, Eixo4[], 3, FALSE)</f>
        <v>Você está envolvido/a e/ou participou de atividades de extensão na UFPR (na condição de coordenação de atividade, membro de equipe, Comitê Setorial de Extensão, CAEX ou gestão/planejamento da política de extensão)?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50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COUNTIFS(Resp4[Vínculo],"tecnico",Resp4[4.50],B7)</f>
        <v>1</v>
      </c>
      <c r="D7" s="4">
        <f>COUNTIFS(Resp4[Vínculo],"docente",Resp4[4.50],B7)</f>
        <v>13</v>
      </c>
      <c r="E7" s="2">
        <f>COUNTIF(Resp4[4.50],B7)</f>
        <v>14</v>
      </c>
      <c r="F7" s="4">
        <f t="shared" ref="F7:F9" si="0">ROUND($E7/E$9*100,2)</f>
        <v>20.59</v>
      </c>
      <c r="G7" s="4">
        <f>ROUND($E7/SUM($E$7:$E$8)*100,2)</f>
        <v>20.59</v>
      </c>
      <c r="H7" s="2"/>
    </row>
    <row r="8" spans="1:8" x14ac:dyDescent="0.25">
      <c r="A8" s="2"/>
      <c r="B8" s="2" t="s">
        <v>194</v>
      </c>
      <c r="C8" s="4">
        <f>COUNTIFS(Resp4[Vínculo],"tecnico",Resp4[4.50],B8)</f>
        <v>33</v>
      </c>
      <c r="D8" s="4">
        <f>COUNTIFS(Resp4[Vínculo],"docente",Resp4[4.50],B8)</f>
        <v>21</v>
      </c>
      <c r="E8" s="2">
        <f>COUNTIF(Resp4[4.50],B8)</f>
        <v>54</v>
      </c>
      <c r="F8" s="22">
        <f t="shared" si="0"/>
        <v>79.41</v>
      </c>
      <c r="G8" s="4">
        <f>ROUND($E8/SUM($E$7:$E$8)*100,2)</f>
        <v>79.41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107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4.51</v>
      </c>
      <c r="B2" s="2" t="str">
        <f>VLOOKUP(A$2, Eixo4[], 3, FALSE)</f>
        <v>Você está acompanhando o processo de adequação do currículo dos cursos de graduação visando à inclusão da extensão, conforme a Meta 12.7 da Lei n.º 13.005/2014 (Plano Nacional de educação 2014-2024), a Resolução CNE n.º 7 de 18/12/2018 e a Resolução n.º 86/20-CEPE?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51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COUNTIFS(Resp4[Vínculo],"tecnico",Resp4[4.51],B7)</f>
        <v>0</v>
      </c>
      <c r="D7" s="4">
        <f>COUNTIFS(Resp4[Vínculo],"docente",Resp4[4.51],B7)</f>
        <v>11</v>
      </c>
      <c r="E7" s="2">
        <f>COUNTIF(Resp4[4.51],B7)</f>
        <v>11</v>
      </c>
      <c r="F7" s="4">
        <f t="shared" ref="F7:F9" si="0">ROUND($E7/E$9*100,2)</f>
        <v>16.18</v>
      </c>
      <c r="G7" s="4">
        <f>ROUND($E7/SUM($E$7:$E$8)*100,2)</f>
        <v>16.18</v>
      </c>
      <c r="H7" s="2"/>
    </row>
    <row r="8" spans="1:8" x14ac:dyDescent="0.25">
      <c r="A8" s="2"/>
      <c r="B8" s="2" t="s">
        <v>194</v>
      </c>
      <c r="C8" s="4">
        <f>COUNTIFS(Resp4[Vínculo],"tecnico",Resp4[4.51],B8)</f>
        <v>34</v>
      </c>
      <c r="D8" s="4">
        <f>COUNTIFS(Resp4[Vínculo],"docente",Resp4[4.51],B8)</f>
        <v>23</v>
      </c>
      <c r="E8" s="2">
        <f>COUNTIF(Resp4[4.51],B8)</f>
        <v>57</v>
      </c>
      <c r="F8" s="22">
        <f t="shared" si="0"/>
        <v>83.82</v>
      </c>
      <c r="G8" s="4">
        <f>ROUND($E8/SUM($E$7:$E$8)*100,2)</f>
        <v>83.82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6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108</v>
      </c>
    </row>
    <row r="2" spans="1:7" x14ac:dyDescent="0.25">
      <c r="A2" s="2" t="str">
        <f>TEXT(A1,"0.00")</f>
        <v>4.52</v>
      </c>
      <c r="B2" s="2" t="str">
        <f>VLOOKUP(A$2,Eixo4[],3,FALSE)</f>
        <v>Avalie as ações de orientação da Comissão de Implantação da Creditação da Extensão na UFPR (PROEC e PROGRAD) para revisão curricular visando implementar a creditação da extensão nos cursos:</v>
      </c>
    </row>
    <row r="3" spans="1:7" x14ac:dyDescent="0.25">
      <c r="A3" s="2" t="s">
        <v>494</v>
      </c>
      <c r="B3" s="2" t="str">
        <f>VLOOKUP(A$2,Eixo4[],4,FALSE)</f>
        <v>Eixo 4: Questão 52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34</v>
      </c>
      <c r="D6" s="2">
        <f>COUNTIF(Resp4[Vínculo],"docente")-SUM(D$7:D$12)</f>
        <v>23</v>
      </c>
      <c r="E6" s="4">
        <f>E13-SUM(E7:E12)</f>
        <v>57</v>
      </c>
      <c r="F6" s="4">
        <f>ROUND($E6/E$13*100,2)</f>
        <v>83.82</v>
      </c>
    </row>
    <row r="7" spans="1:7" x14ac:dyDescent="0.25">
      <c r="B7" s="2" t="s">
        <v>201</v>
      </c>
      <c r="C7" s="4">
        <f>COUNTIFS(Resp4[Vínculo],"tecnico",Resp4[4.52],B7)</f>
        <v>0</v>
      </c>
      <c r="D7" s="4">
        <f>COUNTIFS(Resp4[Vínculo],"docente",Resp4[4.52],B7)</f>
        <v>1</v>
      </c>
      <c r="E7" s="4">
        <f>COUNTIF(Resp4[4.52],B7)</f>
        <v>1</v>
      </c>
      <c r="F7" s="4">
        <f t="shared" ref="F7:F13" si="0">ROUND($E7/E$13*100,2)</f>
        <v>1.47</v>
      </c>
      <c r="G7" s="3">
        <f t="shared" ref="G7:G12" si="1">ROUND($E7/SUM($E$7:$E$12)*100,3)</f>
        <v>9.0909999999999993</v>
      </c>
    </row>
    <row r="8" spans="1:7" x14ac:dyDescent="0.25">
      <c r="B8" s="2" t="s">
        <v>206</v>
      </c>
      <c r="C8" s="4">
        <f>COUNTIFS(Resp4[Vínculo],"tecnico",Resp4[4.52],B8)</f>
        <v>0</v>
      </c>
      <c r="D8" s="4">
        <f>COUNTIFS(Resp4[Vínculo],"docente",Resp4[4.52],B8)</f>
        <v>1</v>
      </c>
      <c r="E8" s="4">
        <f>COUNTIF(Resp4[4.52],B8)</f>
        <v>1</v>
      </c>
      <c r="F8" s="4">
        <f t="shared" si="0"/>
        <v>1.47</v>
      </c>
      <c r="G8" s="3">
        <f t="shared" si="1"/>
        <v>9.0909999999999993</v>
      </c>
    </row>
    <row r="9" spans="1:7" x14ac:dyDescent="0.25">
      <c r="B9" s="2" t="s">
        <v>202</v>
      </c>
      <c r="C9" s="4">
        <f>COUNTIFS(Resp4[Vínculo],"tecnico",Resp4[4.52],B9)</f>
        <v>0</v>
      </c>
      <c r="D9" s="4">
        <f>COUNTIFS(Resp4[Vínculo],"docente",Resp4[4.52],B9)</f>
        <v>2</v>
      </c>
      <c r="E9" s="4">
        <f>COUNTIF(Resp4[4.52],B9)</f>
        <v>2</v>
      </c>
      <c r="F9" s="4">
        <f t="shared" si="0"/>
        <v>2.94</v>
      </c>
      <c r="G9" s="3">
        <f t="shared" si="1"/>
        <v>18.181999999999999</v>
      </c>
    </row>
    <row r="10" spans="1:7" x14ac:dyDescent="0.25">
      <c r="B10" s="2" t="s">
        <v>30</v>
      </c>
      <c r="C10" s="4">
        <f>COUNTIFS(Resp4[Vínculo],"tecnico",Resp4[4.52],B10)</f>
        <v>0</v>
      </c>
      <c r="D10" s="4">
        <f>COUNTIFS(Resp4[Vínculo],"docente",Resp4[4.52],B10)</f>
        <v>3</v>
      </c>
      <c r="E10" s="4">
        <f>COUNTIF(Resp4[4.52],B10)</f>
        <v>3</v>
      </c>
      <c r="F10" s="4">
        <f t="shared" si="0"/>
        <v>4.41</v>
      </c>
      <c r="G10" s="3">
        <f t="shared" si="1"/>
        <v>27.273</v>
      </c>
    </row>
    <row r="11" spans="1:7" x14ac:dyDescent="0.25">
      <c r="B11" s="2" t="s">
        <v>199</v>
      </c>
      <c r="C11" s="4">
        <f>COUNTIFS(Resp4[Vínculo],"tecnico",Resp4[4.52],B11)</f>
        <v>0</v>
      </c>
      <c r="D11" s="4">
        <f>COUNTIFS(Resp4[Vínculo],"docente",Resp4[4.52],B11)</f>
        <v>3</v>
      </c>
      <c r="E11" s="4">
        <f>COUNTIF(Resp4[4.52],B11)</f>
        <v>3</v>
      </c>
      <c r="F11" s="4">
        <f t="shared" si="0"/>
        <v>4.41</v>
      </c>
      <c r="G11" s="3">
        <f t="shared" si="1"/>
        <v>27.273</v>
      </c>
    </row>
    <row r="12" spans="1:7" x14ac:dyDescent="0.25">
      <c r="B12" s="7" t="s">
        <v>200</v>
      </c>
      <c r="C12" s="4">
        <f>COUNTIFS(Resp4[Vínculo],"tecnico",Resp4[4.52],B12)</f>
        <v>0</v>
      </c>
      <c r="D12" s="4">
        <f>COUNTIFS(Resp4[Vínculo],"docente",Resp4[4.52],B12)</f>
        <v>1</v>
      </c>
      <c r="E12" s="4">
        <f>COUNTIF(Resp4[4.52],B12)</f>
        <v>1</v>
      </c>
      <c r="F12" s="22">
        <f t="shared" si="0"/>
        <v>1.47</v>
      </c>
      <c r="G12" s="3">
        <f t="shared" si="1"/>
        <v>9.0909999999999993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27.273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9.0909999999999993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27.273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36.363999999999997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7109375" style="2" customWidth="1"/>
    <col min="3" max="3" width="18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109</v>
      </c>
    </row>
    <row r="2" spans="1:7" x14ac:dyDescent="0.25">
      <c r="A2" s="2" t="str">
        <f>TEXT(A1,"0.00")</f>
        <v>4.53</v>
      </c>
      <c r="B2" s="2" t="str">
        <f>VLOOKUP(A$2,Eixo4[],3,FALSE)</f>
        <v>Avalie o suporte do Comitê Setorial de Extensão para o desenvolvimento das atividades extensionistas, considerando os seguintes pontos: [Incentivo para o desenvolvimento da extensão]</v>
      </c>
    </row>
    <row r="3" spans="1:7" x14ac:dyDescent="0.25">
      <c r="A3" s="2" t="s">
        <v>494</v>
      </c>
      <c r="B3" s="2" t="str">
        <f>VLOOKUP(A$2,Eixo4[],4,FALSE)</f>
        <v>Eixo 4: Questão 53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COUNTIFS(Resp4[Vínculo],"tecnico",Resp4[4.53],B7)</f>
        <v>0</v>
      </c>
      <c r="D7" s="4">
        <f>COUNTIFS(Resp4[Vínculo],"docente",Resp4[4.53],B7)</f>
        <v>0</v>
      </c>
      <c r="E7" s="4">
        <f>COUNTIF(Resp4[4.53],B7)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COUNTIFS(Resp4[Vínculo],"tecnico",Resp4[4.53],B8)</f>
        <v>0</v>
      </c>
      <c r="D8" s="4">
        <f>COUNTIFS(Resp4[Vínculo],"docente",Resp4[4.53],B8)</f>
        <v>0</v>
      </c>
      <c r="E8" s="4">
        <f>COUNTIF(Resp4[4.53],B8)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COUNTIFS(Resp4[Vínculo],"tecnico",Resp4[4.53],B9)</f>
        <v>0</v>
      </c>
      <c r="D9" s="4">
        <f>COUNTIFS(Resp4[Vínculo],"docente",Resp4[4.53],B9)</f>
        <v>5</v>
      </c>
      <c r="E9" s="4">
        <f>COUNTIF(Resp4[4.53],B9)</f>
        <v>5</v>
      </c>
      <c r="F9" s="4">
        <f t="shared" si="0"/>
        <v>7.35</v>
      </c>
      <c r="G9" s="3">
        <f t="shared" si="1"/>
        <v>35.713999999999999</v>
      </c>
    </row>
    <row r="10" spans="1:7" x14ac:dyDescent="0.25">
      <c r="B10" s="2" t="s">
        <v>30</v>
      </c>
      <c r="C10" s="4">
        <f>COUNTIFS(Resp4[Vínculo],"tecnico",Resp4[4.53],B10)</f>
        <v>1</v>
      </c>
      <c r="D10" s="4">
        <f>COUNTIFS(Resp4[Vínculo],"docente",Resp4[4.53],B10)</f>
        <v>3</v>
      </c>
      <c r="E10" s="4">
        <f>COUNTIF(Resp4[4.53],B10)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COUNTIFS(Resp4[Vínculo],"tecnico",Resp4[4.53],B11)</f>
        <v>0</v>
      </c>
      <c r="D11" s="4">
        <f>COUNTIFS(Resp4[Vínculo],"docente",Resp4[4.53],B11)</f>
        <v>4</v>
      </c>
      <c r="E11" s="4">
        <f>COUNTIF(Resp4[4.53],B11)</f>
        <v>4</v>
      </c>
      <c r="F11" s="4">
        <f t="shared" si="0"/>
        <v>5.88</v>
      </c>
      <c r="G11" s="3">
        <f t="shared" si="1"/>
        <v>28.571000000000002</v>
      </c>
    </row>
    <row r="12" spans="1:7" x14ac:dyDescent="0.25">
      <c r="B12" s="7" t="s">
        <v>200</v>
      </c>
      <c r="C12" s="4">
        <f>COUNTIFS(Resp4[Vínculo],"tecnico",Resp4[4.53],B12)</f>
        <v>0</v>
      </c>
      <c r="D12" s="4">
        <f>COUNTIFS(Resp4[Vínculo],"docente",Resp4[4.53],B12)</f>
        <v>1</v>
      </c>
      <c r="E12" s="4">
        <f>COUNTIF(Resp4[4.53],B12)</f>
        <v>1</v>
      </c>
      <c r="F12" s="22">
        <f t="shared" si="0"/>
        <v>1.47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38.462000000000003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110</v>
      </c>
    </row>
    <row r="2" spans="1:7" x14ac:dyDescent="0.25">
      <c r="A2" s="2" t="str">
        <f>TEXT(A1,"0.00")</f>
        <v>4.54</v>
      </c>
      <c r="B2" s="2" t="str">
        <f>VLOOKUP(A$2,Eixo4[],3,FALSE)</f>
        <v>Avalie o suporte do Comitê Setorial de Extensão para o desenvolvimento das atividades extensionistas, considerando os seguintes pontos: [Orientações sobre a tramitação de propostas e relatórios]</v>
      </c>
    </row>
    <row r="3" spans="1:7" x14ac:dyDescent="0.25">
      <c r="A3" s="2" t="s">
        <v>494</v>
      </c>
      <c r="B3" s="2" t="str">
        <f>VLOOKUP(A$2,Eixo4[],4,FALSE)</f>
        <v>Eixo 4: Questão 54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34</v>
      </c>
      <c r="D6" s="2">
        <f>COUNTIF(Resp4[Vínculo],"docente")-SUM(D$7:D$12)</f>
        <v>9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COUNTIFS(Resp4[Vínculo],"tecnico",Resp4[4.02],B$8)</f>
        <v>0</v>
      </c>
      <c r="D7" s="4">
        <f>COUNTIFS(Resp4[Vínculo],"docente",Resp4[4.02],B7)</f>
        <v>1</v>
      </c>
      <c r="E7" s="4">
        <f>COUNTIF(Resp4[4.54],B7)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COUNTIF(Resp4[4.54],B8)</f>
        <v>1</v>
      </c>
      <c r="F8" s="4">
        <f t="shared" si="0"/>
        <v>1.47</v>
      </c>
      <c r="G8" s="3">
        <f t="shared" si="1"/>
        <v>7.1429999999999998</v>
      </c>
    </row>
    <row r="9" spans="1:7" x14ac:dyDescent="0.25">
      <c r="B9" s="2" t="s">
        <v>202</v>
      </c>
      <c r="C9" s="4">
        <f>COUNTIFS(Resp4[Vínculo],"tecnico",Resp4[4.02],B$8)</f>
        <v>0</v>
      </c>
      <c r="D9" s="4">
        <f>COUNTIFS(Resp4[Vínculo],"docente",Resp4[4.02],B9)</f>
        <v>1</v>
      </c>
      <c r="E9" s="4">
        <f>COUNTIF(Resp4[4.54],B9)</f>
        <v>5</v>
      </c>
      <c r="F9" s="4">
        <f t="shared" si="0"/>
        <v>7.35</v>
      </c>
      <c r="G9" s="3">
        <f t="shared" si="1"/>
        <v>35.713999999999999</v>
      </c>
    </row>
    <row r="10" spans="1:7" x14ac:dyDescent="0.25">
      <c r="B10" s="2" t="s">
        <v>30</v>
      </c>
      <c r="C10" s="4">
        <f>COUNTIFS(Resp4[Vínculo],"tecnico",Resp4[4.02],B$8)</f>
        <v>0</v>
      </c>
      <c r="D10" s="4">
        <f>COUNTIFS(Resp4[Vínculo],"docente",Resp4[4.02],B10)</f>
        <v>5</v>
      </c>
      <c r="E10" s="4">
        <f>COUNTIF(Resp4[4.54],B10)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COUNTIFS(Resp4[Vínculo],"tecnico",Resp4[4.02],B$8)</f>
        <v>0</v>
      </c>
      <c r="D11" s="4">
        <f>COUNTIFS(Resp4[Vínculo],"docente",Resp4[4.02],B11)</f>
        <v>15</v>
      </c>
      <c r="E11" s="4">
        <f>COUNTIF(Resp4[4.54],B11)</f>
        <v>3</v>
      </c>
      <c r="F11" s="4">
        <f t="shared" si="0"/>
        <v>4.41</v>
      </c>
      <c r="G11" s="3">
        <f t="shared" si="1"/>
        <v>21.428999999999998</v>
      </c>
    </row>
    <row r="12" spans="1:7" x14ac:dyDescent="0.25">
      <c r="B12" s="7" t="s">
        <v>200</v>
      </c>
      <c r="C12" s="4">
        <f>COUNTIFS(Resp4[Vínculo],"tecnico",Resp4[4.02],B$8)</f>
        <v>0</v>
      </c>
      <c r="D12" s="4">
        <f>COUNTIFS(Resp4[Vínculo],"docente",Resp4[4.02],B12)</f>
        <v>2</v>
      </c>
      <c r="E12" s="4">
        <f>COUNTIF(Resp4[4.54],B12)</f>
        <v>1</v>
      </c>
      <c r="F12" s="22">
        <f t="shared" si="0"/>
        <v>1.47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 t="e">
        <f>ROUND(D18/SUM(D$18:D$21)*100,3)</f>
        <v>#DIV/0!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 t="e">
        <f t="shared" ref="E19:E21" si="2">ROUND(D19/SUM(D$18:D$21)*100,3)</f>
        <v>#DIV/0!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 t="e">
        <f t="shared" si="2"/>
        <v>#DIV/0!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 t="e">
        <f t="shared" si="2"/>
        <v>#DIV/0!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68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7.8554687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111</v>
      </c>
    </row>
    <row r="2" spans="1:7" x14ac:dyDescent="0.25">
      <c r="A2" s="2" t="str">
        <f>TEXT(A1,"0.00")</f>
        <v>4.55</v>
      </c>
      <c r="B2" s="2" t="str">
        <f>VLOOKUP(A$2,Eixo4[],3,FALSE)</f>
        <v>Avalie o suporte do Comitê Setorial de Extensão para o desenvolvimento das atividades extensionistas, considerando os seguintes pontos: [Emissão de pareceres sobre as propostas]</v>
      </c>
    </row>
    <row r="3" spans="1:7" x14ac:dyDescent="0.25">
      <c r="A3" s="2" t="s">
        <v>494</v>
      </c>
      <c r="B3" s="2" t="str">
        <f>VLOOKUP(A$2,Eixo4[],4,FALSE)</f>
        <v>Eixo 4: Questão 55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COUNTIFS(Resp4[Vínculo],"tecnico",Resp4[4.55],B7)</f>
        <v>0</v>
      </c>
      <c r="D7" s="4">
        <f>COUNTIFS(Resp4[Vínculo],"docente",Resp4[4.55],B7)</f>
        <v>3</v>
      </c>
      <c r="E7" s="4">
        <f>COUNTIF(Resp4[4.55],B7)</f>
        <v>3</v>
      </c>
      <c r="F7" s="4">
        <f t="shared" ref="F7:F13" si="0">ROUND($E7/E$13*100,2)</f>
        <v>4.41</v>
      </c>
      <c r="G7" s="3">
        <f t="shared" ref="G7:G12" si="1">ROUND($E7/SUM($E$7:$E$12)*100,3)</f>
        <v>21.428999999999998</v>
      </c>
    </row>
    <row r="8" spans="1:7" x14ac:dyDescent="0.25">
      <c r="B8" s="2" t="s">
        <v>206</v>
      </c>
      <c r="C8" s="4">
        <f>COUNTIFS(Resp4[Vínculo],"tecnico",Resp4[4.55],B8)</f>
        <v>0</v>
      </c>
      <c r="D8" s="4">
        <f>COUNTIFS(Resp4[Vínculo],"docente",Resp4[4.55],B8)</f>
        <v>1</v>
      </c>
      <c r="E8" s="4">
        <f>COUNTIF(Resp4[4.55],B8)</f>
        <v>1</v>
      </c>
      <c r="F8" s="4">
        <f t="shared" si="0"/>
        <v>1.47</v>
      </c>
      <c r="G8" s="3">
        <f t="shared" si="1"/>
        <v>7.1429999999999998</v>
      </c>
    </row>
    <row r="9" spans="1:7" x14ac:dyDescent="0.25">
      <c r="B9" s="2" t="s">
        <v>202</v>
      </c>
      <c r="C9" s="4">
        <f>COUNTIFS(Resp4[Vínculo],"tecnico",Resp4[4.55],B9)</f>
        <v>1</v>
      </c>
      <c r="D9" s="4">
        <f>COUNTIFS(Resp4[Vínculo],"docente",Resp4[4.55],B9)</f>
        <v>2</v>
      </c>
      <c r="E9" s="4">
        <f>COUNTIF(Resp4[4.55],B9)</f>
        <v>3</v>
      </c>
      <c r="F9" s="4">
        <f t="shared" si="0"/>
        <v>4.41</v>
      </c>
      <c r="G9" s="3">
        <f t="shared" si="1"/>
        <v>21.428999999999998</v>
      </c>
    </row>
    <row r="10" spans="1:7" x14ac:dyDescent="0.25">
      <c r="B10" s="2" t="s">
        <v>30</v>
      </c>
      <c r="C10" s="4">
        <f>COUNTIFS(Resp4[Vínculo],"tecnico",Resp4[4.55],B10)</f>
        <v>0</v>
      </c>
      <c r="D10" s="4">
        <f>COUNTIFS(Resp4[Vínculo],"docente",Resp4[4.55],B10)</f>
        <v>4</v>
      </c>
      <c r="E10" s="4">
        <f>COUNTIF(Resp4[4.55],B10)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COUNTIFS(Resp4[Vínculo],"tecnico",Resp4[4.55],B11)</f>
        <v>0</v>
      </c>
      <c r="D11" s="4">
        <f>COUNTIFS(Resp4[Vínculo],"docente",Resp4[4.55],B11)</f>
        <v>3</v>
      </c>
      <c r="E11" s="4">
        <f>COUNTIF(Resp4[4.55],B11)</f>
        <v>3</v>
      </c>
      <c r="F11" s="4">
        <f t="shared" si="0"/>
        <v>4.41</v>
      </c>
      <c r="G11" s="3">
        <f t="shared" si="1"/>
        <v>21.428999999999998</v>
      </c>
    </row>
    <row r="12" spans="1:7" x14ac:dyDescent="0.25">
      <c r="B12" s="7" t="s">
        <v>200</v>
      </c>
      <c r="C12" s="4">
        <f>COUNTIFS(Resp4[Vínculo],"tecnico",Resp4[4.55],B12)</f>
        <v>0</v>
      </c>
      <c r="D12" s="4">
        <f>COUNTIFS(Resp4[Vínculo],"docente",Resp4[4.55],B12)</f>
        <v>0</v>
      </c>
      <c r="E12" s="4">
        <f>COUNTIF(Resp4[4.55],B12)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23.077000000000002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19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112</v>
      </c>
    </row>
    <row r="2" spans="1:7" x14ac:dyDescent="0.25">
      <c r="A2" s="2" t="str">
        <f>TEXT(A1,"0.00")</f>
        <v>4.56</v>
      </c>
      <c r="B2" s="2" t="str">
        <f>VLOOKUP(A$2,Eixo4[],3,FALSE)</f>
        <v>Avalie o suporte do Comitê Setorial de Extensão para o desenvolvimento das atividades extensionistas, considerando os seguintes pontos: [Publicização de orientações sobre a Extensão]</v>
      </c>
    </row>
    <row r="3" spans="1:7" x14ac:dyDescent="0.25">
      <c r="A3" s="2" t="s">
        <v>494</v>
      </c>
      <c r="B3" s="2" t="str">
        <f>VLOOKUP(A$2,Eixo4[],4,FALSE)</f>
        <v>Eixo 4: Questão 56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COUNTIFS(Resp4[Vínculo],"tecnico",Resp4[4.56],B7)</f>
        <v>0</v>
      </c>
      <c r="D7" s="4">
        <f>COUNTIFS(Resp4[Vínculo],"docente",Resp4[4.56],B7)</f>
        <v>2</v>
      </c>
      <c r="E7" s="4">
        <f>COUNTIF(Resp4[4.56],B7)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COUNTIFS(Resp4[Vínculo],"tecnico",Resp4[4.56],B8)</f>
        <v>1</v>
      </c>
      <c r="D8" s="4">
        <f>COUNTIFS(Resp4[Vínculo],"docente",Resp4[4.56],B8)</f>
        <v>1</v>
      </c>
      <c r="E8" s="4">
        <f>COUNTIF(Resp4[4.56],B8)</f>
        <v>2</v>
      </c>
      <c r="F8" s="4">
        <f t="shared" si="0"/>
        <v>2.94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COUNTIFS(Resp4[Vínculo],"tecnico",Resp4[4.56],B9)</f>
        <v>0</v>
      </c>
      <c r="D9" s="4">
        <f>COUNTIFS(Resp4[Vínculo],"docente",Resp4[4.56],B9)</f>
        <v>4</v>
      </c>
      <c r="E9" s="4">
        <f>COUNTIF(Resp4[4.56],B9)</f>
        <v>4</v>
      </c>
      <c r="F9" s="4">
        <f t="shared" si="0"/>
        <v>5.88</v>
      </c>
      <c r="G9" s="3">
        <f t="shared" si="1"/>
        <v>28.571000000000002</v>
      </c>
    </row>
    <row r="10" spans="1:7" x14ac:dyDescent="0.25">
      <c r="B10" s="2" t="s">
        <v>30</v>
      </c>
      <c r="C10" s="4">
        <f>COUNTIFS(Resp4[Vínculo],"tecnico",Resp4[4.56],B10)</f>
        <v>0</v>
      </c>
      <c r="D10" s="4">
        <f>COUNTIFS(Resp4[Vínculo],"docente",Resp4[4.56],B10)</f>
        <v>2</v>
      </c>
      <c r="E10" s="4">
        <f>COUNTIF(Resp4[4.56],B10)</f>
        <v>2</v>
      </c>
      <c r="F10" s="4">
        <f t="shared" si="0"/>
        <v>2.94</v>
      </c>
      <c r="G10" s="3">
        <f t="shared" si="1"/>
        <v>14.286</v>
      </c>
    </row>
    <row r="11" spans="1:7" x14ac:dyDescent="0.25">
      <c r="B11" s="2" t="s">
        <v>199</v>
      </c>
      <c r="C11" s="4">
        <f>COUNTIFS(Resp4[Vínculo],"tecnico",Resp4[4.56],B11)</f>
        <v>0</v>
      </c>
      <c r="D11" s="4">
        <f>COUNTIFS(Resp4[Vínculo],"docente",Resp4[4.56],B11)</f>
        <v>4</v>
      </c>
      <c r="E11" s="4">
        <f>COUNTIF(Resp4[4.56],B11)</f>
        <v>4</v>
      </c>
      <c r="F11" s="4">
        <f t="shared" si="0"/>
        <v>5.88</v>
      </c>
      <c r="G11" s="3">
        <f t="shared" si="1"/>
        <v>28.571000000000002</v>
      </c>
    </row>
    <row r="12" spans="1:7" x14ac:dyDescent="0.25">
      <c r="B12" s="7" t="s">
        <v>200</v>
      </c>
      <c r="C12" s="4">
        <f>COUNTIFS(Resp4[Vínculo],"tecnico",Resp4[4.56],B12)</f>
        <v>0</v>
      </c>
      <c r="D12" s="4">
        <f>COUNTIFS(Resp4[Vínculo],"docente",Resp4[4.56],B12)</f>
        <v>0</v>
      </c>
      <c r="E12" s="4">
        <f>COUNTIF(Resp4[4.56],B12)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5</v>
      </c>
      <c r="E25" s="15">
        <f>ROUND(D25/SUM(D$25:D$28)*100,3)</f>
        <v>38.462000000000003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30.768999999999998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7</v>
      </c>
      <c r="E6" s="4">
        <f>E13-SUM(E7:E12)</f>
        <v>10</v>
      </c>
      <c r="F6" s="4">
        <f>ROUND($E6/E$13*100,2)</f>
        <v>14.71</v>
      </c>
    </row>
    <row r="7" spans="1:7" x14ac:dyDescent="0.25">
      <c r="B7" t="s">
        <v>203</v>
      </c>
      <c r="C7" s="4">
        <f>COUNTIFS(Resp4[Vínculo],"tecnico",Resp4[4.71],B7)</f>
        <v>10</v>
      </c>
      <c r="D7" s="4">
        <f>COUNTIFS(Resp4[Vínculo],"docente",Resp4[4.71],B7)</f>
        <v>19</v>
      </c>
      <c r="E7" s="4">
        <f>COUNTIF(Resp4[4.71],B7)</f>
        <v>29</v>
      </c>
      <c r="F7" s="4">
        <f t="shared" ref="F7:F12" si="0">ROUND($E7/E$13*100,2)</f>
        <v>42.65</v>
      </c>
      <c r="G7" s="3">
        <f t="shared" ref="G7:G12" si="1">ROUND($E7/SUM($E$7:$E$12)*100,3)</f>
        <v>50</v>
      </c>
    </row>
    <row r="8" spans="1:7" x14ac:dyDescent="0.25">
      <c r="B8" s="2" t="s">
        <v>206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2</v>
      </c>
      <c r="D10" s="4">
        <f>COUNTIFS(Resp4[Vínculo],"docente",Resp4[4.71],B10)</f>
        <v>0</v>
      </c>
      <c r="E10" s="4">
        <f>COUNTIF(Resp4[4.71],B10)</f>
        <v>2</v>
      </c>
      <c r="F10" s="4">
        <f t="shared" si="0"/>
        <v>2.94</v>
      </c>
      <c r="G10" s="3">
        <f t="shared" si="1"/>
        <v>3.448</v>
      </c>
    </row>
    <row r="11" spans="1:7" x14ac:dyDescent="0.25">
      <c r="B11" s="2" t="s">
        <v>199</v>
      </c>
      <c r="C11" s="4">
        <f>COUNTIFS(Resp4[Vínculo],"tecnico",Resp4[4.71],B11)</f>
        <v>9</v>
      </c>
      <c r="D11" s="4">
        <f>COUNTIFS(Resp4[Vínculo],"docente",Resp4[4.71],B11)</f>
        <v>5</v>
      </c>
      <c r="E11" s="4">
        <f>COUNTIF(Resp4[4.71],B11)</f>
        <v>14</v>
      </c>
      <c r="F11" s="4">
        <f t="shared" si="0"/>
        <v>20.59</v>
      </c>
      <c r="G11" s="3">
        <f t="shared" si="1"/>
        <v>24.138000000000002</v>
      </c>
    </row>
    <row r="12" spans="1:7" x14ac:dyDescent="0.25">
      <c r="B12" s="7" t="s">
        <v>200</v>
      </c>
      <c r="C12" s="4">
        <f>COUNTIFS(Resp4[Vínculo],"tecnico",Resp4[4.71],B12)</f>
        <v>10</v>
      </c>
      <c r="D12" s="4">
        <f>COUNTIFS(Resp4[Vínculo],"docente",Resp4[4.71],B12)</f>
        <v>3</v>
      </c>
      <c r="E12" s="4">
        <f>COUNTIF(Resp4[4.71],B12)</f>
        <v>13</v>
      </c>
      <c r="F12" s="22">
        <f t="shared" si="0"/>
        <v>19.12</v>
      </c>
      <c r="G12" s="3">
        <f t="shared" si="1"/>
        <v>22.414000000000001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>SUM(F6:F12)</f>
        <v>100.01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32.258000000000003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6.452</v>
      </c>
    </row>
    <row r="21" spans="2:7" x14ac:dyDescent="0.25">
      <c r="B21" s="32" t="s">
        <v>33</v>
      </c>
      <c r="C21" s="32" t="s">
        <v>32</v>
      </c>
      <c r="D21" s="18">
        <f>SUM(C11:C12)</f>
        <v>19</v>
      </c>
      <c r="E21" s="19">
        <f t="shared" si="2"/>
        <v>61.29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19</v>
      </c>
      <c r="E26" s="15">
        <f>ROUND(D26/SUM(D$25:D$28)*100,3)</f>
        <v>70.37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29.63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42578125" style="2" customWidth="1"/>
    <col min="3" max="3" width="15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113</v>
      </c>
    </row>
    <row r="2" spans="1:7" x14ac:dyDescent="0.25">
      <c r="A2" s="2" t="str">
        <f>TEXT(A1,"0.00")</f>
        <v>4.57</v>
      </c>
      <c r="B2" s="2" t="str">
        <f>VLOOKUP(A$2,Eixo4[],3,FALSE)</f>
        <v>Avalie o suporte do Comitê Setorial de Extensão para o desenvolvimento das atividades extensionistas, considerando os seguintes pontos: [Representação no CAEX (Comitê Assessor de Extensão)]</v>
      </c>
    </row>
    <row r="3" spans="1:7" x14ac:dyDescent="0.25">
      <c r="A3" s="2" t="s">
        <v>494</v>
      </c>
      <c r="B3" s="2" t="str">
        <f>VLOOKUP(A$2,Eixo4[],4,FALSE)</f>
        <v>Eixo 4: Questão 57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COUNTIFS(Resp4[Vínculo],"tecnico",Resp4[4.57],B7)</f>
        <v>0</v>
      </c>
      <c r="D7" s="4">
        <f>COUNTIFS(Resp4[Vínculo],"docente",Resp4[4.57],B7)</f>
        <v>3</v>
      </c>
      <c r="E7" s="4">
        <f>COUNTIF(Resp4[4.57],B7)</f>
        <v>3</v>
      </c>
      <c r="F7" s="4">
        <f t="shared" ref="F7:F13" si="0">ROUND($E7/E$13*100,2)</f>
        <v>4.41</v>
      </c>
      <c r="G7" s="3">
        <f t="shared" ref="G7:G12" si="1">ROUND($E7/SUM($E$7:$E$12)*100,3)</f>
        <v>21.428999999999998</v>
      </c>
    </row>
    <row r="8" spans="1:7" x14ac:dyDescent="0.25">
      <c r="B8" s="2" t="s">
        <v>206</v>
      </c>
      <c r="C8" s="4">
        <f>COUNTIFS(Resp4[Vínculo],"tecnico",Resp4[4.57],B8)</f>
        <v>0</v>
      </c>
      <c r="D8" s="4">
        <f>COUNTIFS(Resp4[Vínculo],"docente",Resp4[4.57],B8)</f>
        <v>1</v>
      </c>
      <c r="E8" s="4">
        <f>COUNTIF(Resp4[4.57],B8)</f>
        <v>1</v>
      </c>
      <c r="F8" s="4">
        <f t="shared" si="0"/>
        <v>1.47</v>
      </c>
      <c r="G8" s="3">
        <f t="shared" si="1"/>
        <v>7.1429999999999998</v>
      </c>
    </row>
    <row r="9" spans="1:7" x14ac:dyDescent="0.25">
      <c r="B9" s="2" t="s">
        <v>202</v>
      </c>
      <c r="C9" s="4">
        <f>COUNTIFS(Resp4[Vínculo],"tecnico",Resp4[4.57],B9)</f>
        <v>0</v>
      </c>
      <c r="D9" s="4">
        <f>COUNTIFS(Resp4[Vínculo],"docente",Resp4[4.57],B9)</f>
        <v>2</v>
      </c>
      <c r="E9" s="4">
        <f>COUNTIF(Resp4[4.57],B9)</f>
        <v>2</v>
      </c>
      <c r="F9" s="4">
        <f t="shared" si="0"/>
        <v>2.94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COUNTIFS(Resp4[Vínculo],"tecnico",Resp4[4.57],B10)</f>
        <v>1</v>
      </c>
      <c r="D10" s="4">
        <f>COUNTIFS(Resp4[Vínculo],"docente",Resp4[4.57],B10)</f>
        <v>2</v>
      </c>
      <c r="E10" s="4">
        <f>COUNTIF(Resp4[4.57],B10)</f>
        <v>3</v>
      </c>
      <c r="F10" s="4">
        <f t="shared" si="0"/>
        <v>4.41</v>
      </c>
      <c r="G10" s="3">
        <f t="shared" si="1"/>
        <v>21.428999999999998</v>
      </c>
    </row>
    <row r="11" spans="1:7" x14ac:dyDescent="0.25">
      <c r="B11" s="2" t="s">
        <v>199</v>
      </c>
      <c r="C11" s="4">
        <f>COUNTIFS(Resp4[Vínculo],"tecnico",Resp4[4.57],B11)</f>
        <v>0</v>
      </c>
      <c r="D11" s="4">
        <f>COUNTIFS(Resp4[Vínculo],"docente",Resp4[4.57],B11)</f>
        <v>5</v>
      </c>
      <c r="E11" s="4">
        <f>COUNTIF(Resp4[4.57],B11)</f>
        <v>5</v>
      </c>
      <c r="F11" s="4">
        <f t="shared" si="0"/>
        <v>7.35</v>
      </c>
      <c r="G11" s="3">
        <f t="shared" si="1"/>
        <v>35.713999999999999</v>
      </c>
    </row>
    <row r="12" spans="1:7" x14ac:dyDescent="0.25">
      <c r="B12" s="7" t="s">
        <v>200</v>
      </c>
      <c r="C12" s="4">
        <f>COUNTIFS(Resp4[Vínculo],"tecnico",Resp4[4.57],B12)</f>
        <v>0</v>
      </c>
      <c r="D12" s="4">
        <f>COUNTIFS(Resp4[Vínculo],"docente",Resp4[4.57],B12)</f>
        <v>0</v>
      </c>
      <c r="E12" s="4">
        <f>COUNTIF(Resp4[4.57],B12)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100.00099999999999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15.385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17.855468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114</v>
      </c>
    </row>
    <row r="2" spans="1:7" x14ac:dyDescent="0.25">
      <c r="A2" s="2" t="str">
        <f>TEXT(A1,"0.00")</f>
        <v>4.58</v>
      </c>
      <c r="B2" s="2" t="str">
        <f>VLOOKUP(A$2,Eixo4[],3,FALSE)</f>
        <v>Avalie o suporte do Comitê Setorial de Extensão para o desenvolvimento das atividades extensionistas, considerando os seguintes pontos: [Suporte para o desenvolvimento da extensão durante a pandemia]</v>
      </c>
    </row>
    <row r="3" spans="1:7" x14ac:dyDescent="0.25">
      <c r="A3" s="2" t="s">
        <v>494</v>
      </c>
      <c r="B3" s="2" t="str">
        <f>VLOOKUP(A$2,Eixo4[],4,FALSE)</f>
        <v>Eixo 4: Questão 58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COUNTIFS(Resp4[Vínculo],"tecnico",Resp4[4.58],B7)</f>
        <v>0</v>
      </c>
      <c r="D7" s="4">
        <f>COUNTIFS(Resp4[Vínculo],"docente",Resp4[4.58],B7)</f>
        <v>4</v>
      </c>
      <c r="E7" s="4">
        <f>COUNTIF(Resp4[4.58],B7)</f>
        <v>4</v>
      </c>
      <c r="F7" s="4">
        <f t="shared" ref="F7:F13" si="0">ROUND($E7/E$13*100,2)</f>
        <v>5.88</v>
      </c>
      <c r="G7" s="3">
        <f t="shared" ref="G7:G12" si="1">ROUND($E7/SUM($E$7:$E$12)*100,3)</f>
        <v>28.571000000000002</v>
      </c>
    </row>
    <row r="8" spans="1:7" x14ac:dyDescent="0.25">
      <c r="B8" s="2" t="s">
        <v>206</v>
      </c>
      <c r="C8" s="4">
        <f>COUNTIFS(Resp4[Vínculo],"tecnico",Resp4[4.58],B8)</f>
        <v>1</v>
      </c>
      <c r="D8" s="4">
        <f>COUNTIFS(Resp4[Vínculo],"docente",Resp4[4.58],B8)</f>
        <v>0</v>
      </c>
      <c r="E8" s="4">
        <f>COUNTIF(Resp4[4.58],B8)</f>
        <v>1</v>
      </c>
      <c r="F8" s="4">
        <f t="shared" si="0"/>
        <v>1.47</v>
      </c>
      <c r="G8" s="3">
        <f t="shared" si="1"/>
        <v>7.1429999999999998</v>
      </c>
    </row>
    <row r="9" spans="1:7" x14ac:dyDescent="0.25">
      <c r="B9" s="2" t="s">
        <v>202</v>
      </c>
      <c r="C9" s="4">
        <f>COUNTIFS(Resp4[Vínculo],"tecnico",Resp4[4.58],B9)</f>
        <v>0</v>
      </c>
      <c r="D9" s="4">
        <f>COUNTIFS(Resp4[Vínculo],"docente",Resp4[4.58],B9)</f>
        <v>1</v>
      </c>
      <c r="E9" s="4">
        <f>COUNTIF(Resp4[4.58],B9)</f>
        <v>1</v>
      </c>
      <c r="F9" s="4">
        <f t="shared" si="0"/>
        <v>1.47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COUNTIFS(Resp4[Vínculo],"tecnico",Resp4[4.58],B10)</f>
        <v>0</v>
      </c>
      <c r="D10" s="4">
        <f>COUNTIFS(Resp4[Vínculo],"docente",Resp4[4.58],B10)</f>
        <v>4</v>
      </c>
      <c r="E10" s="4">
        <f>COUNTIF(Resp4[4.58],B10)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COUNTIFS(Resp4[Vínculo],"tecnico",Resp4[4.58],B11)</f>
        <v>0</v>
      </c>
      <c r="D11" s="4">
        <f>COUNTIFS(Resp4[Vínculo],"docente",Resp4[4.58],B11)</f>
        <v>4</v>
      </c>
      <c r="E11" s="4">
        <f>COUNTIF(Resp4[4.58],B11)</f>
        <v>4</v>
      </c>
      <c r="F11" s="4">
        <f t="shared" si="0"/>
        <v>5.88</v>
      </c>
      <c r="G11" s="3">
        <f t="shared" si="1"/>
        <v>28.571000000000002</v>
      </c>
    </row>
    <row r="12" spans="1:7" x14ac:dyDescent="0.25">
      <c r="B12" s="7" t="s">
        <v>200</v>
      </c>
      <c r="C12" s="4">
        <f>COUNTIFS(Resp4[Vínculo],"tecnico",Resp4[4.58],B12)</f>
        <v>0</v>
      </c>
      <c r="D12" s="4">
        <f>COUNTIFS(Resp4[Vínculo],"docente",Resp4[4.58],B12)</f>
        <v>0</v>
      </c>
      <c r="E12" s="4">
        <f>COUNTIF(Resp4[4.58],B12)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99.998999999999995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30.768999999999998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30.768999999999998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42578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115</v>
      </c>
    </row>
    <row r="2" spans="1:7" x14ac:dyDescent="0.25">
      <c r="A2" s="2" t="str">
        <f>TEXT(A1,"0.00")</f>
        <v>4.59</v>
      </c>
      <c r="B2" s="2" t="str">
        <f>VLOOKUP(A$2,Eixo4[],3,FALSE)</f>
        <v>Avalie o suporte do Comitê Setorial de Extensão para o desenvolvimento das atividades extensionistas, considerando os seguintes pontos: [Cumprimento de prazos]</v>
      </c>
    </row>
    <row r="3" spans="1:7" x14ac:dyDescent="0.25">
      <c r="A3" s="2" t="s">
        <v>494</v>
      </c>
      <c r="B3" s="2" t="str">
        <f>VLOOKUP(A$2,Eixo4[],4,FALSE)</f>
        <v>Eixo 4: Questão 59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COUNTIFS(Resp4[Vínculo],"tecnico",Resp4[4.59],B7)</f>
        <v>0</v>
      </c>
      <c r="D7" s="4">
        <f>COUNTIFS(Resp4[Vínculo],"docente",Resp4[4.59],B7)</f>
        <v>4</v>
      </c>
      <c r="E7" s="4">
        <f>COUNTIF(Resp4[4.59],B7)</f>
        <v>4</v>
      </c>
      <c r="F7" s="4">
        <f t="shared" ref="F7:F13" si="0">ROUND($E7/E$13*100,2)</f>
        <v>5.88</v>
      </c>
      <c r="G7" s="3">
        <f t="shared" ref="G7:G12" si="1">ROUND($E7/SUM($E$7:$E$12)*100,3)</f>
        <v>28.571000000000002</v>
      </c>
    </row>
    <row r="8" spans="1:7" x14ac:dyDescent="0.25">
      <c r="B8" s="2" t="s">
        <v>206</v>
      </c>
      <c r="C8" s="4">
        <f>COUNTIFS(Resp4[Vínculo],"tecnico",Resp4[4.59],B8)</f>
        <v>1</v>
      </c>
      <c r="D8" s="4">
        <f>COUNTIFS(Resp4[Vínculo],"docente",Resp4[4.59],B8)</f>
        <v>0</v>
      </c>
      <c r="E8" s="4">
        <f>COUNTIF(Resp4[4.59],B8)</f>
        <v>1</v>
      </c>
      <c r="F8" s="4">
        <f t="shared" si="0"/>
        <v>1.47</v>
      </c>
      <c r="G8" s="3">
        <f t="shared" si="1"/>
        <v>7.1429999999999998</v>
      </c>
    </row>
    <row r="9" spans="1:7" x14ac:dyDescent="0.25">
      <c r="B9" s="2" t="s">
        <v>202</v>
      </c>
      <c r="C9" s="4">
        <f>COUNTIFS(Resp4[Vínculo],"tecnico",Resp4[4.59],B9)</f>
        <v>0</v>
      </c>
      <c r="D9" s="4">
        <f>COUNTIFS(Resp4[Vínculo],"docente",Resp4[4.59],B9)</f>
        <v>1</v>
      </c>
      <c r="E9" s="4">
        <f>COUNTIF(Resp4[4.59],B9)</f>
        <v>1</v>
      </c>
      <c r="F9" s="4">
        <f t="shared" si="0"/>
        <v>1.47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COUNTIFS(Resp4[Vínculo],"tecnico",Resp4[4.59],B10)</f>
        <v>0</v>
      </c>
      <c r="D10" s="4">
        <f>COUNTIFS(Resp4[Vínculo],"docente",Resp4[4.59],B10)</f>
        <v>3</v>
      </c>
      <c r="E10" s="4">
        <f>COUNTIF(Resp4[4.59],B10)</f>
        <v>3</v>
      </c>
      <c r="F10" s="4">
        <f t="shared" si="0"/>
        <v>4.41</v>
      </c>
      <c r="G10" s="3">
        <f t="shared" si="1"/>
        <v>21.428999999999998</v>
      </c>
    </row>
    <row r="11" spans="1:7" x14ac:dyDescent="0.25">
      <c r="B11" s="2" t="s">
        <v>199</v>
      </c>
      <c r="C11" s="4">
        <f>COUNTIFS(Resp4[Vínculo],"tecnico",Resp4[4.59],B11)</f>
        <v>0</v>
      </c>
      <c r="D11" s="4">
        <f>COUNTIFS(Resp4[Vínculo],"docente",Resp4[4.59],B11)</f>
        <v>5</v>
      </c>
      <c r="E11" s="4">
        <f>COUNTIF(Resp4[4.59],B11)</f>
        <v>5</v>
      </c>
      <c r="F11" s="4">
        <f t="shared" si="0"/>
        <v>7.35</v>
      </c>
      <c r="G11" s="3">
        <f t="shared" si="1"/>
        <v>35.713999999999999</v>
      </c>
    </row>
    <row r="12" spans="1:7" x14ac:dyDescent="0.25">
      <c r="B12" s="7" t="s">
        <v>200</v>
      </c>
      <c r="C12" s="4">
        <f>COUNTIFS(Resp4[Vínculo],"tecnico",Resp4[4.59],B12)</f>
        <v>0</v>
      </c>
      <c r="D12" s="4">
        <f>COUNTIFS(Resp4[Vínculo],"docente",Resp4[4.59],B12)</f>
        <v>0</v>
      </c>
      <c r="E12" s="4">
        <f>COUNTIF(Resp4[4.59],B12)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4</v>
      </c>
      <c r="E26" s="15">
        <f>ROUND(D26/SUM(D$25:D$28)*100,3)</f>
        <v>30.768999999999998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116</v>
      </c>
    </row>
    <row r="2" spans="1:7" x14ac:dyDescent="0.25">
      <c r="A2" s="2" t="str">
        <f>TEXT(A1,"0.00")</f>
        <v>4.60</v>
      </c>
      <c r="B2" s="2" t="str">
        <f>VLOOKUP(A$2,Eixo4[],3,FALSE)</f>
        <v>Avalie o suporte do Comitê Setorial de Extensão para o desenvolvimento das atividades extensionistas, considerando os seguintes pontos: [Informações sobre a creditação da extensão]</v>
      </c>
    </row>
    <row r="3" spans="1:7" x14ac:dyDescent="0.25">
      <c r="A3" s="2" t="s">
        <v>494</v>
      </c>
      <c r="B3" s="2" t="str">
        <f>VLOOKUP(A$2,Eixo4[],4,FALSE)</f>
        <v>Eixo 4: Questão 60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COUNTIFS(Resp4[Vínculo],"tecnico",Resp4[4.60],B7)</f>
        <v>0</v>
      </c>
      <c r="D7" s="4">
        <f>COUNTIFS(Resp4[Vínculo],"docente",Resp4[4.60],B7)</f>
        <v>3</v>
      </c>
      <c r="E7" s="4">
        <f>COUNTIF(Resp4[4.60],B7)</f>
        <v>3</v>
      </c>
      <c r="F7" s="4">
        <f t="shared" ref="F7:F13" si="0">ROUND($E7/E$13*100,2)</f>
        <v>4.41</v>
      </c>
      <c r="G7" s="3">
        <f t="shared" ref="G7:G12" si="1">ROUND($E7/SUM($E$7:$E$12)*100,3)</f>
        <v>21.428999999999998</v>
      </c>
    </row>
    <row r="8" spans="1:7" x14ac:dyDescent="0.25">
      <c r="B8" s="2" t="s">
        <v>206</v>
      </c>
      <c r="C8" s="4">
        <f>COUNTIFS(Resp4[Vínculo],"tecnico",Resp4[4.60],B8)</f>
        <v>1</v>
      </c>
      <c r="D8" s="4">
        <f>COUNTIFS(Resp4[Vínculo],"docente",Resp4[4.60],B8)</f>
        <v>1</v>
      </c>
      <c r="E8" s="4">
        <f>COUNTIF(Resp4[4.60],B8)</f>
        <v>2</v>
      </c>
      <c r="F8" s="4">
        <f t="shared" si="0"/>
        <v>2.94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COUNTIFS(Resp4[Vínculo],"tecnico",Resp4[4.60],B9)</f>
        <v>0</v>
      </c>
      <c r="D9" s="4">
        <f>COUNTIFS(Resp4[Vínculo],"docente",Resp4[4.60],B9)</f>
        <v>3</v>
      </c>
      <c r="E9" s="4">
        <f>COUNTIF(Resp4[4.60],B9)</f>
        <v>3</v>
      </c>
      <c r="F9" s="4">
        <f t="shared" si="0"/>
        <v>4.41</v>
      </c>
      <c r="G9" s="3">
        <f t="shared" si="1"/>
        <v>21.428999999999998</v>
      </c>
    </row>
    <row r="10" spans="1:7" x14ac:dyDescent="0.25">
      <c r="B10" s="2" t="s">
        <v>30</v>
      </c>
      <c r="C10" s="4">
        <f>COUNTIFS(Resp4[Vínculo],"tecnico",Resp4[4.60],B10)</f>
        <v>0</v>
      </c>
      <c r="D10" s="4">
        <f>COUNTIFS(Resp4[Vínculo],"docente",Resp4[4.60],B10)</f>
        <v>3</v>
      </c>
      <c r="E10" s="4">
        <f>COUNTIF(Resp4[4.60],B10)</f>
        <v>3</v>
      </c>
      <c r="F10" s="4">
        <f t="shared" si="0"/>
        <v>4.41</v>
      </c>
      <c r="G10" s="3">
        <f t="shared" si="1"/>
        <v>21.428999999999998</v>
      </c>
    </row>
    <row r="11" spans="1:7" x14ac:dyDescent="0.25">
      <c r="B11" s="2" t="s">
        <v>199</v>
      </c>
      <c r="C11" s="4">
        <f>COUNTIFS(Resp4[Vínculo],"tecnico",Resp4[4.60],B11)</f>
        <v>0</v>
      </c>
      <c r="D11" s="4">
        <f>COUNTIFS(Resp4[Vínculo],"docente",Resp4[4.60],B11)</f>
        <v>3</v>
      </c>
      <c r="E11" s="4">
        <f>COUNTIF(Resp4[4.60],B11)</f>
        <v>3</v>
      </c>
      <c r="F11" s="4">
        <f t="shared" si="0"/>
        <v>4.41</v>
      </c>
      <c r="G11" s="3">
        <f t="shared" si="1"/>
        <v>21.428999999999998</v>
      </c>
    </row>
    <row r="12" spans="1:7" x14ac:dyDescent="0.25">
      <c r="B12" s="7" t="s">
        <v>200</v>
      </c>
      <c r="C12" s="4">
        <f>COUNTIFS(Resp4[Vínculo],"tecnico",Resp4[4.60],B12)</f>
        <v>0</v>
      </c>
      <c r="D12" s="4">
        <f>COUNTIFS(Resp4[Vínculo],"docente",Resp4[4.60],B12)</f>
        <v>0</v>
      </c>
      <c r="E12" s="4">
        <f>COUNTIF(Resp4[4.60],B12)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100.002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4</v>
      </c>
      <c r="E25" s="15">
        <f>ROUND(D25/SUM(D$25:D$28)*100,3)</f>
        <v>30.768999999999998</v>
      </c>
    </row>
    <row r="26" spans="2:7" x14ac:dyDescent="0.25">
      <c r="B26" s="16" t="s">
        <v>505</v>
      </c>
      <c r="C26" s="16" t="s">
        <v>23</v>
      </c>
      <c r="D26" s="14">
        <f>D7</f>
        <v>3</v>
      </c>
      <c r="E26" s="15">
        <f>ROUND(D26/SUM(D$25:D$28)*100,3)</f>
        <v>23.077000000000002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3</v>
      </c>
      <c r="E28" s="19">
        <f>ROUND(D28/SUM(D$25:D$28)*100,3)</f>
        <v>23.077000000000002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6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117</v>
      </c>
    </row>
    <row r="2" spans="1:7" x14ac:dyDescent="0.25">
      <c r="A2" s="2" t="str">
        <f>TEXT(A1,"0.00")</f>
        <v>4.61</v>
      </c>
      <c r="B2" s="2" t="str">
        <f>VLOOKUP(A$2,Eixo4[],3,FALSE)</f>
        <v>Como você avalia as ações institucionais de incentivo e apoio para o desenvolvimento integrado de atividades extensionistas (SIEPE integrando os campi, Ações articuladas fomentadas pelo Edital de Fortalecimento da Extensão, Criação de Redes Temáticas)?</v>
      </c>
    </row>
    <row r="3" spans="1:7" x14ac:dyDescent="0.25">
      <c r="A3" s="2" t="s">
        <v>494</v>
      </c>
      <c r="B3" s="2" t="str">
        <f>VLOOKUP(A$2,Eixo4[],4,FALSE)</f>
        <v>Eixo 4: Questão 61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COUNTIFS(Resp4[Vínculo],"tecnico",Resp4[4.61],B7)</f>
        <v>0</v>
      </c>
      <c r="D7" s="4">
        <f>COUNTIFS(Resp4[Vínculo],"docente",Resp4[4.61],B7)</f>
        <v>2</v>
      </c>
      <c r="E7" s="4">
        <f>COUNTIF(Resp4[4.61],B7)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COUNTIFS(Resp4[Vínculo],"tecnico",Resp4[4.61],B8)</f>
        <v>0</v>
      </c>
      <c r="D8" s="4">
        <f>COUNTIFS(Resp4[Vínculo],"docente",Resp4[4.61],B8)</f>
        <v>0</v>
      </c>
      <c r="E8" s="4">
        <f>COUNTIF(Resp4[4.61],B8)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COUNTIFS(Resp4[Vínculo],"tecnico",Resp4[4.61],B9)</f>
        <v>0</v>
      </c>
      <c r="D9" s="4">
        <f>COUNTIFS(Resp4[Vínculo],"docente",Resp4[4.61],B9)</f>
        <v>1</v>
      </c>
      <c r="E9" s="4">
        <f>COUNTIF(Resp4[4.61],B9)</f>
        <v>1</v>
      </c>
      <c r="F9" s="4">
        <f t="shared" si="0"/>
        <v>1.47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COUNTIFS(Resp4[Vínculo],"tecnico",Resp4[4.61],B10)</f>
        <v>1</v>
      </c>
      <c r="D10" s="4">
        <f>COUNTIFS(Resp4[Vínculo],"docente",Resp4[4.61],B10)</f>
        <v>4</v>
      </c>
      <c r="E10" s="4">
        <f>COUNTIF(Resp4[4.61],B10)</f>
        <v>5</v>
      </c>
      <c r="F10" s="4">
        <f t="shared" si="0"/>
        <v>7.35</v>
      </c>
      <c r="G10" s="3">
        <f t="shared" si="1"/>
        <v>35.713999999999999</v>
      </c>
    </row>
    <row r="11" spans="1:7" x14ac:dyDescent="0.25">
      <c r="B11" s="2" t="s">
        <v>199</v>
      </c>
      <c r="C11" s="4">
        <f>COUNTIFS(Resp4[Vínculo],"tecnico",Resp4[4.61],B11)</f>
        <v>0</v>
      </c>
      <c r="D11" s="4">
        <f>COUNTIFS(Resp4[Vínculo],"docente",Resp4[4.61],B11)</f>
        <v>5</v>
      </c>
      <c r="E11" s="4">
        <f>COUNTIF(Resp4[4.61],B11)</f>
        <v>5</v>
      </c>
      <c r="F11" s="4">
        <f t="shared" si="0"/>
        <v>7.35</v>
      </c>
      <c r="G11" s="3">
        <f t="shared" si="1"/>
        <v>35.713999999999999</v>
      </c>
    </row>
    <row r="12" spans="1:7" x14ac:dyDescent="0.25">
      <c r="B12" s="7" t="s">
        <v>200</v>
      </c>
      <c r="C12" s="4">
        <f>COUNTIFS(Resp4[Vínculo],"tecnico",Resp4[4.61],B12)</f>
        <v>0</v>
      </c>
      <c r="D12" s="4">
        <f>COUNTIFS(Resp4[Vínculo],"docente",Resp4[4.61],B12)</f>
        <v>1</v>
      </c>
      <c r="E12" s="4">
        <f>COUNTIF(Resp4[4.61],B12)</f>
        <v>1</v>
      </c>
      <c r="F12" s="22">
        <f t="shared" si="0"/>
        <v>1.47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46.154000000000003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118</v>
      </c>
    </row>
    <row r="2" spans="1:7" x14ac:dyDescent="0.25">
      <c r="A2" s="2" t="str">
        <f>TEXT(A1,"0.00")</f>
        <v>4.62</v>
      </c>
      <c r="B2" s="2" t="str">
        <f>VLOOKUP(A$2,Eixo4[],3,FALSE)</f>
        <v>Avalie a contribuição da extensão no processo de formação de estudantes (de graduação e pós-graduação), considerando: [A formação acadêmica e profissional (habilidades e competências teóricas e metodológicas)]</v>
      </c>
    </row>
    <row r="3" spans="1:7" x14ac:dyDescent="0.25">
      <c r="A3" s="2" t="s">
        <v>494</v>
      </c>
      <c r="B3" s="2" t="str">
        <f>VLOOKUP(A$2,Eixo4[],4,FALSE)</f>
        <v>Eixo 4: Questão 62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COUNTIFS(Resp4[Vínculo],"tecnico",Resp4[4.62],B7)</f>
        <v>0</v>
      </c>
      <c r="D7" s="4">
        <f>COUNTIFS(Resp4[Vínculo],"docente",Resp4[4.62],B7)</f>
        <v>0</v>
      </c>
      <c r="E7" s="4">
        <f>COUNTIF(Resp4[4.62],B7)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COUNTIFS(Resp4[Vínculo],"tecnico",Resp4[4.62],B8)</f>
        <v>0</v>
      </c>
      <c r="D8" s="4">
        <f>COUNTIFS(Resp4[Vínculo],"docente",Resp4[4.62],B8)</f>
        <v>0</v>
      </c>
      <c r="E8" s="4">
        <f>COUNTIF(Resp4[4.62],B8)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COUNTIFS(Resp4[Vínculo],"tecnico",Resp4[4.62],B9)</f>
        <v>0</v>
      </c>
      <c r="D9" s="4">
        <f>COUNTIFS(Resp4[Vínculo],"docente",Resp4[4.62],B9)</f>
        <v>0</v>
      </c>
      <c r="E9" s="4">
        <f>COUNTIF(Resp4[4.62],B9)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COUNTIFS(Resp4[Vínculo],"tecnico",Resp4[4.62],B10)</f>
        <v>0</v>
      </c>
      <c r="D10" s="4">
        <f>COUNTIFS(Resp4[Vínculo],"docente",Resp4[4.62],B10)</f>
        <v>1</v>
      </c>
      <c r="E10" s="4">
        <f>COUNTIF(Resp4[4.62],B10)</f>
        <v>1</v>
      </c>
      <c r="F10" s="4">
        <f t="shared" si="0"/>
        <v>1.47</v>
      </c>
      <c r="G10" s="3">
        <f t="shared" si="1"/>
        <v>7.1429999999999998</v>
      </c>
    </row>
    <row r="11" spans="1:7" x14ac:dyDescent="0.25">
      <c r="B11" s="2" t="s">
        <v>199</v>
      </c>
      <c r="C11" s="4">
        <f>COUNTIFS(Resp4[Vínculo],"tecnico",Resp4[4.62],B11)</f>
        <v>1</v>
      </c>
      <c r="D11" s="4">
        <f>COUNTIFS(Resp4[Vínculo],"docente",Resp4[4.62],B11)</f>
        <v>7</v>
      </c>
      <c r="E11" s="4">
        <f>COUNTIF(Resp4[4.62],B11)</f>
        <v>8</v>
      </c>
      <c r="F11" s="4">
        <f t="shared" si="0"/>
        <v>11.76</v>
      </c>
      <c r="G11" s="3">
        <f t="shared" si="1"/>
        <v>57.143000000000001</v>
      </c>
    </row>
    <row r="12" spans="1:7" x14ac:dyDescent="0.25">
      <c r="B12" s="7" t="s">
        <v>200</v>
      </c>
      <c r="C12" s="4">
        <f>COUNTIFS(Resp4[Vínculo],"tecnico",Resp4[4.62],B12)</f>
        <v>0</v>
      </c>
      <c r="D12" s="4">
        <f>COUNTIFS(Resp4[Vínculo],"docente",Resp4[4.62],B12)</f>
        <v>5</v>
      </c>
      <c r="E12" s="4">
        <f>COUNTIF(Resp4[4.62],B12)</f>
        <v>5</v>
      </c>
      <c r="F12" s="22">
        <f>ROUND($E12/E$13*100,2)</f>
        <v>7.35</v>
      </c>
      <c r="G12" s="3">
        <f t="shared" si="1"/>
        <v>35.713999999999999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7.6920000000000002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92.308000000000007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119</v>
      </c>
    </row>
    <row r="2" spans="1:7" x14ac:dyDescent="0.25">
      <c r="A2" s="2" t="str">
        <f>TEXT(A1,"0.00")</f>
        <v>4.63</v>
      </c>
      <c r="B2" s="2" t="str">
        <f>VLOOKUP(A$2,Eixo4[],3,FALSE)</f>
        <v>Avalie a contribuição da extensão no processo de formação de estudantes (de graduação e pós-graduação), considerando: [A formação cidadã]</v>
      </c>
    </row>
    <row r="3" spans="1:7" x14ac:dyDescent="0.25">
      <c r="A3" s="2" t="s">
        <v>494</v>
      </c>
      <c r="B3" s="2" t="str">
        <f>VLOOKUP(A$2,Eixo4[],4,FALSE)</f>
        <v>Eixo 4: Questão 63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COUNTIFS(Resp4[Vínculo],"tecnico",Resp4[4.63],B7)</f>
        <v>0</v>
      </c>
      <c r="D7" s="4">
        <f>COUNTIFS(Resp4[Vínculo],"docente",Resp4[4.63],B7)</f>
        <v>0</v>
      </c>
      <c r="E7" s="4">
        <f>COUNTIF(Resp4[4.63],B7)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COUNTIFS(Resp4[Vínculo],"tecnico",Resp4[4.63],B8)</f>
        <v>0</v>
      </c>
      <c r="D8" s="4">
        <f>COUNTIFS(Resp4[Vínculo],"docente",Resp4[4.63],B8)</f>
        <v>0</v>
      </c>
      <c r="E8" s="4">
        <f>COUNTIF(Resp4[4.63],B8)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COUNTIFS(Resp4[Vínculo],"tecnico",Resp4[4.63],B9)</f>
        <v>0</v>
      </c>
      <c r="D9" s="4">
        <f>COUNTIFS(Resp4[Vínculo],"docente",Resp4[4.63],B9)</f>
        <v>0</v>
      </c>
      <c r="E9" s="4">
        <f>COUNTIF(Resp4[4.63],B9)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COUNTIFS(Resp4[Vínculo],"tecnico",Resp4[4.63],B10)</f>
        <v>0</v>
      </c>
      <c r="D10" s="4">
        <f>COUNTIFS(Resp4[Vínculo],"docente",Resp4[4.63],B10)</f>
        <v>0</v>
      </c>
      <c r="E10" s="4">
        <f>COUNTIF(Resp4[4.63],B10)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COUNTIFS(Resp4[Vínculo],"tecnico",Resp4[4.63],B11)</f>
        <v>1</v>
      </c>
      <c r="D11" s="4">
        <f>COUNTIFS(Resp4[Vínculo],"docente",Resp4[4.63],B11)</f>
        <v>9</v>
      </c>
      <c r="E11" s="4">
        <f>COUNTIF(Resp4[4.63],B11)</f>
        <v>10</v>
      </c>
      <c r="F11" s="4">
        <f t="shared" si="0"/>
        <v>14.71</v>
      </c>
      <c r="G11" s="3">
        <f t="shared" si="1"/>
        <v>71.429000000000002</v>
      </c>
    </row>
    <row r="12" spans="1:7" x14ac:dyDescent="0.25">
      <c r="B12" s="7" t="s">
        <v>200</v>
      </c>
      <c r="C12" s="4">
        <f>COUNTIFS(Resp4[Vínculo],"tecnico",Resp4[4.63],B12)</f>
        <v>0</v>
      </c>
      <c r="D12" s="4">
        <f>COUNTIFS(Resp4[Vínculo],"docente",Resp4[4.63],B12)</f>
        <v>4</v>
      </c>
      <c r="E12" s="4">
        <f>COUNTIF(Resp4[4.63],B12)</f>
        <v>4</v>
      </c>
      <c r="F12" s="22">
        <f t="shared" si="0"/>
        <v>5.88</v>
      </c>
      <c r="G12" s="3">
        <f t="shared" si="1"/>
        <v>28.571000000000002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1</v>
      </c>
      <c r="E21" s="19">
        <f t="shared" si="2"/>
        <v>100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100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1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120</v>
      </c>
    </row>
    <row r="2" spans="1:7" x14ac:dyDescent="0.25">
      <c r="A2" s="2" t="str">
        <f>TEXT(A1,"0.00")</f>
        <v>4.64</v>
      </c>
      <c r="B2" s="2" t="str">
        <f>VLOOKUP(A$2,Eixo4[],3,FALSE)</f>
        <v>Avalie o suporte financeiro para a realização das ações extensionistas, nos quesitos: [Editais de bolsas para estudantes]</v>
      </c>
    </row>
    <row r="3" spans="1:7" x14ac:dyDescent="0.25">
      <c r="A3" s="2" t="s">
        <v>494</v>
      </c>
      <c r="B3" s="2" t="str">
        <f>VLOOKUP(A$2,Eixo4[],4,FALSE)</f>
        <v>Eixo 4: Questão 64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COUNTIFS(Resp4[Vínculo],"tecnico",Resp4[4.64],B7)</f>
        <v>0</v>
      </c>
      <c r="D7" s="4">
        <f>COUNTIFS(Resp4[Vínculo],"docente",Resp4[4.64],B7)</f>
        <v>2</v>
      </c>
      <c r="E7" s="4">
        <f>COUNTIF(Resp4[4.64],B7)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COUNTIFS(Resp4[Vínculo],"tecnico",Resp4[4.64],B8)</f>
        <v>1</v>
      </c>
      <c r="D8" s="4">
        <f>COUNTIFS(Resp4[Vínculo],"docente",Resp4[4.64],B8)</f>
        <v>1</v>
      </c>
      <c r="E8" s="4">
        <f>COUNTIF(Resp4[4.64],B8)</f>
        <v>2</v>
      </c>
      <c r="F8" s="4">
        <f t="shared" si="0"/>
        <v>2.94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COUNTIFS(Resp4[Vínculo],"tecnico",Resp4[4.64],B9)</f>
        <v>0</v>
      </c>
      <c r="D9" s="4">
        <f>COUNTIFS(Resp4[Vínculo],"docente",Resp4[4.64],B9)</f>
        <v>0</v>
      </c>
      <c r="E9" s="4">
        <f>COUNTIF(Resp4[4.64],B9)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COUNTIFS(Resp4[Vínculo],"tecnico",Resp4[4.64],B10)</f>
        <v>0</v>
      </c>
      <c r="D10" s="4">
        <f>COUNTIFS(Resp4[Vínculo],"docente",Resp4[4.64],B10)</f>
        <v>4</v>
      </c>
      <c r="E10" s="4">
        <f>COUNTIF(Resp4[4.64],B10)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COUNTIFS(Resp4[Vínculo],"tecnico",Resp4[4.64],B11)</f>
        <v>0</v>
      </c>
      <c r="D11" s="4">
        <f>COUNTIFS(Resp4[Vínculo],"docente",Resp4[4.64],B11)</f>
        <v>6</v>
      </c>
      <c r="E11" s="4">
        <f>COUNTIF(Resp4[4.64],B11)</f>
        <v>6</v>
      </c>
      <c r="F11" s="4">
        <f t="shared" si="0"/>
        <v>8.82</v>
      </c>
      <c r="G11" s="3">
        <f t="shared" si="1"/>
        <v>42.856999999999999</v>
      </c>
    </row>
    <row r="12" spans="1:7" x14ac:dyDescent="0.25">
      <c r="B12" s="7" t="s">
        <v>200</v>
      </c>
      <c r="C12" s="4">
        <f>COUNTIFS(Resp4[Vínculo],"tecnico",Resp4[4.64],B12)</f>
        <v>0</v>
      </c>
      <c r="D12" s="4">
        <f>COUNTIFS(Resp4[Vínculo],"docente",Resp4[4.64],B12)</f>
        <v>0</v>
      </c>
      <c r="E12" s="4">
        <f>COUNTIF(Resp4[4.64],B12)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46.154000000000003</v>
      </c>
    </row>
    <row r="35" spans="12:15" x14ac:dyDescent="0.25">
      <c r="N35" s="66"/>
      <c r="O35" s="67"/>
    </row>
    <row r="36" spans="12:15" x14ac:dyDescent="0.25">
      <c r="L36"/>
      <c r="M36"/>
      <c r="N36" s="14"/>
      <c r="O36" s="15"/>
    </row>
    <row r="37" spans="12:15" x14ac:dyDescent="0.25">
      <c r="N37" s="14"/>
      <c r="O37" s="15"/>
    </row>
    <row r="38" spans="12:15" x14ac:dyDescent="0.25">
      <c r="N38" s="14"/>
      <c r="O38" s="15"/>
    </row>
    <row r="39" spans="12:15" x14ac:dyDescent="0.25">
      <c r="N39" s="14"/>
      <c r="O39" s="15"/>
    </row>
    <row r="40" spans="12:15" x14ac:dyDescent="0.25">
      <c r="O40" s="20"/>
    </row>
    <row r="41" spans="12:15" x14ac:dyDescent="0.25">
      <c r="O41" s="20"/>
    </row>
    <row r="42" spans="12:15" x14ac:dyDescent="0.25">
      <c r="N42" s="66"/>
      <c r="O42" s="67"/>
    </row>
    <row r="43" spans="12:15" x14ac:dyDescent="0.25">
      <c r="L43"/>
      <c r="M43"/>
      <c r="N43" s="14"/>
      <c r="O43" s="15"/>
    </row>
    <row r="44" spans="12:15" x14ac:dyDescent="0.25">
      <c r="N44" s="14"/>
      <c r="O44" s="15"/>
    </row>
    <row r="45" spans="12:15" x14ac:dyDescent="0.25">
      <c r="N45" s="14"/>
      <c r="O45" s="15"/>
    </row>
    <row r="46" spans="12:15" x14ac:dyDescent="0.25">
      <c r="N46" s="14"/>
      <c r="O46" s="15"/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8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121</v>
      </c>
    </row>
    <row r="2" spans="1:7" x14ac:dyDescent="0.25">
      <c r="A2" s="2" t="str">
        <f>TEXT(A1,"0.00")</f>
        <v>4.65</v>
      </c>
      <c r="B2" s="2" t="str">
        <f>VLOOKUP(A$2,Eixo4[],3,FALSE)</f>
        <v>Avalie o suporte financeiro para a realização das ações extensionistas, nos quesitos: [Editais de fomento para a Extensão]</v>
      </c>
    </row>
    <row r="3" spans="1:7" x14ac:dyDescent="0.25">
      <c r="A3" s="2" t="s">
        <v>494</v>
      </c>
      <c r="B3" s="2" t="str">
        <f>VLOOKUP(A$2,Eixo4[],4,FALSE)</f>
        <v>Eixo 4: Questão 65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COUNTIFS(Resp4[Vínculo],"tecnico",Resp4[4.65],B7)</f>
        <v>0</v>
      </c>
      <c r="D7" s="4">
        <f>COUNTIFS(Resp4[Vínculo],"docente",Resp4[4.65],B7)</f>
        <v>2</v>
      </c>
      <c r="E7" s="4">
        <f>COUNTIF(Resp4[4.65],B7)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COUNTIFS(Resp4[Vínculo],"tecnico",Resp4[4.65],B8)</f>
        <v>1</v>
      </c>
      <c r="D8" s="4">
        <f>COUNTIFS(Resp4[Vínculo],"docente",Resp4[4.65],B8)</f>
        <v>1</v>
      </c>
      <c r="E8" s="4">
        <f>COUNTIF(Resp4[4.65],B8)</f>
        <v>2</v>
      </c>
      <c r="F8" s="4">
        <f t="shared" si="0"/>
        <v>2.94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COUNTIFS(Resp4[Vínculo],"tecnico",Resp4[4.65],B9)</f>
        <v>0</v>
      </c>
      <c r="D9" s="4">
        <f>COUNTIFS(Resp4[Vínculo],"docente",Resp4[4.65],B9)</f>
        <v>1</v>
      </c>
      <c r="E9" s="4">
        <f>COUNTIF(Resp4[4.65],B9)</f>
        <v>1</v>
      </c>
      <c r="F9" s="4">
        <f t="shared" si="0"/>
        <v>1.47</v>
      </c>
      <c r="G9" s="3">
        <f t="shared" si="1"/>
        <v>7.1429999999999998</v>
      </c>
    </row>
    <row r="10" spans="1:7" x14ac:dyDescent="0.25">
      <c r="B10" s="2" t="s">
        <v>30</v>
      </c>
      <c r="C10" s="4">
        <f>COUNTIFS(Resp4[Vínculo],"tecnico",Resp4[4.65],B10)</f>
        <v>0</v>
      </c>
      <c r="D10" s="4">
        <f>COUNTIFS(Resp4[Vínculo],"docente",Resp4[4.65],B10)</f>
        <v>4</v>
      </c>
      <c r="E10" s="4">
        <f>COUNTIF(Resp4[4.65],B10)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COUNTIFS(Resp4[Vínculo],"tecnico",Resp4[4.65],B11)</f>
        <v>0</v>
      </c>
      <c r="D11" s="4">
        <f>COUNTIFS(Resp4[Vínculo],"docente",Resp4[4.65],B11)</f>
        <v>4</v>
      </c>
      <c r="E11" s="4">
        <f>COUNTIF(Resp4[4.65],B11)</f>
        <v>4</v>
      </c>
      <c r="F11" s="4">
        <f t="shared" si="0"/>
        <v>5.88</v>
      </c>
      <c r="G11" s="3">
        <f t="shared" si="1"/>
        <v>28.571000000000002</v>
      </c>
    </row>
    <row r="12" spans="1:7" x14ac:dyDescent="0.25">
      <c r="B12" s="7" t="s">
        <v>200</v>
      </c>
      <c r="C12" s="4">
        <f>COUNTIFS(Resp4[Vínculo],"tecnico",Resp4[4.65],B12)</f>
        <v>0</v>
      </c>
      <c r="D12" s="4">
        <f>COUNTIFS(Resp4[Vínculo],"docente",Resp4[4.65],B12)</f>
        <v>1</v>
      </c>
      <c r="E12" s="4">
        <f>COUNTIF(Resp4[4.65],B12)</f>
        <v>1</v>
      </c>
      <c r="F12" s="22">
        <f t="shared" si="0"/>
        <v>1.47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15.385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38.462000000000003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" style="2" customWidth="1"/>
    <col min="3" max="3" width="18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122</v>
      </c>
    </row>
    <row r="2" spans="1:7" x14ac:dyDescent="0.25">
      <c r="A2" s="2" t="str">
        <f>TEXT(A1,"0.00")</f>
        <v>4.66</v>
      </c>
      <c r="B2" s="2" t="str">
        <f>VLOOKUP(A$2,Eixo4[],3,FALSE)</f>
        <v>Com relação ao Edital de Bolsa Extensão, avalie: [A divulgação e as informações prestadas sobre o Edital]</v>
      </c>
    </row>
    <row r="3" spans="1:7" x14ac:dyDescent="0.25">
      <c r="A3" s="2" t="s">
        <v>494</v>
      </c>
      <c r="B3" s="2" t="str">
        <f>VLOOKUP(A$2,Eixo4[],4,FALSE)</f>
        <v>Eixo 4: Questão 66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COUNTIFS(Resp4[Vínculo],"tecnico",Resp4[4.66],B7)</f>
        <v>0</v>
      </c>
      <c r="D7" s="4">
        <f>COUNTIFS(Resp4[Vínculo],"docente",Resp4[4.66],B7)</f>
        <v>2</v>
      </c>
      <c r="E7" s="4">
        <f>COUNTIF(Resp4[4.66],B7)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COUNTIFS(Resp4[Vínculo],"tecnico",Resp4[4.66],B8)</f>
        <v>0</v>
      </c>
      <c r="D8" s="4">
        <f>COUNTIFS(Resp4[Vínculo],"docente",Resp4[4.66],B8)</f>
        <v>0</v>
      </c>
      <c r="E8" s="4">
        <f>COUNTIF(Resp4[4.66],B8)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COUNTIFS(Resp4[Vínculo],"tecnico",Resp4[4.66],B9)</f>
        <v>0</v>
      </c>
      <c r="D9" s="4">
        <f>COUNTIFS(Resp4[Vínculo],"docente",Resp4[4.66],B9)</f>
        <v>0</v>
      </c>
      <c r="E9" s="4">
        <f>COUNTIF(Resp4[4.66],B9)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COUNTIFS(Resp4[Vínculo],"tecnico",Resp4[4.66],B10)</f>
        <v>1</v>
      </c>
      <c r="D10" s="4">
        <f>COUNTIFS(Resp4[Vínculo],"docente",Resp4[4.66],B10)</f>
        <v>0</v>
      </c>
      <c r="E10" s="4">
        <f>COUNTIF(Resp4[4.66],B10)</f>
        <v>1</v>
      </c>
      <c r="F10" s="4">
        <f t="shared" si="0"/>
        <v>1.47</v>
      </c>
      <c r="G10" s="3">
        <f t="shared" si="1"/>
        <v>7.1429999999999998</v>
      </c>
    </row>
    <row r="11" spans="1:7" x14ac:dyDescent="0.25">
      <c r="B11" s="2" t="s">
        <v>199</v>
      </c>
      <c r="C11" s="4">
        <f>COUNTIFS(Resp4[Vínculo],"tecnico",Resp4[4.66],B11)</f>
        <v>0</v>
      </c>
      <c r="D11" s="4">
        <f>COUNTIFS(Resp4[Vínculo],"docente",Resp4[4.66],B11)</f>
        <v>9</v>
      </c>
      <c r="E11" s="4">
        <f>COUNTIF(Resp4[4.66],B11)</f>
        <v>9</v>
      </c>
      <c r="F11" s="4">
        <f t="shared" si="0"/>
        <v>13.24</v>
      </c>
      <c r="G11" s="3">
        <f t="shared" si="1"/>
        <v>64.286000000000001</v>
      </c>
    </row>
    <row r="12" spans="1:7" x14ac:dyDescent="0.25">
      <c r="B12" s="7" t="s">
        <v>200</v>
      </c>
      <c r="C12" s="4">
        <f>COUNTIFS(Resp4[Vínculo],"tecnico",Resp4[4.66],B12)</f>
        <v>0</v>
      </c>
      <c r="D12" s="4">
        <f>COUNTIFS(Resp4[Vínculo],"docente",Resp4[4.66],B12)</f>
        <v>2</v>
      </c>
      <c r="E12" s="4">
        <f>COUNTIF(Resp4[4.66],B12)</f>
        <v>2</v>
      </c>
      <c r="F12" s="22">
        <f t="shared" si="0"/>
        <v>2.94</v>
      </c>
      <c r="G12" s="3">
        <f t="shared" si="1"/>
        <v>14.286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11</v>
      </c>
      <c r="E28" s="19">
        <f>ROUND(D28/SUM(D$25:D$28)*100,3)</f>
        <v>84.614999999999995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/>
  </sheetViews>
  <sheetFormatPr defaultRowHeight="15" x14ac:dyDescent="0.25"/>
  <cols>
    <col min="1" max="1" width="7.42578125" customWidth="1"/>
  </cols>
  <sheetData>
    <row r="1" spans="1:8" x14ac:dyDescent="0.25">
      <c r="A1" s="2" t="s">
        <v>57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4.01</v>
      </c>
      <c r="B2" s="2" t="str">
        <f>VLOOKUP(A$2, Eixo4[], 3, FALSE)</f>
        <v>Por gentileza, escolha Sim se você deseja avaliar temas do ensino da graduação; se quiser prosseguir, escolha Não: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3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COUNTIFS(Resp4[Vínculo],"tecnico",Resp4[4.01],B7)</f>
        <v>5</v>
      </c>
      <c r="D7" s="4">
        <f>COUNTIFS(Resp4[Vínculo],"docente",Resp4[4.01],B7)</f>
        <v>25</v>
      </c>
      <c r="E7" s="2">
        <f>COUNTIF(Resp4[4.01],B7)</f>
        <v>30</v>
      </c>
      <c r="F7" s="3">
        <f t="shared" ref="F7:F9" si="0">ROUND($E7/E$9*100,2)</f>
        <v>44.12</v>
      </c>
      <c r="G7" s="4">
        <f>ROUND($E7/SUM($E$7:$E$8)*100,2)</f>
        <v>44.12</v>
      </c>
      <c r="H7" s="2"/>
    </row>
    <row r="8" spans="1:8" x14ac:dyDescent="0.25">
      <c r="A8" s="2"/>
      <c r="B8" s="2" t="s">
        <v>194</v>
      </c>
      <c r="C8" s="4">
        <f>COUNTIFS(Resp4[Vínculo],"tecnico",Resp4[4.01],B8)</f>
        <v>29</v>
      </c>
      <c r="D8" s="4">
        <f>COUNTIFS(Resp4[Vínculo],"docente",Resp4[4.01],B8)</f>
        <v>9</v>
      </c>
      <c r="E8" s="2">
        <f>COUNTIF(Resp4[4.01],B8)</f>
        <v>38</v>
      </c>
      <c r="F8" s="24">
        <f t="shared" si="0"/>
        <v>55.88</v>
      </c>
      <c r="G8" s="4">
        <f>ROUND($E8/SUM($E$7:$E$8)*100,2)</f>
        <v>55.88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3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19.57031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123</v>
      </c>
    </row>
    <row r="2" spans="1:7" x14ac:dyDescent="0.25">
      <c r="A2" s="2" t="str">
        <f>TEXT(A1,"0.00")</f>
        <v>4.67</v>
      </c>
      <c r="B2" s="2" t="str">
        <f>VLOOKUP(A$2,Eixo4[],3,FALSE)</f>
        <v>Com relação ao Edital de Bolsa Extensão, avalie: [O quantitativo de bolsas ofertadas no Edital]</v>
      </c>
    </row>
    <row r="3" spans="1:7" x14ac:dyDescent="0.25">
      <c r="A3" s="2" t="s">
        <v>494</v>
      </c>
      <c r="B3" s="2" t="str">
        <f>VLOOKUP(A$2,Eixo4[],4,FALSE)</f>
        <v>Eixo 4: Questão 67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15">
        <f>ROUND($E6/E$13*100,2)</f>
        <v>79.41</v>
      </c>
    </row>
    <row r="7" spans="1:7" x14ac:dyDescent="0.25">
      <c r="B7" s="2" t="s">
        <v>201</v>
      </c>
      <c r="C7" s="4">
        <f>COUNTIFS(Resp4[Vínculo],"tecnico",Resp4[4.67],B7)</f>
        <v>0</v>
      </c>
      <c r="D7" s="4">
        <f>COUNTIFS(Resp4[Vínculo],"docente",Resp4[4.67],B7)</f>
        <v>2</v>
      </c>
      <c r="E7" s="4">
        <f>COUNTIF(Resp4[4.67],B7)</f>
        <v>2</v>
      </c>
      <c r="F7" s="15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COUNTIFS(Resp4[Vínculo],"tecnico",Resp4[4.67],B8)</f>
        <v>0</v>
      </c>
      <c r="D8" s="4">
        <f>COUNTIFS(Resp4[Vínculo],"docente",Resp4[4.67],B8)</f>
        <v>1</v>
      </c>
      <c r="E8" s="4">
        <f>COUNTIF(Resp4[4.67],B8)</f>
        <v>1</v>
      </c>
      <c r="F8" s="15">
        <f t="shared" si="0"/>
        <v>1.47</v>
      </c>
      <c r="G8" s="3">
        <f t="shared" si="1"/>
        <v>7.1429999999999998</v>
      </c>
    </row>
    <row r="9" spans="1:7" x14ac:dyDescent="0.25">
      <c r="B9" s="2" t="s">
        <v>202</v>
      </c>
      <c r="C9" s="4">
        <f>COUNTIFS(Resp4[Vínculo],"tecnico",Resp4[4.67],B9)</f>
        <v>0</v>
      </c>
      <c r="D9" s="4">
        <f>COUNTIFS(Resp4[Vínculo],"docente",Resp4[4.67],B9)</f>
        <v>0</v>
      </c>
      <c r="E9" s="4">
        <f>COUNTIF(Resp4[4.67],B9)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COUNTIFS(Resp4[Vínculo],"tecnico",Resp4[4.67],B10)</f>
        <v>1</v>
      </c>
      <c r="D10" s="4">
        <f>COUNTIFS(Resp4[Vínculo],"docente",Resp4[4.67],B10)</f>
        <v>4</v>
      </c>
      <c r="E10" s="4">
        <f>COUNTIF(Resp4[4.67],B10)</f>
        <v>5</v>
      </c>
      <c r="F10" s="15">
        <f t="shared" si="0"/>
        <v>7.35</v>
      </c>
      <c r="G10" s="3">
        <f t="shared" si="1"/>
        <v>35.713999999999999</v>
      </c>
    </row>
    <row r="11" spans="1:7" x14ac:dyDescent="0.25">
      <c r="B11" s="2" t="s">
        <v>199</v>
      </c>
      <c r="C11" s="4">
        <f>COUNTIFS(Resp4[Vínculo],"tecnico",Resp4[4.67],B11)</f>
        <v>0</v>
      </c>
      <c r="D11" s="4">
        <f>COUNTIFS(Resp4[Vínculo],"docente",Resp4[4.67],B11)</f>
        <v>6</v>
      </c>
      <c r="E11" s="4">
        <f>COUNTIF(Resp4[4.67],B11)</f>
        <v>6</v>
      </c>
      <c r="F11" s="15">
        <f t="shared" si="0"/>
        <v>8.82</v>
      </c>
      <c r="G11" s="3">
        <f t="shared" si="1"/>
        <v>42.856999999999999</v>
      </c>
    </row>
    <row r="12" spans="1:7" x14ac:dyDescent="0.25">
      <c r="B12" s="7" t="s">
        <v>200</v>
      </c>
      <c r="C12" s="4">
        <f>COUNTIFS(Resp4[Vínculo],"tecnico",Resp4[4.67],B12)</f>
        <v>0</v>
      </c>
      <c r="D12" s="4">
        <f>COUNTIFS(Resp4[Vínculo],"docente",Resp4[4.67],B12)</f>
        <v>0</v>
      </c>
      <c r="E12" s="4">
        <f>COUNTIF(Resp4[4.67],B12)</f>
        <v>0</v>
      </c>
      <c r="F12" s="19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7.6920000000000002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30.768999999999998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46.154000000000003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2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124</v>
      </c>
    </row>
    <row r="2" spans="1:7" x14ac:dyDescent="0.25">
      <c r="A2" s="2" t="str">
        <f>TEXT(A1,"0.00")</f>
        <v>4.68</v>
      </c>
      <c r="B2" s="2" t="str">
        <f>VLOOKUP(A$2,Eixo4[],3,FALSE)</f>
        <v>Com relação ao Edital de Bolsa Extensão, avalie: [O processo de inscrição ao Edital e de distribuição das bolsas]</v>
      </c>
    </row>
    <row r="3" spans="1:7" x14ac:dyDescent="0.25">
      <c r="A3" s="2" t="s">
        <v>494</v>
      </c>
      <c r="B3" s="2" t="str">
        <f>VLOOKUP(A$2,Eixo4[],4,FALSE)</f>
        <v>Eixo 4: Questão 68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COUNTIFS(Resp4[Vínculo],"tecnico",Resp4[4.68],B7)</f>
        <v>0</v>
      </c>
      <c r="D7" s="4">
        <f>COUNTIFS(Resp4[Vínculo],"docente",Resp4[4.68],B7)</f>
        <v>2</v>
      </c>
      <c r="E7" s="4">
        <f>COUNTIF(Resp4[4.68],B7)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COUNTIFS(Resp4[Vínculo],"tecnico",Resp4[4.68],B8)</f>
        <v>0</v>
      </c>
      <c r="D8" s="4">
        <f>COUNTIFS(Resp4[Vínculo],"docente",Resp4[4.68],B8)</f>
        <v>0</v>
      </c>
      <c r="E8" s="4">
        <f>COUNTIF(Resp4[4.68],B8)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COUNTIFS(Resp4[Vínculo],"tecnico",Resp4[4.68],B9)</f>
        <v>0</v>
      </c>
      <c r="D9" s="4">
        <f>COUNTIFS(Resp4[Vínculo],"docente",Resp4[4.68],B9)</f>
        <v>0</v>
      </c>
      <c r="E9" s="4">
        <f>COUNTIF(Resp4[4.68],B9)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COUNTIFS(Resp4[Vínculo],"tecnico",Resp4[4.68],B10)</f>
        <v>1</v>
      </c>
      <c r="D10" s="4">
        <f>COUNTIFS(Resp4[Vínculo],"docente",Resp4[4.68],B10)</f>
        <v>3</v>
      </c>
      <c r="E10" s="4">
        <f>COUNTIF(Resp4[4.68],B10)</f>
        <v>4</v>
      </c>
      <c r="F10" s="4">
        <f t="shared" si="0"/>
        <v>5.88</v>
      </c>
      <c r="G10" s="3">
        <f t="shared" si="1"/>
        <v>28.571000000000002</v>
      </c>
    </row>
    <row r="11" spans="1:7" x14ac:dyDescent="0.25">
      <c r="B11" s="2" t="s">
        <v>199</v>
      </c>
      <c r="C11" s="4">
        <f>COUNTIFS(Resp4[Vínculo],"tecnico",Resp4[4.68],B11)</f>
        <v>0</v>
      </c>
      <c r="D11" s="4">
        <f>COUNTIFS(Resp4[Vínculo],"docente",Resp4[4.68],B11)</f>
        <v>8</v>
      </c>
      <c r="E11" s="4">
        <f>COUNTIF(Resp4[4.68],B11)</f>
        <v>8</v>
      </c>
      <c r="F11" s="4">
        <f t="shared" si="0"/>
        <v>11.76</v>
      </c>
      <c r="G11" s="3">
        <f t="shared" si="1"/>
        <v>57.143000000000001</v>
      </c>
    </row>
    <row r="12" spans="1:7" x14ac:dyDescent="0.25">
      <c r="B12" s="7" t="s">
        <v>200</v>
      </c>
      <c r="C12" s="4">
        <f>COUNTIFS(Resp4[Vínculo],"tecnico",Resp4[4.68],B12)</f>
        <v>0</v>
      </c>
      <c r="D12" s="4">
        <f>COUNTIFS(Resp4[Vínculo],"docente",Resp4[4.68],B12)</f>
        <v>0</v>
      </c>
      <c r="E12" s="4">
        <f>COUNTIF(Resp4[4.68],B12)</f>
        <v>0</v>
      </c>
      <c r="F12" s="22">
        <f t="shared" si="0"/>
        <v>0</v>
      </c>
      <c r="G12" s="3">
        <f t="shared" si="1"/>
        <v>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100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23.077000000000002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61.537999999999997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0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125</v>
      </c>
    </row>
    <row r="2" spans="1:7" x14ac:dyDescent="0.25">
      <c r="A2" s="2" t="str">
        <f>TEXT(A1,"0.00")</f>
        <v>4.69</v>
      </c>
      <c r="B2" s="2" t="str">
        <f>VLOOKUP(A$2,Eixo4[],3,FALSE)</f>
        <v>Com relação ao Edital de Bolsa Extensão, avalie: [A vigência das bolsas]</v>
      </c>
    </row>
    <row r="3" spans="1:7" x14ac:dyDescent="0.25">
      <c r="A3" s="2" t="s">
        <v>494</v>
      </c>
      <c r="B3" s="2" t="str">
        <f>VLOOKUP(A$2,Eixo4[],4,FALSE)</f>
        <v>Eixo 4: Questão 69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33</v>
      </c>
      <c r="D6" s="2">
        <f>COUNTIF(Resp4[Vínculo],"docente")-SUM(D$7:D$12)</f>
        <v>21</v>
      </c>
      <c r="E6" s="4">
        <f>E13-SUM(E7:E12)</f>
        <v>54</v>
      </c>
      <c r="F6" s="4">
        <f>ROUND($E6/E$13*100,2)</f>
        <v>79.41</v>
      </c>
    </row>
    <row r="7" spans="1:7" x14ac:dyDescent="0.25">
      <c r="B7" s="2" t="s">
        <v>201</v>
      </c>
      <c r="C7" s="4">
        <f>COUNTIFS(Resp4[Vínculo],"tecnico",Resp4[4.69],B7)</f>
        <v>0</v>
      </c>
      <c r="D7" s="4">
        <f>COUNTIFS(Resp4[Vínculo],"docente",Resp4[4.69],B7)</f>
        <v>2</v>
      </c>
      <c r="E7" s="4">
        <f>COUNTIF(Resp4[4.69],B7)</f>
        <v>2</v>
      </c>
      <c r="F7" s="4">
        <f t="shared" ref="F7:F13" si="0">ROUND($E7/E$13*100,2)</f>
        <v>2.94</v>
      </c>
      <c r="G7" s="3">
        <f t="shared" ref="G7:G12" si="1">ROUND($E7/SUM($E$7:$E$12)*100,3)</f>
        <v>14.286</v>
      </c>
    </row>
    <row r="8" spans="1:7" x14ac:dyDescent="0.25">
      <c r="B8" s="2" t="s">
        <v>206</v>
      </c>
      <c r="C8" s="4">
        <f>COUNTIFS(Resp4[Vínculo],"tecnico",Resp4[4.69],B8)</f>
        <v>0</v>
      </c>
      <c r="D8" s="4">
        <f>COUNTIFS(Resp4[Vínculo],"docente",Resp4[4.69],B8)</f>
        <v>2</v>
      </c>
      <c r="E8" s="4">
        <f>COUNTIF(Resp4[4.69],B8)</f>
        <v>2</v>
      </c>
      <c r="F8" s="4">
        <f t="shared" si="0"/>
        <v>2.94</v>
      </c>
      <c r="G8" s="3">
        <f t="shared" si="1"/>
        <v>14.286</v>
      </c>
    </row>
    <row r="9" spans="1:7" x14ac:dyDescent="0.25">
      <c r="B9" s="2" t="s">
        <v>202</v>
      </c>
      <c r="C9" s="4">
        <f>COUNTIFS(Resp4[Vínculo],"tecnico",Resp4[4.69],B9)</f>
        <v>1</v>
      </c>
      <c r="D9" s="4">
        <f>COUNTIFS(Resp4[Vínculo],"docente",Resp4[4.69],B9)</f>
        <v>1</v>
      </c>
      <c r="E9" s="4">
        <f>COUNTIF(Resp4[4.69],B9)</f>
        <v>2</v>
      </c>
      <c r="F9" s="4">
        <f t="shared" si="0"/>
        <v>2.94</v>
      </c>
      <c r="G9" s="3">
        <f t="shared" si="1"/>
        <v>14.286</v>
      </c>
    </row>
    <row r="10" spans="1:7" x14ac:dyDescent="0.25">
      <c r="B10" s="2" t="s">
        <v>30</v>
      </c>
      <c r="C10" s="4">
        <f>COUNTIFS(Resp4[Vínculo],"tecnico",Resp4[4.69],B10)</f>
        <v>0</v>
      </c>
      <c r="D10" s="4">
        <f>COUNTIFS(Resp4[Vínculo],"docente",Resp4[4.69],B10)</f>
        <v>1</v>
      </c>
      <c r="E10" s="4">
        <f>COUNTIF(Resp4[4.69],B10)</f>
        <v>1</v>
      </c>
      <c r="F10" s="4">
        <f t="shared" si="0"/>
        <v>1.47</v>
      </c>
      <c r="G10" s="3">
        <f t="shared" si="1"/>
        <v>7.1429999999999998</v>
      </c>
    </row>
    <row r="11" spans="1:7" x14ac:dyDescent="0.25">
      <c r="B11" s="2" t="s">
        <v>199</v>
      </c>
      <c r="C11" s="4">
        <f>COUNTIFS(Resp4[Vínculo],"tecnico",Resp4[4.69],B11)</f>
        <v>0</v>
      </c>
      <c r="D11" s="4">
        <f>COUNTIFS(Resp4[Vínculo],"docente",Resp4[4.69],B11)</f>
        <v>6</v>
      </c>
      <c r="E11" s="4">
        <f>COUNTIF(Resp4[4.69],B11)</f>
        <v>6</v>
      </c>
      <c r="F11" s="4">
        <f t="shared" si="0"/>
        <v>8.82</v>
      </c>
      <c r="G11" s="3">
        <f t="shared" si="1"/>
        <v>42.856999999999999</v>
      </c>
    </row>
    <row r="12" spans="1:7" x14ac:dyDescent="0.25">
      <c r="B12" s="7" t="s">
        <v>200</v>
      </c>
      <c r="C12" s="4">
        <f>COUNTIFS(Resp4[Vínculo],"tecnico",Resp4[4.69],B12)</f>
        <v>0</v>
      </c>
      <c r="D12" s="4">
        <f>COUNTIFS(Resp4[Vínculo],"docente",Resp4[4.69],B12)</f>
        <v>1</v>
      </c>
      <c r="E12" s="4">
        <f>COUNTIF(Resp4[4.69],B12)</f>
        <v>1</v>
      </c>
      <c r="F12" s="22">
        <f t="shared" si="0"/>
        <v>1.47</v>
      </c>
      <c r="G12" s="3">
        <f t="shared" si="1"/>
        <v>7.1429999999999998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100.001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100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0</v>
      </c>
      <c r="E21" s="19">
        <f t="shared" si="2"/>
        <v>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23.077000000000002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15.385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7.6920000000000002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53.845999999999997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5.85546875" style="2" customWidth="1"/>
    <col min="3" max="3" width="1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127</v>
      </c>
    </row>
    <row r="2" spans="1:7" x14ac:dyDescent="0.25">
      <c r="A2" s="2" t="str">
        <f>TEXT(A1,"0.00")</f>
        <v>4.71</v>
      </c>
      <c r="B2" s="2" t="str">
        <f>VLOOKUP(A$2,Eixo4[],3,FALSE)</f>
        <v>Com relação às atividades artístico-culturais, avalie as ações a seguir: [Festival de Inverno da UFPR]</v>
      </c>
    </row>
    <row r="3" spans="1:7" x14ac:dyDescent="0.25">
      <c r="A3" s="2" t="s">
        <v>494</v>
      </c>
      <c r="B3" s="2" t="str">
        <f>VLOOKUP(A$2,Eixo4[],4,FALSE)</f>
        <v>Eixo 4: Questão 71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3</v>
      </c>
      <c r="D6" s="2">
        <f>COUNTIF(Resp4[Vínculo],"docente")-SUM(D$7:D$12)</f>
        <v>7</v>
      </c>
      <c r="E6" s="4">
        <f>E13-SUM(E7:E12)</f>
        <v>10</v>
      </c>
      <c r="F6" s="4">
        <f>ROUND($E6/E$13*100,2)</f>
        <v>14.71</v>
      </c>
    </row>
    <row r="7" spans="1:7" x14ac:dyDescent="0.25">
      <c r="B7" t="s">
        <v>203</v>
      </c>
      <c r="C7" s="4">
        <f>COUNTIFS(Resp4[Vínculo],"tecnico",Resp4[4.71],B7)</f>
        <v>10</v>
      </c>
      <c r="D7" s="4">
        <f>COUNTIFS(Resp4[Vínculo],"docente",Resp4[4.71],B7)</f>
        <v>19</v>
      </c>
      <c r="E7" s="4">
        <f>COUNTIF(Resp4[4.71],B7)</f>
        <v>29</v>
      </c>
      <c r="F7" s="4">
        <f t="shared" ref="F7:F13" si="0">ROUND($E7/E$13*100,2)</f>
        <v>42.65</v>
      </c>
      <c r="G7" s="3">
        <f t="shared" ref="G7:G12" si="1">ROUND($E7/SUM($E$7:$E$12)*100,3)</f>
        <v>50</v>
      </c>
    </row>
    <row r="8" spans="1:7" x14ac:dyDescent="0.25">
      <c r="B8" s="2" t="s">
        <v>206</v>
      </c>
      <c r="C8" s="4">
        <f>COUNTIFS(Resp4[Vínculo],"tecnico",Resp4[4.71],B8)</f>
        <v>0</v>
      </c>
      <c r="D8" s="4">
        <f>COUNTIFS(Resp4[Vínculo],"docente",Resp4[4.71],B8)</f>
        <v>0</v>
      </c>
      <c r="E8" s="4">
        <f>COUNTIF(Resp4[4.71],B8)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COUNTIFS(Resp4[Vínculo],"tecnico",Resp4[4.71],B9)</f>
        <v>0</v>
      </c>
      <c r="D9" s="4">
        <f>COUNTIFS(Resp4[Vínculo],"docente",Resp4[4.71],B9)</f>
        <v>0</v>
      </c>
      <c r="E9" s="4">
        <f>COUNTIF(Resp4[4.71],B9)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COUNTIFS(Resp4[Vínculo],"tecnico",Resp4[4.71],B10)</f>
        <v>2</v>
      </c>
      <c r="D10" s="4">
        <f>COUNTIFS(Resp4[Vínculo],"docente",Resp4[4.71],B10)</f>
        <v>0</v>
      </c>
      <c r="E10" s="4">
        <f>COUNTIF(Resp4[4.71],B10)</f>
        <v>2</v>
      </c>
      <c r="F10" s="4">
        <f t="shared" si="0"/>
        <v>2.94</v>
      </c>
      <c r="G10" s="3">
        <f t="shared" si="1"/>
        <v>3.448</v>
      </c>
    </row>
    <row r="11" spans="1:7" x14ac:dyDescent="0.25">
      <c r="B11" s="2" t="s">
        <v>199</v>
      </c>
      <c r="C11" s="4">
        <f>COUNTIFS(Resp4[Vínculo],"tecnico",Resp4[4.71],B11)</f>
        <v>9</v>
      </c>
      <c r="D11" s="4">
        <f>COUNTIFS(Resp4[Vínculo],"docente",Resp4[4.71],B11)</f>
        <v>5</v>
      </c>
      <c r="E11" s="4">
        <f>COUNTIF(Resp4[4.71],B11)</f>
        <v>14</v>
      </c>
      <c r="F11" s="4">
        <f t="shared" si="0"/>
        <v>20.59</v>
      </c>
      <c r="G11" s="3">
        <f t="shared" si="1"/>
        <v>24.138000000000002</v>
      </c>
    </row>
    <row r="12" spans="1:7" x14ac:dyDescent="0.25">
      <c r="B12" s="7" t="s">
        <v>200</v>
      </c>
      <c r="C12" s="4">
        <f>COUNTIFS(Resp4[Vínculo],"tecnico",Resp4[4.71],B12)</f>
        <v>10</v>
      </c>
      <c r="D12" s="4">
        <f>COUNTIFS(Resp4[Vínculo],"docente",Resp4[4.71],B12)</f>
        <v>3</v>
      </c>
      <c r="E12" s="4">
        <f>COUNTIF(Resp4[4.71],B12)</f>
        <v>13</v>
      </c>
      <c r="F12" s="22">
        <f t="shared" si="0"/>
        <v>19.12</v>
      </c>
      <c r="G12" s="3">
        <f t="shared" si="1"/>
        <v>22.414000000000001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32.258000000000003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6.452</v>
      </c>
    </row>
    <row r="21" spans="2:7" x14ac:dyDescent="0.25">
      <c r="B21" s="32" t="s">
        <v>33</v>
      </c>
      <c r="C21" s="32" t="s">
        <v>32</v>
      </c>
      <c r="D21" s="18">
        <f>SUM(C11:C12)</f>
        <v>19</v>
      </c>
      <c r="E21" s="19">
        <f t="shared" si="2"/>
        <v>61.29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19</v>
      </c>
      <c r="E26" s="15">
        <f>ROUND(D26/SUM(D$25:D$28)*100,3)</f>
        <v>70.37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8</v>
      </c>
      <c r="E28" s="19">
        <f>ROUND(D28/SUM(D$25:D$28)*100,3)</f>
        <v>29.63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.42578125" style="2" customWidth="1"/>
    <col min="3" max="3" width="23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128</v>
      </c>
    </row>
    <row r="2" spans="1:7" x14ac:dyDescent="0.25">
      <c r="A2" s="2" t="str">
        <f>TEXT(A1,"0.00")</f>
        <v>4.72</v>
      </c>
      <c r="B2" s="2" t="str">
        <f>VLOOKUP(A$2,Eixo4[],3,FALSE)</f>
        <v>Com relação às atividades artístico-culturais, avalie as ações a seguir: [Meses temáticos (Março da Mulher, Abril Indígena, Junho LGBTI, Mês da Consciência Negra)]</v>
      </c>
    </row>
    <row r="3" spans="1:7" x14ac:dyDescent="0.25">
      <c r="A3" s="2" t="s">
        <v>494</v>
      </c>
      <c r="B3" s="2" t="str">
        <f>VLOOKUP(A$2,Eixo4[],4,FALSE)</f>
        <v>Eixo 4: Questão 72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</v>
      </c>
      <c r="D6" s="2">
        <f>COUNTIF(Resp4[Vínculo],"docente")-SUM(D$7:D$12)</f>
        <v>9</v>
      </c>
      <c r="E6" s="4">
        <f>E13-SUM(E7:E12)</f>
        <v>13</v>
      </c>
      <c r="F6" s="4">
        <f>ROUND($E6/E$13*100,2)</f>
        <v>19.12</v>
      </c>
    </row>
    <row r="7" spans="1:7" x14ac:dyDescent="0.25">
      <c r="B7" s="90" t="s">
        <v>203</v>
      </c>
      <c r="C7" s="4">
        <f>COUNTIFS(Resp4[Vínculo],"tecnico",Resp4[4.72],B7)</f>
        <v>10</v>
      </c>
      <c r="D7" s="4">
        <f>COUNTIFS(Resp4[Vínculo],"docente",Resp4[4.72],B7)</f>
        <v>18</v>
      </c>
      <c r="E7" s="4">
        <f>COUNTIF(Resp4[4.72],B7)</f>
        <v>28</v>
      </c>
      <c r="F7" s="4">
        <f t="shared" ref="F7:F13" si="0">ROUND($E7/E$13*100,2)</f>
        <v>41.18</v>
      </c>
      <c r="G7" s="3">
        <f t="shared" ref="G7:G12" si="1">ROUND($E7/SUM($E$7:$E$12)*100,3)</f>
        <v>50.908999999999999</v>
      </c>
    </row>
    <row r="8" spans="1:7" x14ac:dyDescent="0.25">
      <c r="B8" s="2" t="s">
        <v>206</v>
      </c>
      <c r="C8" s="4">
        <f>COUNTIFS(Resp4[Vínculo],"tecnico",Resp4[4.72],B8)</f>
        <v>0</v>
      </c>
      <c r="D8" s="4">
        <f>COUNTIFS(Resp4[Vínculo],"docente",Resp4[4.72],B8)</f>
        <v>0</v>
      </c>
      <c r="E8" s="4">
        <f>COUNTIF(Resp4[4.72],B8)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COUNTIFS(Resp4[Vínculo],"tecnico",Resp4[4.72],B9)</f>
        <v>0</v>
      </c>
      <c r="D9" s="4">
        <f>COUNTIFS(Resp4[Vínculo],"docente",Resp4[4.72],B9)</f>
        <v>0</v>
      </c>
      <c r="E9" s="4">
        <f>COUNTIF(Resp4[4.72],B9)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COUNTIFS(Resp4[Vínculo],"tecnico",Resp4[4.72],B10)</f>
        <v>2</v>
      </c>
      <c r="D10" s="4">
        <f>COUNTIFS(Resp4[Vínculo],"docente",Resp4[4.72],B10)</f>
        <v>1</v>
      </c>
      <c r="E10" s="4">
        <f>COUNTIF(Resp4[4.72],B10)</f>
        <v>3</v>
      </c>
      <c r="F10" s="4">
        <f t="shared" si="0"/>
        <v>4.41</v>
      </c>
      <c r="G10" s="3">
        <f t="shared" si="1"/>
        <v>5.4550000000000001</v>
      </c>
    </row>
    <row r="11" spans="1:7" x14ac:dyDescent="0.25">
      <c r="B11" s="2" t="s">
        <v>199</v>
      </c>
      <c r="C11" s="4">
        <f>COUNTIFS(Resp4[Vínculo],"tecnico",Resp4[4.72],B11)</f>
        <v>8</v>
      </c>
      <c r="D11" s="4">
        <f>COUNTIFS(Resp4[Vínculo],"docente",Resp4[4.72],B11)</f>
        <v>3</v>
      </c>
      <c r="E11" s="4">
        <f>COUNTIF(Resp4[4.72],B11)</f>
        <v>11</v>
      </c>
      <c r="F11" s="4">
        <f t="shared" si="0"/>
        <v>16.18</v>
      </c>
      <c r="G11" s="3">
        <f t="shared" si="1"/>
        <v>20</v>
      </c>
    </row>
    <row r="12" spans="1:7" x14ac:dyDescent="0.25">
      <c r="B12" s="7" t="s">
        <v>200</v>
      </c>
      <c r="C12" s="4">
        <f>COUNTIFS(Resp4[Vínculo],"tecnico",Resp4[4.72],B12)</f>
        <v>10</v>
      </c>
      <c r="D12" s="4">
        <f>COUNTIFS(Resp4[Vínculo],"docente",Resp4[4.72],B12)</f>
        <v>3</v>
      </c>
      <c r="E12" s="4">
        <f>COUNTIF(Resp4[4.72],B12)</f>
        <v>13</v>
      </c>
      <c r="F12" s="22">
        <f t="shared" si="0"/>
        <v>19.12</v>
      </c>
      <c r="G12" s="3">
        <f t="shared" si="1"/>
        <v>23.635999999999999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6.6669999999999998</v>
      </c>
    </row>
    <row r="21" spans="2:7" x14ac:dyDescent="0.25">
      <c r="B21" s="32" t="s">
        <v>33</v>
      </c>
      <c r="C21" s="32" t="s">
        <v>32</v>
      </c>
      <c r="D21" s="18">
        <f>SUM(C11:C12)</f>
        <v>18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18</v>
      </c>
      <c r="E26" s="15">
        <f>ROUND(D26/SUM(D$25:D$28)*100,3)</f>
        <v>72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4</v>
      </c>
    </row>
    <row r="28" spans="2:7" x14ac:dyDescent="0.25">
      <c r="B28" s="32" t="s">
        <v>33</v>
      </c>
      <c r="C28" s="32" t="s">
        <v>32</v>
      </c>
      <c r="D28" s="18">
        <f>SUM(D11:D12)</f>
        <v>6</v>
      </c>
      <c r="E28" s="19">
        <f>ROUND(D28/SUM(D$25:D$28)*100,3)</f>
        <v>24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129</v>
      </c>
    </row>
    <row r="2" spans="1:7" x14ac:dyDescent="0.25">
      <c r="A2" s="2" t="str">
        <f>TEXT(A1,"0.00")</f>
        <v>4.73</v>
      </c>
      <c r="B2" s="2" t="str">
        <f>VLOOKUP(A$2,Eixo4[],3,FALSE)</f>
        <v>Com relação às atividades artístico-culturais, avalie as ações a seguir: [Temporada Grupos Artísticos (Companhia de Teatro, Coro, Grupo de MPB, Orquestra Filarmônica, Téssera Companhia de Dança)]</v>
      </c>
    </row>
    <row r="3" spans="1:7" x14ac:dyDescent="0.25">
      <c r="A3" s="2" t="s">
        <v>494</v>
      </c>
      <c r="B3" s="2" t="str">
        <f>VLOOKUP(A$2,Eixo4[],4,FALSE)</f>
        <v>Eixo 4: Questão 73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4</v>
      </c>
      <c r="D6" s="2">
        <f>COUNTIF(Resp4[Vínculo],"docente")-SUM(D$7:D$12)</f>
        <v>10</v>
      </c>
      <c r="E6" s="4">
        <f>E13-SUM(E7:E12)</f>
        <v>14</v>
      </c>
      <c r="F6" s="4">
        <f>ROUND($E6/E$13*100,2)</f>
        <v>20.59</v>
      </c>
    </row>
    <row r="7" spans="1:7" x14ac:dyDescent="0.25">
      <c r="B7" s="90" t="s">
        <v>203</v>
      </c>
      <c r="C7" s="4">
        <f>COUNTIFS(Resp4[Vínculo],"tecnico",Resp4[4.73],B7)</f>
        <v>10</v>
      </c>
      <c r="D7" s="4">
        <f>COUNTIFS(Resp4[Vínculo],"docente",Resp4[4.73],B7)</f>
        <v>18</v>
      </c>
      <c r="E7" s="4">
        <f>COUNTIF(Resp4[4.73],B7)</f>
        <v>28</v>
      </c>
      <c r="F7" s="4">
        <f t="shared" ref="F7:F12" si="0">ROUND($E7/E$13*100,2)</f>
        <v>41.18</v>
      </c>
      <c r="G7" s="3">
        <f t="shared" ref="G7:G12" si="1">ROUND($E7/SUM($E$7:$E$12)*100,3)</f>
        <v>51.851999999999997</v>
      </c>
    </row>
    <row r="8" spans="1:7" x14ac:dyDescent="0.25">
      <c r="B8" s="2" t="s">
        <v>206</v>
      </c>
      <c r="C8" s="4">
        <f>COUNTIFS(Resp4[Vínculo],"tecnico",Resp4[4.73],B8)</f>
        <v>0</v>
      </c>
      <c r="D8" s="4">
        <f>COUNTIFS(Resp4[Vínculo],"docente",Resp4[4.73],B8)</f>
        <v>0</v>
      </c>
      <c r="E8" s="4">
        <f>COUNTIF(Resp4[4.73],B8)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COUNTIFS(Resp4[Vínculo],"tecnico",Resp4[4.73],B9)</f>
        <v>0</v>
      </c>
      <c r="D9" s="4">
        <f>COUNTIFS(Resp4[Vínculo],"docente",Resp4[4.73],B9)</f>
        <v>0</v>
      </c>
      <c r="E9" s="4">
        <f>COUNTIF(Resp4[4.73],B9)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COUNTIFS(Resp4[Vínculo],"tecnico",Resp4[4.73],B10)</f>
        <v>3</v>
      </c>
      <c r="D10" s="4">
        <f>COUNTIFS(Resp4[Vínculo],"docente",Resp4[4.73],B10)</f>
        <v>1</v>
      </c>
      <c r="E10" s="4">
        <f>COUNTIF(Resp4[4.73],B10)</f>
        <v>4</v>
      </c>
      <c r="F10" s="4">
        <f t="shared" si="0"/>
        <v>5.88</v>
      </c>
      <c r="G10" s="3">
        <f t="shared" si="1"/>
        <v>7.407</v>
      </c>
    </row>
    <row r="11" spans="1:7" x14ac:dyDescent="0.25">
      <c r="B11" s="2" t="s">
        <v>199</v>
      </c>
      <c r="C11" s="4">
        <f>COUNTIFS(Resp4[Vínculo],"tecnico",Resp4[4.73],B11)</f>
        <v>8</v>
      </c>
      <c r="D11" s="4">
        <f>COUNTIFS(Resp4[Vínculo],"docente",Resp4[4.73],B11)</f>
        <v>3</v>
      </c>
      <c r="E11" s="4">
        <f>COUNTIF(Resp4[4.73],B11)</f>
        <v>11</v>
      </c>
      <c r="F11" s="4">
        <f t="shared" si="0"/>
        <v>16.18</v>
      </c>
      <c r="G11" s="3">
        <f t="shared" si="1"/>
        <v>20.37</v>
      </c>
    </row>
    <row r="12" spans="1:7" x14ac:dyDescent="0.25">
      <c r="B12" s="7" t="s">
        <v>200</v>
      </c>
      <c r="C12" s="4">
        <f>COUNTIFS(Resp4[Vínculo],"tecnico",Resp4[4.73],B12)</f>
        <v>9</v>
      </c>
      <c r="D12" s="4">
        <f>COUNTIFS(Resp4[Vínculo],"docente",Resp4[4.73],B12)</f>
        <v>2</v>
      </c>
      <c r="E12" s="4">
        <f>COUNTIF(Resp4[4.73],B12)</f>
        <v>11</v>
      </c>
      <c r="F12" s="22">
        <f t="shared" si="0"/>
        <v>16.18</v>
      </c>
      <c r="G12" s="3">
        <f t="shared" si="1"/>
        <v>20.37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>ROUND($E13/E$13*100,2)</f>
        <v>100</v>
      </c>
      <c r="G13" s="9">
        <f>SUM(G7:G12)</f>
        <v>99.999000000000009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10</v>
      </c>
    </row>
    <row r="21" spans="2:7" x14ac:dyDescent="0.25">
      <c r="B21" s="32" t="s">
        <v>33</v>
      </c>
      <c r="C21" s="32" t="s">
        <v>32</v>
      </c>
      <c r="D21" s="18">
        <f>SUM(C11:C12)</f>
        <v>17</v>
      </c>
      <c r="E21" s="19">
        <f t="shared" si="2"/>
        <v>56.667000000000002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18</v>
      </c>
      <c r="E26" s="15">
        <f>ROUND(D26/SUM(D$25:D$28)*100,3)</f>
        <v>75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4.1669999999999998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20.832999999999998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6.5703125" style="2" customWidth="1"/>
    <col min="3" max="3" width="15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130</v>
      </c>
    </row>
    <row r="2" spans="1:7" x14ac:dyDescent="0.25">
      <c r="A2" s="2" t="str">
        <f>TEXT(A1,"0.00")</f>
        <v>4.74</v>
      </c>
      <c r="B2" s="2" t="str">
        <f>VLOOKUP(A$2,Eixo4[],3,FALSE)</f>
        <v>Com relação às atividades artístico-culturais, avalie as ações a seguir: [Exposições e atividades educativas do Museu de Arte da UFPR – MusA]</v>
      </c>
    </row>
    <row r="3" spans="1:7" x14ac:dyDescent="0.25">
      <c r="A3" s="2" t="s">
        <v>494</v>
      </c>
      <c r="B3" s="2" t="str">
        <f>VLOOKUP(A$2,Eixo4[],4,FALSE)</f>
        <v>Eixo 4: Questão 74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10</v>
      </c>
      <c r="E6" s="4">
        <f>E13-SUM(E7:E12)</f>
        <v>16</v>
      </c>
      <c r="F6" s="4">
        <f>ROUND($E6/E$13*100,2)</f>
        <v>23.53</v>
      </c>
    </row>
    <row r="7" spans="1:7" x14ac:dyDescent="0.25">
      <c r="B7" t="s">
        <v>203</v>
      </c>
      <c r="C7" s="4">
        <f>COUNTIFS(Resp4[Vínculo],"tecnico",Resp4[4.74],B7)</f>
        <v>10</v>
      </c>
      <c r="D7" s="4">
        <f>COUNTIFS(Resp4[Vínculo],"docente",Resp4[4.74],B7)</f>
        <v>19</v>
      </c>
      <c r="E7" s="4">
        <f>COUNTIF(Resp4[4.74],B7)</f>
        <v>29</v>
      </c>
      <c r="F7" s="4">
        <f t="shared" ref="F7:F13" si="0">ROUND($E7/E$13*100,2)</f>
        <v>42.65</v>
      </c>
      <c r="G7" s="3">
        <f t="shared" ref="G7:G12" si="1">ROUND($E7/SUM($E$7:$E$12)*100,3)</f>
        <v>55.768999999999998</v>
      </c>
    </row>
    <row r="8" spans="1:7" x14ac:dyDescent="0.25">
      <c r="B8" s="2" t="s">
        <v>206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3</v>
      </c>
      <c r="D10" s="4">
        <f>COUNTIFS(Resp4[Vínculo],"docente",Resp4[4.74],B10)</f>
        <v>0</v>
      </c>
      <c r="E10" s="4">
        <f>COUNTIF(Resp4[4.74],B10)</f>
        <v>3</v>
      </c>
      <c r="F10" s="4">
        <f t="shared" si="0"/>
        <v>4.41</v>
      </c>
      <c r="G10" s="3">
        <f t="shared" si="1"/>
        <v>5.7690000000000001</v>
      </c>
    </row>
    <row r="11" spans="1:7" x14ac:dyDescent="0.25">
      <c r="B11" s="2" t="s">
        <v>199</v>
      </c>
      <c r="C11" s="4">
        <f>COUNTIFS(Resp4[Vínculo],"tecnico",Resp4[4.74],B11)</f>
        <v>7</v>
      </c>
      <c r="D11" s="4">
        <f>COUNTIFS(Resp4[Vínculo],"docente",Resp4[4.74],B11)</f>
        <v>2</v>
      </c>
      <c r="E11" s="4">
        <f>COUNTIF(Resp4[4.74],B11)</f>
        <v>9</v>
      </c>
      <c r="F11" s="4">
        <f t="shared" si="0"/>
        <v>13.24</v>
      </c>
      <c r="G11" s="3">
        <f t="shared" si="1"/>
        <v>17.308</v>
      </c>
    </row>
    <row r="12" spans="1:7" x14ac:dyDescent="0.25">
      <c r="B12" s="7" t="s">
        <v>200</v>
      </c>
      <c r="C12" s="4">
        <f>COUNTIFS(Resp4[Vínculo],"tecnico",Resp4[4.74],B12)</f>
        <v>8</v>
      </c>
      <c r="D12" s="4">
        <f>COUNTIFS(Resp4[Vínculo],"docente",Resp4[4.74],B12)</f>
        <v>3</v>
      </c>
      <c r="E12" s="4">
        <f>COUNTIF(Resp4[4.74],B12)</f>
        <v>11</v>
      </c>
      <c r="F12" s="22">
        <f t="shared" si="0"/>
        <v>16.18</v>
      </c>
      <c r="G12" s="3">
        <f t="shared" si="1"/>
        <v>21.154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35.713999999999999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10.714</v>
      </c>
    </row>
    <row r="21" spans="2:7" x14ac:dyDescent="0.25">
      <c r="B21" s="32" t="s">
        <v>33</v>
      </c>
      <c r="C21" s="32" t="s">
        <v>32</v>
      </c>
      <c r="D21" s="18">
        <f>SUM(C11:C12)</f>
        <v>15</v>
      </c>
      <c r="E21" s="19">
        <f t="shared" si="2"/>
        <v>53.570999999999998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19</v>
      </c>
      <c r="E26" s="15">
        <f>ROUND(D26/SUM(D$25:D$28)*100,3)</f>
        <v>79.167000000000002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20.832999999999998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19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131</v>
      </c>
    </row>
    <row r="2" spans="1:7" x14ac:dyDescent="0.25">
      <c r="A2" s="2" t="str">
        <f>TEXT(A1,"0.00")</f>
        <v>4.75</v>
      </c>
      <c r="B2" s="2" t="str">
        <f>VLOOKUP(A$2,Eixo4[],3,FALSE)</f>
        <v>Com relação às atividades artístico-culturais, avalie as ações a seguir: [Exposições virtuais do Museu de Arqueologia e Etnologia da UFPR – MAE]</v>
      </c>
    </row>
    <row r="3" spans="1:7" x14ac:dyDescent="0.25">
      <c r="A3" s="2" t="s">
        <v>494</v>
      </c>
      <c r="B3" s="2" t="str">
        <f>VLOOKUP(A$2,Eixo4[],4,FALSE)</f>
        <v>Eixo 4: Questão 75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11</v>
      </c>
      <c r="E6" s="4">
        <f>E13-SUM(E7:E12)</f>
        <v>19</v>
      </c>
      <c r="F6" s="4">
        <f>ROUND($E6/E$13*100,2)</f>
        <v>27.94</v>
      </c>
    </row>
    <row r="7" spans="1:7" x14ac:dyDescent="0.25">
      <c r="B7" t="s">
        <v>203</v>
      </c>
      <c r="C7" s="4">
        <f>COUNTIFS(Resp4[Vínculo],"tecnico",Resp4[4.75],B7)</f>
        <v>10</v>
      </c>
      <c r="D7" s="4">
        <f>COUNTIFS(Resp4[Vínculo],"docente",Resp4[4.75],B7)</f>
        <v>19</v>
      </c>
      <c r="E7" s="4">
        <f>COUNTIF(Resp4[4.75],B7)</f>
        <v>29</v>
      </c>
      <c r="F7" s="4">
        <f t="shared" ref="F7:F12" si="0">ROUND($E7/E$13*100,2)</f>
        <v>42.65</v>
      </c>
      <c r="G7" s="3">
        <f t="shared" ref="G7:G12" si="1">ROUND($E7/SUM($E$7:$E$12)*100,3)</f>
        <v>59.183999999999997</v>
      </c>
    </row>
    <row r="8" spans="1:7" x14ac:dyDescent="0.25">
      <c r="B8" s="2" t="s">
        <v>206</v>
      </c>
      <c r="C8" s="4">
        <f>COUNTIFS(Resp4[Vínculo],"tecnico",Resp4[4.75],B8)</f>
        <v>0</v>
      </c>
      <c r="D8" s="4">
        <f>COUNTIFS(Resp4[Vínculo],"docente",Resp4[4.75],B8)</f>
        <v>0</v>
      </c>
      <c r="E8" s="4">
        <f>COUNTIF(Resp4[4.75],B8)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COUNTIFS(Resp4[Vínculo],"tecnico",Resp4[4.75],B9)</f>
        <v>0</v>
      </c>
      <c r="D9" s="4">
        <f>COUNTIFS(Resp4[Vínculo],"docente",Resp4[4.75],B9)</f>
        <v>0</v>
      </c>
      <c r="E9" s="4">
        <f>COUNTIF(Resp4[4.75],B9)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COUNTIFS(Resp4[Vínculo],"tecnico",Resp4[4.75],B10)</f>
        <v>2</v>
      </c>
      <c r="D10" s="4">
        <f>COUNTIFS(Resp4[Vínculo],"docente",Resp4[4.75],B10)</f>
        <v>0</v>
      </c>
      <c r="E10" s="4">
        <f>COUNTIF(Resp4[4.75],B10)</f>
        <v>2</v>
      </c>
      <c r="F10" s="4">
        <f t="shared" si="0"/>
        <v>2.94</v>
      </c>
      <c r="G10" s="3">
        <f t="shared" si="1"/>
        <v>4.0819999999999999</v>
      </c>
    </row>
    <row r="11" spans="1:7" x14ac:dyDescent="0.25">
      <c r="B11" s="2" t="s">
        <v>199</v>
      </c>
      <c r="C11" s="4">
        <f>COUNTIFS(Resp4[Vínculo],"tecnico",Resp4[4.75],B11)</f>
        <v>7</v>
      </c>
      <c r="D11" s="4">
        <f>COUNTIFS(Resp4[Vínculo],"docente",Resp4[4.75],B11)</f>
        <v>2</v>
      </c>
      <c r="E11" s="4">
        <f>COUNTIF(Resp4[4.75],B11)</f>
        <v>9</v>
      </c>
      <c r="F11" s="4">
        <f t="shared" si="0"/>
        <v>13.24</v>
      </c>
      <c r="G11" s="3">
        <f t="shared" si="1"/>
        <v>18.367000000000001</v>
      </c>
    </row>
    <row r="12" spans="1:7" x14ac:dyDescent="0.25">
      <c r="B12" s="7" t="s">
        <v>200</v>
      </c>
      <c r="C12" s="4">
        <f>COUNTIFS(Resp4[Vínculo],"tecnico",Resp4[4.75],B12)</f>
        <v>7</v>
      </c>
      <c r="D12" s="4">
        <f>COUNTIFS(Resp4[Vínculo],"docente",Resp4[4.75],B12)</f>
        <v>2</v>
      </c>
      <c r="E12" s="4">
        <f>COUNTIF(Resp4[4.75],B12)</f>
        <v>9</v>
      </c>
      <c r="F12" s="22">
        <f t="shared" si="0"/>
        <v>13.24</v>
      </c>
      <c r="G12" s="3">
        <f t="shared" si="1"/>
        <v>18.367000000000001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38.462000000000003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7.6920000000000002</v>
      </c>
    </row>
    <row r="21" spans="2:7" x14ac:dyDescent="0.25">
      <c r="B21" s="32" t="s">
        <v>33</v>
      </c>
      <c r="C21" s="32" t="s">
        <v>32</v>
      </c>
      <c r="D21" s="18">
        <f>SUM(C11:C12)</f>
        <v>14</v>
      </c>
      <c r="E21" s="19">
        <f t="shared" si="2"/>
        <v>53.845999999999997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19</v>
      </c>
      <c r="E26" s="15">
        <f>ROUND(D26/SUM(D$25:D$28)*100,3)</f>
        <v>82.608999999999995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17.390999999999998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5.7109375" style="2" customWidth="1"/>
    <col min="2" max="2" width="18" style="2" customWidth="1"/>
    <col min="3" max="3" width="19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132</v>
      </c>
    </row>
    <row r="2" spans="1:7" x14ac:dyDescent="0.25">
      <c r="A2" s="2" t="str">
        <f>TEXT(A1,"0.00")</f>
        <v>4.76</v>
      </c>
      <c r="B2" s="2" t="str">
        <f>VLOOKUP(A$2,Eixo4[],3,FALSE)</f>
        <v>Com relação às atividades artístico-culturais, avalie as ações a seguir: [Materiais educativos e outras programações do Museu de Arqueologia e Etnologia da UFPR – MAE (mesas redondas, entrevistas, oficinas)]</v>
      </c>
    </row>
    <row r="3" spans="1:7" x14ac:dyDescent="0.25">
      <c r="A3" s="2" t="s">
        <v>494</v>
      </c>
      <c r="B3" s="2" t="str">
        <f>VLOOKUP(A$2,Eixo4[],4,FALSE)</f>
        <v>Eixo 4: Questão 76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8</v>
      </c>
      <c r="D6" s="2">
        <f>COUNTIF(Resp4[Vínculo],"docente")-SUM(D$7:D$12)</f>
        <v>12</v>
      </c>
      <c r="E6" s="4">
        <f>E13-SUM(E7:E12)</f>
        <v>20</v>
      </c>
      <c r="F6" s="4">
        <f>ROUND($E6/E$13*100,2)</f>
        <v>29.41</v>
      </c>
    </row>
    <row r="7" spans="1:7" x14ac:dyDescent="0.25">
      <c r="B7" t="s">
        <v>203</v>
      </c>
      <c r="C7" s="4">
        <f>COUNTIFS(Resp4[Vínculo],"tecnico",Resp4[4.76],B7)</f>
        <v>10</v>
      </c>
      <c r="D7" s="4">
        <f>COUNTIFS(Resp4[Vínculo],"docente",Resp4[4.76],B7)</f>
        <v>18</v>
      </c>
      <c r="E7" s="4">
        <f>COUNTIF(Resp4[4.76],B7)</f>
        <v>28</v>
      </c>
      <c r="F7" s="4">
        <f t="shared" ref="F7:F12" si="0">ROUND($E7/E$13*100,2)</f>
        <v>41.18</v>
      </c>
      <c r="G7" s="3">
        <f t="shared" ref="G7:G12" si="1">ROUND($E7/SUM($E$7:$E$12)*100,3)</f>
        <v>58.332999999999998</v>
      </c>
    </row>
    <row r="8" spans="1:7" x14ac:dyDescent="0.25">
      <c r="B8" s="2" t="s">
        <v>206</v>
      </c>
      <c r="C8" s="4">
        <f>COUNTIFS(Resp4[Vínculo],"tecnico",Resp4[4.76],B8)</f>
        <v>0</v>
      </c>
      <c r="D8" s="4">
        <f>COUNTIFS(Resp4[Vínculo],"docente",Resp4[4.76],B8)</f>
        <v>0</v>
      </c>
      <c r="E8" s="4">
        <f>COUNTIF(Resp4[4.76],B8)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COUNTIFS(Resp4[Vínculo],"tecnico",Resp4[4.76],B9)</f>
        <v>0</v>
      </c>
      <c r="D9" s="4">
        <f>COUNTIFS(Resp4[Vínculo],"docente",Resp4[4.76],B9)</f>
        <v>0</v>
      </c>
      <c r="E9" s="4">
        <f>COUNTIF(Resp4[4.76],B9)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COUNTIFS(Resp4[Vínculo],"tecnico",Resp4[4.76],B10)</f>
        <v>2</v>
      </c>
      <c r="D10" s="4">
        <f>COUNTIFS(Resp4[Vínculo],"docente",Resp4[4.76],B10)</f>
        <v>0</v>
      </c>
      <c r="E10" s="4">
        <f>COUNTIF(Resp4[4.76],B10)</f>
        <v>2</v>
      </c>
      <c r="F10" s="4">
        <f t="shared" si="0"/>
        <v>2.94</v>
      </c>
      <c r="G10" s="3">
        <f t="shared" si="1"/>
        <v>4.1669999999999998</v>
      </c>
    </row>
    <row r="11" spans="1:7" x14ac:dyDescent="0.25">
      <c r="B11" s="2" t="s">
        <v>199</v>
      </c>
      <c r="C11" s="4">
        <f>COUNTIFS(Resp4[Vínculo],"tecnico",Resp4[4.76],B11)</f>
        <v>7</v>
      </c>
      <c r="D11" s="4">
        <f>COUNTIFS(Resp4[Vínculo],"docente",Resp4[4.76],B11)</f>
        <v>2</v>
      </c>
      <c r="E11" s="4">
        <f>COUNTIF(Resp4[4.76],B11)</f>
        <v>9</v>
      </c>
      <c r="F11" s="4">
        <f t="shared" si="0"/>
        <v>13.24</v>
      </c>
      <c r="G11" s="3">
        <f t="shared" si="1"/>
        <v>18.75</v>
      </c>
    </row>
    <row r="12" spans="1:7" x14ac:dyDescent="0.25">
      <c r="B12" s="7" t="s">
        <v>200</v>
      </c>
      <c r="C12" s="4">
        <f>COUNTIFS(Resp4[Vínculo],"tecnico",Resp4[4.76],B12)</f>
        <v>7</v>
      </c>
      <c r="D12" s="4">
        <f>COUNTIFS(Resp4[Vínculo],"docente",Resp4[4.76],B12)</f>
        <v>2</v>
      </c>
      <c r="E12" s="4">
        <f>COUNTIF(Resp4[4.76],B12)</f>
        <v>9</v>
      </c>
      <c r="F12" s="4">
        <f t="shared" si="0"/>
        <v>13.24</v>
      </c>
      <c r="G12" s="3">
        <f t="shared" si="1"/>
        <v>18.75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88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38.462000000000003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7.6920000000000002</v>
      </c>
    </row>
    <row r="21" spans="2:7" x14ac:dyDescent="0.25">
      <c r="B21" s="32" t="s">
        <v>33</v>
      </c>
      <c r="C21" s="32" t="s">
        <v>32</v>
      </c>
      <c r="D21" s="18">
        <f>SUM(C11:C12)</f>
        <v>14</v>
      </c>
      <c r="E21" s="19">
        <f t="shared" si="2"/>
        <v>53.845999999999997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18</v>
      </c>
      <c r="E26" s="15">
        <f>ROUND(D26/SUM(D$25:D$28)*100,3)</f>
        <v>81.817999999999998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4</v>
      </c>
      <c r="E28" s="19">
        <f>ROUND(D28/SUM(D$25:D$28)*100,3)</f>
        <v>18.181999999999999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G13" sqref="G13"/>
    </sheetView>
  </sheetViews>
  <sheetFormatPr defaultRowHeight="15" x14ac:dyDescent="0.25"/>
  <cols>
    <col min="1" max="1" width="3.85546875" style="2" customWidth="1"/>
    <col min="2" max="2" width="18.85546875" style="2" customWidth="1"/>
    <col min="3" max="3" width="14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133</v>
      </c>
    </row>
    <row r="2" spans="1:7" x14ac:dyDescent="0.25">
      <c r="A2" s="2" t="str">
        <f>TEXT(A1,"0.00")</f>
        <v>4.77</v>
      </c>
      <c r="B2" s="2" t="str">
        <f>VLOOKUP(A$2,Eixo4[],3,FALSE)</f>
        <v>Com relação às atividades artístico-culturais, avalie as ações a seguir: [Feira do Livro]</v>
      </c>
    </row>
    <row r="3" spans="1:7" x14ac:dyDescent="0.25">
      <c r="A3" s="2" t="s">
        <v>494</v>
      </c>
      <c r="B3" s="2" t="str">
        <f>VLOOKUP(A$2,Eixo4[],4,FALSE)</f>
        <v>Eixo 4: Questão 77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6</v>
      </c>
      <c r="D6" s="2">
        <f>COUNTIF(Resp4[Vínculo],"docente")-SUM(D$7:D$12)</f>
        <v>11</v>
      </c>
      <c r="E6" s="4">
        <f>E13-SUM(E7:E12)</f>
        <v>17</v>
      </c>
      <c r="F6" s="4">
        <f>ROUND($E6/E$13*100,2)</f>
        <v>25</v>
      </c>
    </row>
    <row r="7" spans="1:7" x14ac:dyDescent="0.25">
      <c r="B7" t="s">
        <v>203</v>
      </c>
      <c r="C7" s="4">
        <f>COUNTIFS(Resp4[Vínculo],"tecnico",Resp4[4.77],B7)</f>
        <v>10</v>
      </c>
      <c r="D7" s="4">
        <f>COUNTIFS(Resp4[Vínculo],"docente",Resp4[4.77],B7)</f>
        <v>18</v>
      </c>
      <c r="E7" s="4">
        <f>COUNTIF(Resp4[4.77],B7)</f>
        <v>28</v>
      </c>
      <c r="F7" s="4">
        <f t="shared" ref="F7:F12" si="0">ROUND($E7/E$13*100,2)</f>
        <v>41.18</v>
      </c>
      <c r="G7" s="3">
        <f t="shared" ref="G7:G12" si="1">ROUND($E7/SUM($E$7:$E$12)*100,3)</f>
        <v>54.902000000000001</v>
      </c>
    </row>
    <row r="8" spans="1:7" x14ac:dyDescent="0.25">
      <c r="B8" s="2" t="s">
        <v>206</v>
      </c>
      <c r="C8" s="4">
        <f>COUNTIFS(Resp4[Vínculo],"tecnico",Resp4[4.74],B8)</f>
        <v>0</v>
      </c>
      <c r="D8" s="4">
        <f>COUNTIFS(Resp4[Vínculo],"docente",Resp4[4.74],B8)</f>
        <v>0</v>
      </c>
      <c r="E8" s="4">
        <f>COUNTIF(Resp4[4.74],B8)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COUNTIFS(Resp4[Vínculo],"tecnico",Resp4[4.74],B9)</f>
        <v>0</v>
      </c>
      <c r="D9" s="4">
        <f>COUNTIFS(Resp4[Vínculo],"docente",Resp4[4.74],B9)</f>
        <v>0</v>
      </c>
      <c r="E9" s="4">
        <f>COUNTIF(Resp4[4.74],B9)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COUNTIFS(Resp4[Vínculo],"tecnico",Resp4[4.74],B10)</f>
        <v>3</v>
      </c>
      <c r="D10" s="4">
        <f>COUNTIFS(Resp4[Vínculo],"docente",Resp4[4.74],B10)</f>
        <v>0</v>
      </c>
      <c r="E10" s="4">
        <f>COUNTIF(Resp4[4.74],B10)</f>
        <v>3</v>
      </c>
      <c r="F10" s="4">
        <f t="shared" si="0"/>
        <v>4.41</v>
      </c>
      <c r="G10" s="3">
        <f t="shared" si="1"/>
        <v>5.8819999999999997</v>
      </c>
    </row>
    <row r="11" spans="1:7" x14ac:dyDescent="0.25">
      <c r="B11" s="2" t="s">
        <v>199</v>
      </c>
      <c r="C11" s="4">
        <f>COUNTIFS(Resp4[Vínculo],"tecnico",Resp4[4.74],B11)</f>
        <v>7</v>
      </c>
      <c r="D11" s="4">
        <f>COUNTIFS(Resp4[Vínculo],"docente",Resp4[4.74],B11)</f>
        <v>2</v>
      </c>
      <c r="E11" s="4">
        <f>COUNTIF(Resp4[4.74],B11)</f>
        <v>9</v>
      </c>
      <c r="F11" s="4">
        <f t="shared" si="0"/>
        <v>13.24</v>
      </c>
      <c r="G11" s="3">
        <f t="shared" si="1"/>
        <v>17.646999999999998</v>
      </c>
    </row>
    <row r="12" spans="1:7" x14ac:dyDescent="0.25">
      <c r="B12" s="7" t="s">
        <v>200</v>
      </c>
      <c r="C12" s="4">
        <f>COUNTIFS(Resp4[Vínculo],"tecnico",Resp4[4.74],B12)</f>
        <v>8</v>
      </c>
      <c r="D12" s="4">
        <f>COUNTIFS(Resp4[Vínculo],"docente",Resp4[4.74],B12)</f>
        <v>3</v>
      </c>
      <c r="E12" s="4">
        <f>COUNTIF(Resp4[4.74],B12)</f>
        <v>11</v>
      </c>
      <c r="F12" s="22">
        <f t="shared" si="0"/>
        <v>16.18</v>
      </c>
      <c r="G12" s="3">
        <f t="shared" si="1"/>
        <v>21.568999999999999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89">
        <f>SUM(F6:F12)</f>
        <v>100.00999999999999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203</v>
      </c>
      <c r="C19" s="16" t="s">
        <v>23</v>
      </c>
      <c r="D19" s="14">
        <f>C7</f>
        <v>10</v>
      </c>
      <c r="E19" s="15">
        <f t="shared" ref="E19:E21" si="2">ROUND(D19/SUM(D$18:D$21)*100,3)</f>
        <v>35.713999999999999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3</v>
      </c>
      <c r="E20" s="15">
        <f t="shared" si="2"/>
        <v>10.714</v>
      </c>
    </row>
    <row r="21" spans="2:7" x14ac:dyDescent="0.25">
      <c r="B21" s="32" t="s">
        <v>33</v>
      </c>
      <c r="C21" s="32" t="s">
        <v>32</v>
      </c>
      <c r="D21" s="18">
        <f>SUM(C11:C12)</f>
        <v>15</v>
      </c>
      <c r="E21" s="19">
        <f t="shared" si="2"/>
        <v>53.570999999999998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203</v>
      </c>
      <c r="C26" s="16" t="s">
        <v>23</v>
      </c>
      <c r="D26" s="14">
        <f>D7</f>
        <v>18</v>
      </c>
      <c r="E26" s="15">
        <f>ROUND(D26/SUM(D$25:D$28)*100,3)</f>
        <v>78.260999999999996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5</v>
      </c>
      <c r="E28" s="19">
        <f>ROUND(D28/SUM(D$25:D$28)*100,3)</f>
        <v>21.739000000000001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"/>
  <sheetViews>
    <sheetView workbookViewId="0"/>
  </sheetViews>
  <sheetFormatPr defaultRowHeight="15" x14ac:dyDescent="0.25"/>
  <cols>
    <col min="1" max="1" width="4" style="2" customWidth="1"/>
    <col min="2" max="2" width="20.7109375" style="2" customWidth="1"/>
    <col min="3" max="3" width="16.42578125" style="2" customWidth="1"/>
    <col min="4" max="4" width="10.5703125" style="2" customWidth="1"/>
    <col min="5" max="5" width="9.5703125" style="2" customWidth="1"/>
    <col min="6" max="6" width="9" style="2" customWidth="1"/>
    <col min="7" max="7" width="11.14062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58</v>
      </c>
    </row>
    <row r="2" spans="1:7" x14ac:dyDescent="0.25">
      <c r="A2" s="2" t="str">
        <f>TEXT(A1,"0.00")</f>
        <v>4.02</v>
      </c>
      <c r="B2" s="2" t="str">
        <f>VLOOKUP(A$2,Eixo4[],3,FALSE)</f>
        <v>Com relação ao ensino da graduação, avalie: [A consonância entre os fins da instituição e o currículo e a organização didático-pedagógica (métodos, metodologias, planos de ensino e de aprendizagem e avaliação da aprendizagem)]</v>
      </c>
    </row>
    <row r="3" spans="1:7" x14ac:dyDescent="0.25">
      <c r="A3" s="2" t="s">
        <v>494</v>
      </c>
      <c r="B3" s="2" t="str">
        <f>VLOOKUP(A$2,Eixo4[],4,FALSE)</f>
        <v>Eixo 4: Questão 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3">
        <f>ROUND($E6/E$13*100,2)</f>
        <v>55.88</v>
      </c>
    </row>
    <row r="7" spans="1:7" x14ac:dyDescent="0.25">
      <c r="B7" s="2" t="s">
        <v>201</v>
      </c>
      <c r="C7" s="4">
        <f>COUNTIFS(Resp4[Vínculo],"tecnico",Resp4[4.02],B$7)</f>
        <v>0</v>
      </c>
      <c r="D7" s="4">
        <f>COUNTIFS(Resp4[Vínculo],"docente",Resp4[4.02],B$7)</f>
        <v>1</v>
      </c>
      <c r="E7" s="4">
        <f>COUNTIF(Resp4[4.02],B7)</f>
        <v>1</v>
      </c>
      <c r="F7" s="3">
        <f t="shared" ref="F7:F13" si="0">ROUND($E7/E$13*100,2)</f>
        <v>1.47</v>
      </c>
      <c r="G7" s="3">
        <f t="shared" ref="G7:G12" si="1">ROUND($E7/SUM($E$7:$E$12)*100,3)</f>
        <v>3.3330000000000002</v>
      </c>
    </row>
    <row r="8" spans="1:7" x14ac:dyDescent="0.25">
      <c r="B8" s="2" t="s">
        <v>206</v>
      </c>
      <c r="C8" s="4">
        <f>COUNTIFS(Resp4[Vínculo],"tecnico",Resp4[4.02],B$8)</f>
        <v>0</v>
      </c>
      <c r="D8" s="4">
        <f>COUNTIFS(Resp4[Vínculo],"docente",Resp4[4.02],B8)</f>
        <v>1</v>
      </c>
      <c r="E8" s="4">
        <f>COUNTIF(Resp4[4.02],B8)</f>
        <v>1</v>
      </c>
      <c r="F8" s="3">
        <f t="shared" si="0"/>
        <v>1.47</v>
      </c>
      <c r="G8" s="3">
        <f t="shared" si="1"/>
        <v>3.3330000000000002</v>
      </c>
    </row>
    <row r="9" spans="1:7" x14ac:dyDescent="0.25">
      <c r="B9" s="2" t="s">
        <v>202</v>
      </c>
      <c r="C9" s="4">
        <f>COUNTIFS(Resp4[Vínculo],"tecnico",Resp4[4.02],B$9)</f>
        <v>1</v>
      </c>
      <c r="D9" s="4">
        <f>COUNTIFS(Resp4[Vínculo],"docente",Resp4[4.02],B9)</f>
        <v>1</v>
      </c>
      <c r="E9" s="4">
        <f>COUNTIF(Resp4[4.02],B9)</f>
        <v>2</v>
      </c>
      <c r="F9" s="3">
        <f t="shared" si="0"/>
        <v>2.94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COUNTIFS(Resp4[Vínculo],"tecnico",Resp4[4.02],B$10)</f>
        <v>0</v>
      </c>
      <c r="D10" s="4">
        <f>COUNTIFS(Resp4[Vínculo],"docente",Resp4[4.02],B10)</f>
        <v>5</v>
      </c>
      <c r="E10" s="4">
        <f>COUNTIF(Resp4[4.02],B10)</f>
        <v>5</v>
      </c>
      <c r="F10" s="3">
        <f t="shared" si="0"/>
        <v>7.35</v>
      </c>
      <c r="G10" s="3">
        <f t="shared" si="1"/>
        <v>16.667000000000002</v>
      </c>
    </row>
    <row r="11" spans="1:7" x14ac:dyDescent="0.25">
      <c r="B11" s="2" t="s">
        <v>199</v>
      </c>
      <c r="C11" s="4">
        <f>COUNTIFS(Resp4[Vínculo],"tecnico",Resp4[4.02],B$11)</f>
        <v>2</v>
      </c>
      <c r="D11" s="4">
        <f>COUNTIFS(Resp4[Vínculo],"docente",Resp4[4.02],B11)</f>
        <v>15</v>
      </c>
      <c r="E11" s="4">
        <f>COUNTIF(Resp4[4.02],B11)</f>
        <v>17</v>
      </c>
      <c r="F11" s="3">
        <f t="shared" si="0"/>
        <v>25</v>
      </c>
      <c r="G11" s="3">
        <f t="shared" si="1"/>
        <v>56.667000000000002</v>
      </c>
    </row>
    <row r="12" spans="1:7" x14ac:dyDescent="0.25">
      <c r="B12" s="7" t="s">
        <v>200</v>
      </c>
      <c r="C12" s="4">
        <f>COUNTIFS(Resp4[Vínculo],"tecnico",Resp4[4.02],B$12)</f>
        <v>2</v>
      </c>
      <c r="D12" s="4">
        <f>COUNTIFS(Resp4[Vínculo],"docente",Resp4[4.02],B12)</f>
        <v>2</v>
      </c>
      <c r="E12" s="4">
        <f>COUNTIF(Resp4[4.02],B12)</f>
        <v>4</v>
      </c>
      <c r="F12" s="24">
        <f t="shared" si="0"/>
        <v>5.88</v>
      </c>
      <c r="G12" s="3">
        <f t="shared" si="1"/>
        <v>13.333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3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80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1</v>
      </c>
      <c r="E26" s="15">
        <f>ROUND(D26/SUM(D$25:D$28)*100,3)</f>
        <v>4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20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68</v>
      </c>
    </row>
    <row r="33" spans="5:13" x14ac:dyDescent="0.25">
      <c r="E33" s="33"/>
      <c r="F33" s="33"/>
      <c r="G33" s="34"/>
      <c r="H33" s="33"/>
      <c r="I33" s="33"/>
      <c r="J33" s="33"/>
      <c r="K33" s="33"/>
      <c r="L33" s="33"/>
      <c r="M33" s="33"/>
    </row>
    <row r="34" spans="5:13" x14ac:dyDescent="0.25">
      <c r="E34" s="33"/>
      <c r="F34" s="33"/>
      <c r="G34" s="34"/>
      <c r="H34" s="33"/>
      <c r="I34" s="33"/>
      <c r="J34" s="33"/>
      <c r="K34" s="33"/>
      <c r="L34" s="33"/>
      <c r="M34" s="33"/>
    </row>
    <row r="35" spans="5:13" x14ac:dyDescent="0.25">
      <c r="E35" s="33"/>
      <c r="F35" s="33"/>
      <c r="G35" s="34"/>
      <c r="H35" s="33"/>
      <c r="I35" s="33"/>
      <c r="J35" s="33"/>
      <c r="K35" s="33"/>
      <c r="L35" s="33"/>
      <c r="M35" s="33"/>
    </row>
    <row r="36" spans="5:13" x14ac:dyDescent="0.25">
      <c r="E36" s="33"/>
      <c r="F36" s="33"/>
      <c r="G36" s="35"/>
      <c r="H36" s="36"/>
      <c r="I36" s="33"/>
      <c r="J36" s="33"/>
      <c r="K36" s="33"/>
      <c r="L36" s="33"/>
      <c r="M36" s="33"/>
    </row>
    <row r="37" spans="5:13" x14ac:dyDescent="0.25">
      <c r="E37" s="33"/>
      <c r="F37" s="33"/>
      <c r="G37" s="37"/>
      <c r="H37" s="38"/>
      <c r="I37" s="33"/>
      <c r="J37" s="33"/>
      <c r="K37" s="33"/>
      <c r="L37" s="33"/>
      <c r="M37" s="33"/>
    </row>
    <row r="38" spans="5:13" x14ac:dyDescent="0.25">
      <c r="E38" s="33"/>
      <c r="F38" s="33"/>
      <c r="G38" s="37"/>
      <c r="H38" s="38"/>
      <c r="I38" s="33"/>
      <c r="J38" s="33"/>
      <c r="K38" s="33"/>
      <c r="L38" s="33"/>
      <c r="M38" s="33"/>
    </row>
    <row r="39" spans="5:13" x14ac:dyDescent="0.25">
      <c r="E39" s="33"/>
      <c r="F39" s="33"/>
      <c r="G39" s="37"/>
      <c r="H39" s="38"/>
      <c r="I39" s="33"/>
      <c r="J39" s="33"/>
      <c r="K39" s="33"/>
      <c r="L39" s="33"/>
      <c r="M39" s="33"/>
    </row>
    <row r="40" spans="5:13" x14ac:dyDescent="0.25">
      <c r="E40" s="33"/>
      <c r="F40" s="33"/>
      <c r="G40" s="37"/>
      <c r="H40" s="38"/>
      <c r="I40" s="33"/>
      <c r="J40" s="33"/>
      <c r="K40" s="33"/>
      <c r="L40" s="33"/>
      <c r="M40" s="33"/>
    </row>
    <row r="41" spans="5:13" x14ac:dyDescent="0.25">
      <c r="E41" s="33"/>
      <c r="F41" s="33"/>
      <c r="G41" s="33"/>
      <c r="H41" s="39"/>
      <c r="I41" s="33"/>
      <c r="J41" s="33"/>
      <c r="K41" s="33"/>
      <c r="L41" s="33"/>
      <c r="M41" s="33"/>
    </row>
    <row r="42" spans="5:13" x14ac:dyDescent="0.25">
      <c r="E42" s="33"/>
      <c r="F42" s="33"/>
      <c r="G42" s="33"/>
      <c r="H42" s="39"/>
      <c r="I42" s="33"/>
      <c r="J42" s="33"/>
      <c r="K42" s="33"/>
      <c r="L42" s="33"/>
      <c r="M42" s="33"/>
    </row>
    <row r="43" spans="5:13" x14ac:dyDescent="0.25">
      <c r="E43" s="33"/>
      <c r="F43" s="33"/>
      <c r="G43" s="35"/>
      <c r="H43" s="36"/>
      <c r="I43" s="33"/>
      <c r="J43" s="33"/>
      <c r="K43" s="33"/>
      <c r="L43" s="33"/>
      <c r="M43" s="33"/>
    </row>
    <row r="44" spans="5:13" x14ac:dyDescent="0.25">
      <c r="E44" s="33"/>
      <c r="F44" s="33"/>
      <c r="G44" s="37"/>
      <c r="H44" s="38"/>
      <c r="I44" s="33"/>
      <c r="J44" s="33"/>
      <c r="K44" s="33"/>
      <c r="L44" s="33"/>
      <c r="M44" s="33"/>
    </row>
    <row r="45" spans="5:13" x14ac:dyDescent="0.25">
      <c r="E45" s="33"/>
      <c r="F45" s="33"/>
      <c r="G45" s="37"/>
      <c r="H45" s="38"/>
      <c r="I45" s="33"/>
      <c r="J45" s="33"/>
      <c r="K45" s="33"/>
      <c r="L45" s="33"/>
      <c r="M45" s="33"/>
    </row>
    <row r="46" spans="5:13" x14ac:dyDescent="0.25">
      <c r="E46" s="33"/>
      <c r="F46" s="33"/>
      <c r="G46" s="37"/>
      <c r="H46" s="38"/>
      <c r="I46" s="33"/>
      <c r="J46" s="33"/>
      <c r="K46" s="33"/>
      <c r="L46" s="33"/>
      <c r="M46" s="33"/>
    </row>
    <row r="47" spans="5:13" x14ac:dyDescent="0.25">
      <c r="E47" s="33"/>
      <c r="F47" s="33"/>
      <c r="G47" s="37"/>
      <c r="H47" s="38"/>
      <c r="I47" s="33"/>
      <c r="J47" s="33"/>
      <c r="K47" s="33"/>
      <c r="L47" s="33"/>
      <c r="M47" s="33"/>
    </row>
    <row r="48" spans="5:13" x14ac:dyDescent="0.25">
      <c r="E48" s="33"/>
      <c r="F48" s="33"/>
      <c r="G48" s="34"/>
      <c r="H48" s="33"/>
      <c r="I48" s="33"/>
      <c r="J48" s="33"/>
      <c r="K48" s="33"/>
      <c r="L48" s="33"/>
      <c r="M48" s="33"/>
    </row>
    <row r="49" spans="5:13" x14ac:dyDescent="0.25">
      <c r="E49" s="33"/>
      <c r="F49" s="33"/>
      <c r="G49" s="34"/>
      <c r="H49" s="33"/>
      <c r="I49" s="33"/>
      <c r="J49" s="33"/>
      <c r="K49" s="33"/>
      <c r="L49" s="33"/>
      <c r="M49" s="33"/>
    </row>
  </sheetData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"/>
  <sheetViews>
    <sheetView workbookViewId="0">
      <selection activeCell="F11" sqref="F11"/>
    </sheetView>
  </sheetViews>
  <sheetFormatPr defaultRowHeight="15" x14ac:dyDescent="0.25"/>
  <sheetData>
    <row r="1" spans="1:7" x14ac:dyDescent="0.25">
      <c r="A1" s="2" t="s">
        <v>135</v>
      </c>
      <c r="B1" s="2"/>
    </row>
    <row r="2" spans="1:7" x14ac:dyDescent="0.25">
      <c r="A2" s="2" t="str">
        <f>TEXT(A1,"0.00")</f>
        <v>4.79</v>
      </c>
      <c r="B2" s="2" t="str">
        <f>VLOOKUP(A$2,Eixo4[],3,FALSE)</f>
        <v>Se você não participou de nenhuma atividade artístico-cultural ofertada pela UFPR, marque o motivo:</v>
      </c>
    </row>
    <row r="3" spans="1:7" x14ac:dyDescent="0.25">
      <c r="A3" s="2" t="s">
        <v>494</v>
      </c>
      <c r="B3" s="2" t="str">
        <f>VLOOKUP(A$2,Eixo4[],4,FALSE)</f>
        <v>Eixo 4: Questão 79</v>
      </c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t="s">
        <v>506</v>
      </c>
      <c r="C6" s="2">
        <f>COUNTIF(Resp4[Vínculo],"tecnico")-SUM(C$7:C$10)</f>
        <v>0</v>
      </c>
      <c r="D6" s="2">
        <f>COUNTIF(Resp4[Vínculo],"docente")-SUM(D$7:D$10)</f>
        <v>0</v>
      </c>
      <c r="E6" s="4">
        <f>E11-SUM(E7:E10)</f>
        <v>0</v>
      </c>
      <c r="F6" s="4">
        <f>ROUND($E6/E$11*100,2)</f>
        <v>0</v>
      </c>
      <c r="G6" s="3"/>
    </row>
    <row r="7" spans="1:7" x14ac:dyDescent="0.25">
      <c r="B7" t="s">
        <v>507</v>
      </c>
      <c r="C7" s="4">
        <f>COUNTIFS(Resp4[Vínculo],"tecnico",Resp4[4.79],C14)</f>
        <v>9</v>
      </c>
      <c r="D7" s="4">
        <f>COUNTIFS(Resp4[Vínculo],"docente",Resp4[4.79],C14)</f>
        <v>8</v>
      </c>
      <c r="E7" s="4">
        <f>COUNTIF(Resp4[4.79],C14)</f>
        <v>17</v>
      </c>
      <c r="F7" s="4">
        <f t="shared" ref="F7:F11" si="0">ROUND($E7/E$11*100,2)</f>
        <v>25</v>
      </c>
      <c r="G7" s="3">
        <f>ROUND($E7/SUM($E$7:$E$10)*100,3)</f>
        <v>25</v>
      </c>
    </row>
    <row r="8" spans="1:7" x14ac:dyDescent="0.25">
      <c r="B8" t="s">
        <v>508</v>
      </c>
      <c r="C8" s="4">
        <f>COUNTIFS(Resp4[Vínculo],"tecnico",Resp4[4.79],C15)</f>
        <v>6</v>
      </c>
      <c r="D8" s="4">
        <f>COUNTIFS(Resp4[Vínculo],"docente",Resp4[4.79],C15)</f>
        <v>10</v>
      </c>
      <c r="E8" s="4">
        <f>COUNTIF(Resp4[4.79],C15)</f>
        <v>16</v>
      </c>
      <c r="F8" s="4">
        <f t="shared" si="0"/>
        <v>23.53</v>
      </c>
      <c r="G8" s="3">
        <f>ROUND($E8/SUM($E$7:$E$10)*100,3)</f>
        <v>23.529</v>
      </c>
    </row>
    <row r="9" spans="1:7" x14ac:dyDescent="0.25">
      <c r="B9" t="s">
        <v>509</v>
      </c>
      <c r="C9" s="4">
        <f>COUNTIFS(Resp4[Vínculo],"tecnico",Resp4[4.79],C16)</f>
        <v>11</v>
      </c>
      <c r="D9" s="4">
        <f>COUNTIFS(Resp4[Vínculo],"docente",Resp4[4.79],C16)</f>
        <v>11</v>
      </c>
      <c r="E9" s="4">
        <f>COUNTIF(Resp4[4.79],C16)</f>
        <v>22</v>
      </c>
      <c r="F9" s="4">
        <f t="shared" si="0"/>
        <v>32.35</v>
      </c>
      <c r="G9" s="3">
        <f>ROUND($E9/SUM($E$7:$E$10)*100,3)</f>
        <v>32.353000000000002</v>
      </c>
    </row>
    <row r="10" spans="1:7" x14ac:dyDescent="0.25">
      <c r="B10" s="23" t="s">
        <v>205</v>
      </c>
      <c r="C10" s="22">
        <f>COUNTIFS(Resp4[Vínculo],"tecnico",Resp4[4.79],B10)</f>
        <v>8</v>
      </c>
      <c r="D10" s="22">
        <f>COUNTIFS(Resp4[Vínculo],"docente",Resp4[4.79],B10)</f>
        <v>5</v>
      </c>
      <c r="E10" s="22">
        <f>COUNTIF(Resp4[4.79],B10)</f>
        <v>13</v>
      </c>
      <c r="F10" s="22">
        <f t="shared" si="0"/>
        <v>19.12</v>
      </c>
      <c r="G10" s="24">
        <f>ROUND($E10/SUM($E$7:$E$10)*100,3)</f>
        <v>19.117999999999999</v>
      </c>
    </row>
    <row r="11" spans="1:7" x14ac:dyDescent="0.25">
      <c r="B11" t="s">
        <v>502</v>
      </c>
      <c r="C11">
        <f>SUM(C6:C10)</f>
        <v>34</v>
      </c>
      <c r="D11">
        <f>SUM(D6:D10)</f>
        <v>34</v>
      </c>
      <c r="E11">
        <f>SUM(C11:D11)</f>
        <v>68</v>
      </c>
      <c r="F11" s="15">
        <f t="shared" si="0"/>
        <v>100</v>
      </c>
      <c r="G11" s="25">
        <f>SUM(G7:G10)</f>
        <v>100</v>
      </c>
    </row>
    <row r="13" spans="1:7" x14ac:dyDescent="0.25">
      <c r="B13" s="26" t="s">
        <v>510</v>
      </c>
      <c r="C13" s="26" t="s">
        <v>511</v>
      </c>
      <c r="D13" s="26"/>
      <c r="E13" s="26"/>
      <c r="F13" s="26"/>
    </row>
    <row r="14" spans="1:7" x14ac:dyDescent="0.25">
      <c r="B14" t="s">
        <v>507</v>
      </c>
      <c r="C14" t="s">
        <v>204</v>
      </c>
    </row>
    <row r="15" spans="1:7" x14ac:dyDescent="0.25">
      <c r="B15" t="s">
        <v>508</v>
      </c>
      <c r="C15" t="s">
        <v>207</v>
      </c>
    </row>
    <row r="16" spans="1:7" x14ac:dyDescent="0.25">
      <c r="B16" t="s">
        <v>509</v>
      </c>
      <c r="C16" t="s">
        <v>197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137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4.81</v>
      </c>
      <c r="B2" s="2" t="str">
        <f>VLOOKUP(A$2, Eixo4[], 3, FALSE)</f>
        <v>Considerando as atividades mencionadas anteriormente, você julga importante o acesso por meio de plataformas digitais?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81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15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COUNTIFS(Resp4[Vínculo],"tecnico",Resp4[4.81],B7)</f>
        <v>34</v>
      </c>
      <c r="D7" s="4">
        <f>COUNTIFS(Resp4[Vínculo],"docente",Resp4[4.81],B7)</f>
        <v>29</v>
      </c>
      <c r="E7" s="2">
        <f>COUNTIF(Resp4[4.81],B7)</f>
        <v>63</v>
      </c>
      <c r="F7" s="15">
        <f t="shared" ref="F7:F9" si="0">ROUND($E7/E$9*100,2)</f>
        <v>92.65</v>
      </c>
      <c r="G7" s="4">
        <f>ROUND($E7/SUM($E$7:$E$8)*100,2)</f>
        <v>92.65</v>
      </c>
      <c r="H7" s="2"/>
    </row>
    <row r="8" spans="1:8" x14ac:dyDescent="0.25">
      <c r="A8" s="2"/>
      <c r="B8" s="2" t="s">
        <v>194</v>
      </c>
      <c r="C8" s="4">
        <f>COUNTIFS(Resp4[Vínculo],"tecnico",Resp4[4.81],B8)</f>
        <v>0</v>
      </c>
      <c r="D8" s="4">
        <f>COUNTIFS(Resp4[Vínculo],"docente",Resp4[4.81],B8)</f>
        <v>5</v>
      </c>
      <c r="E8" s="2">
        <f>COUNTIF(Resp4[4.81],B8)</f>
        <v>5</v>
      </c>
      <c r="F8" s="19">
        <f t="shared" si="0"/>
        <v>7.35</v>
      </c>
      <c r="G8" s="4">
        <f>ROUND($E8/SUM($E$7:$E$8)*100,2)</f>
        <v>7.35</v>
      </c>
      <c r="H8" s="2"/>
    </row>
    <row r="9" spans="1:8" s="30" customFormat="1" ht="14.25" customHeight="1" x14ac:dyDescent="0.25">
      <c r="A9" s="29"/>
      <c r="B9" s="28" t="s">
        <v>502</v>
      </c>
      <c r="C9" s="28">
        <f>SUM(C6:C8)</f>
        <v>34</v>
      </c>
      <c r="D9" s="28">
        <f>SUM(D6:D8)</f>
        <v>34</v>
      </c>
      <c r="E9" s="28">
        <f>SUM(C9:D9)</f>
        <v>68</v>
      </c>
      <c r="F9" s="15">
        <f t="shared" si="0"/>
        <v>100</v>
      </c>
      <c r="G9" s="28">
        <f>SUM(G7:G8)</f>
        <v>100</v>
      </c>
      <c r="H9" s="29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workbookViewId="0">
      <selection activeCell="F9" sqref="F9"/>
    </sheetView>
  </sheetViews>
  <sheetFormatPr defaultRowHeight="15" x14ac:dyDescent="0.25"/>
  <cols>
    <col min="1" max="1" width="7.42578125" customWidth="1"/>
  </cols>
  <sheetData>
    <row r="1" spans="1:8" x14ac:dyDescent="0.25">
      <c r="A1" s="2" t="s">
        <v>141</v>
      </c>
      <c r="B1" s="2"/>
      <c r="C1" s="2"/>
      <c r="D1" s="2"/>
      <c r="E1" s="2"/>
      <c r="F1" s="2"/>
      <c r="G1" s="2"/>
      <c r="H1" s="2"/>
    </row>
    <row r="2" spans="1:8" x14ac:dyDescent="0.25">
      <c r="A2" s="2" t="str">
        <f>TEXT(A1,"0.00")</f>
        <v>4.85</v>
      </c>
      <c r="B2" s="2" t="str">
        <f>VLOOKUP(A$2, Eixo4[], 3, FALSE)</f>
        <v>Por favor, escolha Sim se deseja contribuir com a avaliação da pós-graduação stricto sensu. Caso contrário, escolha Não para prosseguir:</v>
      </c>
      <c r="C2" s="2"/>
      <c r="D2" s="2"/>
      <c r="E2" s="2"/>
      <c r="F2" s="2"/>
      <c r="G2" s="2"/>
      <c r="H2" s="2"/>
    </row>
    <row r="3" spans="1:8" x14ac:dyDescent="0.25">
      <c r="A3" s="2" t="s">
        <v>494</v>
      </c>
      <c r="B3" s="2" t="str">
        <f>VLOOKUP(A$2, Eixo4[], 4, FALSE)</f>
        <v>Eixo 4: Questão 85</v>
      </c>
      <c r="C3" s="4"/>
      <c r="D3" s="4"/>
      <c r="E3" s="2"/>
      <c r="F3" s="2"/>
      <c r="G3" s="2"/>
      <c r="H3" s="2"/>
    </row>
    <row r="4" spans="1:8" x14ac:dyDescent="0.25">
      <c r="A4" s="2"/>
      <c r="B4" s="4"/>
      <c r="C4" s="4"/>
      <c r="D4" s="4"/>
      <c r="E4" s="2"/>
      <c r="F4" s="2"/>
      <c r="G4" s="2"/>
      <c r="H4" s="2"/>
    </row>
    <row r="5" spans="1:8" x14ac:dyDescent="0.25">
      <c r="A5" s="2"/>
      <c r="B5" s="5" t="s">
        <v>495</v>
      </c>
      <c r="C5" s="5" t="s">
        <v>196</v>
      </c>
      <c r="D5" s="5" t="s">
        <v>497</v>
      </c>
      <c r="E5" s="5" t="s">
        <v>498</v>
      </c>
      <c r="F5" s="6" t="s">
        <v>499</v>
      </c>
      <c r="G5" s="5" t="s">
        <v>500</v>
      </c>
      <c r="H5" s="2"/>
    </row>
    <row r="6" spans="1:8" x14ac:dyDescent="0.25">
      <c r="A6" s="2"/>
      <c r="B6" s="2" t="s">
        <v>506</v>
      </c>
      <c r="C6" s="2">
        <f>COUNTIF(Resp4[Vínculo],"tecnico")-SUM(C$7:C$8)</f>
        <v>0</v>
      </c>
      <c r="D6" s="2">
        <f>COUNTIF(Resp4[Vínculo],"docente")-SUM(D$7:D$8)</f>
        <v>0</v>
      </c>
      <c r="E6" s="4">
        <f>E9-SUM(E7:E8)</f>
        <v>0</v>
      </c>
      <c r="F6" s="4">
        <f>ROUND($E6/E$9*100,2)</f>
        <v>0</v>
      </c>
      <c r="G6" s="2"/>
      <c r="H6" s="2"/>
    </row>
    <row r="7" spans="1:8" x14ac:dyDescent="0.25">
      <c r="A7" s="2"/>
      <c r="B7" s="2" t="s">
        <v>198</v>
      </c>
      <c r="C7" s="4">
        <f>COUNTIFS(Resp4[Vínculo],"tecnico",Resp4[4.85],B7)</f>
        <v>6</v>
      </c>
      <c r="D7" s="4">
        <f>COUNTIFS(Resp4[Vínculo],"docente",Resp4[4.85],B7)</f>
        <v>19</v>
      </c>
      <c r="E7" s="2">
        <f>COUNTIF(Resp4[4.85],B7)</f>
        <v>25</v>
      </c>
      <c r="F7" s="4">
        <f t="shared" ref="F7:F9" si="0">ROUND($E7/E$9*100,2)</f>
        <v>36.76</v>
      </c>
      <c r="G7" s="4">
        <f>ROUND($E7/SUM($E$7:$E$8)*100,2)</f>
        <v>36.76</v>
      </c>
      <c r="H7" s="2"/>
    </row>
    <row r="8" spans="1:8" x14ac:dyDescent="0.25">
      <c r="A8" s="2"/>
      <c r="B8" s="2" t="s">
        <v>194</v>
      </c>
      <c r="C8" s="4">
        <f>COUNTIFS(Resp4[Vínculo],"tecnico",Resp4[4.85],B8)</f>
        <v>28</v>
      </c>
      <c r="D8" s="4">
        <f>COUNTIFS(Resp4[Vínculo],"docente",Resp4[4.85],B8)</f>
        <v>15</v>
      </c>
      <c r="E8" s="2">
        <f>COUNTIF(Resp4[4.85],B8)</f>
        <v>43</v>
      </c>
      <c r="F8" s="22">
        <f t="shared" si="0"/>
        <v>63.24</v>
      </c>
      <c r="G8" s="4">
        <f>ROUND($E8/SUM($E$7:$E$8)*100,2)</f>
        <v>63.24</v>
      </c>
      <c r="H8" s="2"/>
    </row>
    <row r="9" spans="1:8" x14ac:dyDescent="0.25">
      <c r="A9" s="2"/>
      <c r="B9" s="8" t="s">
        <v>502</v>
      </c>
      <c r="C9" s="8">
        <f>SUM(C6:C8)</f>
        <v>34</v>
      </c>
      <c r="D9" s="8">
        <f>SUM(D6:D8)</f>
        <v>34</v>
      </c>
      <c r="E9" s="8">
        <f>SUM(C9:D9)</f>
        <v>68</v>
      </c>
      <c r="F9" s="15">
        <f t="shared" si="0"/>
        <v>100</v>
      </c>
      <c r="G9" s="8">
        <f>SUM(G7:G8)</f>
        <v>100</v>
      </c>
      <c r="H9" s="2"/>
    </row>
    <row r="10" spans="1:8" x14ac:dyDescent="0.25">
      <c r="A10" s="2"/>
      <c r="B10" s="2"/>
      <c r="C10" s="2"/>
      <c r="D10" s="2"/>
      <c r="E10" s="2"/>
      <c r="F10" s="2"/>
      <c r="G10" s="2"/>
      <c r="H10" s="2"/>
    </row>
    <row r="11" spans="1:8" x14ac:dyDescent="0.25">
      <c r="A11" s="2"/>
      <c r="B11" s="2"/>
      <c r="C11" s="2"/>
      <c r="D11" s="2"/>
      <c r="E11" s="2"/>
      <c r="F11" s="2"/>
      <c r="G11" s="2"/>
      <c r="H11" s="2"/>
    </row>
    <row r="12" spans="1:8" x14ac:dyDescent="0.25">
      <c r="A12" s="2"/>
      <c r="B12" s="2"/>
      <c r="C12" s="2"/>
      <c r="D12" s="2"/>
      <c r="E12" s="2"/>
      <c r="F12" s="2"/>
      <c r="G12" s="2"/>
      <c r="H12" s="2"/>
    </row>
    <row r="13" spans="1:8" x14ac:dyDescent="0.25">
      <c r="A13" s="2"/>
      <c r="B13" s="2"/>
      <c r="C13" s="2"/>
      <c r="D13" s="2"/>
      <c r="E13" s="2"/>
      <c r="F13" s="2"/>
      <c r="G13" s="2"/>
      <c r="H13" s="2"/>
    </row>
    <row r="14" spans="1:8" x14ac:dyDescent="0.25">
      <c r="A14" s="2"/>
      <c r="B14" s="2"/>
      <c r="C14" s="2"/>
      <c r="D14" s="2"/>
      <c r="E14" s="2"/>
      <c r="F14" s="2"/>
      <c r="G14" s="2"/>
      <c r="H14" s="2"/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31.28515625" style="2" customWidth="1"/>
    <col min="3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142</v>
      </c>
    </row>
    <row r="2" spans="1:7" x14ac:dyDescent="0.25">
      <c r="A2" s="2" t="str">
        <f>TEXT(A1,"0.00")</f>
        <v>4.86</v>
      </c>
      <c r="B2" s="2" t="str">
        <f>VLOOKUP(A$2,Eixo4[],3,FALSE)</f>
        <v>Considerando os programas de pós-graduação, avalie: [A clareza das normatizações sobre os programas de pós-graduação (regimento, processo seletivo, resoluções, etc.)]</v>
      </c>
    </row>
    <row r="3" spans="1:7" x14ac:dyDescent="0.25">
      <c r="A3" s="2" t="s">
        <v>494</v>
      </c>
      <c r="B3" s="2" t="str">
        <f>VLOOKUP(A$2,Eixo4[],4,FALSE)</f>
        <v>Eixo 4: Questão 86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COUNTIFS(Resp4[Vínculo],"tecnico",Resp4[4.86],B7)</f>
        <v>0</v>
      </c>
      <c r="D7" s="4">
        <f>COUNTIFS(Resp4[Vínculo],"docente",Resp4[4.86],B7)</f>
        <v>0</v>
      </c>
      <c r="E7" s="4">
        <f>COUNTIF(Resp4[4.86],B7)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COUNTIFS(Resp4[Vínculo],"tecnico",Resp4[4.86],B8)</f>
        <v>0</v>
      </c>
      <c r="D8" s="4">
        <f>COUNTIFS(Resp4[Vínculo],"docente",Resp4[4.86],B8)</f>
        <v>0</v>
      </c>
      <c r="E8" s="4">
        <f>COUNTIF(Resp4[4.86],B8)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COUNTIFS(Resp4[Vínculo],"tecnico",Resp4[4.86],B9)</f>
        <v>0</v>
      </c>
      <c r="D9" s="4">
        <f>COUNTIFS(Resp4[Vínculo],"docente",Resp4[4.86],B9)</f>
        <v>0</v>
      </c>
      <c r="E9" s="4">
        <f>COUNTIF(Resp4[4.86],B9)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COUNTIFS(Resp4[Vínculo],"tecnico",Resp4[4.86],B10)</f>
        <v>1</v>
      </c>
      <c r="D10" s="4">
        <f>COUNTIFS(Resp4[Vínculo],"docente",Resp4[4.86],B10)</f>
        <v>1</v>
      </c>
      <c r="E10" s="4">
        <f>COUNTIF(Resp4[4.86],B10)</f>
        <v>2</v>
      </c>
      <c r="F10" s="4">
        <f t="shared" si="0"/>
        <v>2.94</v>
      </c>
      <c r="G10" s="3">
        <f t="shared" si="1"/>
        <v>8</v>
      </c>
    </row>
    <row r="11" spans="1:7" x14ac:dyDescent="0.25">
      <c r="B11" s="2" t="s">
        <v>199</v>
      </c>
      <c r="C11" s="4">
        <f>COUNTIFS(Resp4[Vínculo],"tecnico",Resp4[4.86],B11)</f>
        <v>4</v>
      </c>
      <c r="D11" s="4">
        <f>COUNTIFS(Resp4[Vínculo],"docente",Resp4[4.86],B11)</f>
        <v>13</v>
      </c>
      <c r="E11" s="4">
        <f>COUNTIF(Resp4[4.86],B11)</f>
        <v>17</v>
      </c>
      <c r="F11" s="4">
        <f t="shared" si="0"/>
        <v>25</v>
      </c>
      <c r="G11" s="3">
        <f t="shared" si="1"/>
        <v>68</v>
      </c>
    </row>
    <row r="12" spans="1:7" x14ac:dyDescent="0.25">
      <c r="B12" s="7" t="s">
        <v>200</v>
      </c>
      <c r="C12" s="4">
        <f>COUNTIFS(Resp4[Vínculo],"tecnico",Resp4[4.86],B12)</f>
        <v>1</v>
      </c>
      <c r="D12" s="4">
        <f>COUNTIFS(Resp4[Vínculo],"docente",Resp4[4.86],B12)</f>
        <v>5</v>
      </c>
      <c r="E12" s="4">
        <f>COUNTIF(Resp4[4.86],B12)</f>
        <v>6</v>
      </c>
      <c r="F12" s="22">
        <f t="shared" si="0"/>
        <v>8.82</v>
      </c>
      <c r="G12" s="3">
        <f t="shared" si="1"/>
        <v>24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94.736999999999995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" style="2" customWidth="1"/>
    <col min="3" max="3" width="20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143</v>
      </c>
    </row>
    <row r="2" spans="1:7" x14ac:dyDescent="0.25">
      <c r="A2" s="2" t="str">
        <f>TEXT(A1,"0.00")</f>
        <v>4.87</v>
      </c>
      <c r="B2" s="2" t="str">
        <f>VLOOKUP(A$2,Eixo4[],3,FALSE)</f>
        <v>Considerando os programas de pós-graduação, avalie: [A oferta de disciplinas transversais]</v>
      </c>
    </row>
    <row r="3" spans="1:7" x14ac:dyDescent="0.25">
      <c r="A3" s="2" t="s">
        <v>494</v>
      </c>
      <c r="B3" s="2" t="str">
        <f>VLOOKUP(A$2,Eixo4[],4,FALSE)</f>
        <v>Eixo 4: Questão 87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COUNTIFS(Resp4[Vínculo],"tecnico",Resp4[4.87],B7)</f>
        <v>0</v>
      </c>
      <c r="D7" s="4">
        <f>COUNTIFS(Resp4[Vínculo],"docente",Resp4[4.87],B7)</f>
        <v>2</v>
      </c>
      <c r="E7" s="4">
        <f>COUNTIF(Resp4[4.87],B7)</f>
        <v>2</v>
      </c>
      <c r="F7" s="4">
        <f>ROUND($E7/E$13*100,2)</f>
        <v>2.94</v>
      </c>
      <c r="G7" s="3">
        <f t="shared" ref="G7:G12" si="0">ROUND($E7/SUM($E$7:$E$12)*100,3)</f>
        <v>8</v>
      </c>
    </row>
    <row r="8" spans="1:7" x14ac:dyDescent="0.25">
      <c r="B8" s="2" t="s">
        <v>206</v>
      </c>
      <c r="C8" s="4">
        <f>COUNTIFS(Resp4[Vínculo],"tecnico",Resp4[4.87],B8)</f>
        <v>0</v>
      </c>
      <c r="D8" s="4">
        <f>COUNTIFS(Resp4[Vínculo],"docente",Resp4[4.87],B8)</f>
        <v>0</v>
      </c>
      <c r="E8" s="4">
        <f>COUNTIF(Resp4[4.87],B8)</f>
        <v>0</v>
      </c>
      <c r="F8" s="4">
        <f t="shared" ref="F8:F13" si="1">ROUND($E8/E$13*100,2)</f>
        <v>0</v>
      </c>
      <c r="G8" s="3">
        <f t="shared" si="0"/>
        <v>0</v>
      </c>
    </row>
    <row r="9" spans="1:7" x14ac:dyDescent="0.25">
      <c r="B9" s="2" t="s">
        <v>202</v>
      </c>
      <c r="C9" s="4">
        <f>COUNTIFS(Resp4[Vínculo],"tecnico",Resp4[4.87],B9)</f>
        <v>0</v>
      </c>
      <c r="D9" s="4">
        <f>COUNTIFS(Resp4[Vínculo],"docente",Resp4[4.87],B9)</f>
        <v>0</v>
      </c>
      <c r="E9" s="4">
        <f>COUNTIF(Resp4[4.87],B9)</f>
        <v>0</v>
      </c>
      <c r="F9" s="4">
        <f>ROUND($E9/E$13*100,2)</f>
        <v>0</v>
      </c>
      <c r="G9" s="3">
        <f t="shared" si="0"/>
        <v>0</v>
      </c>
    </row>
    <row r="10" spans="1:7" x14ac:dyDescent="0.25">
      <c r="B10" s="2" t="s">
        <v>30</v>
      </c>
      <c r="C10" s="4">
        <f>COUNTIFS(Resp4[Vínculo],"tecnico",Resp4[4.87],B10)</f>
        <v>2</v>
      </c>
      <c r="D10" s="4">
        <f>COUNTIFS(Resp4[Vínculo],"docente",Resp4[4.87],B10)</f>
        <v>1</v>
      </c>
      <c r="E10" s="4">
        <f>COUNTIF(Resp4[4.87],B10)</f>
        <v>3</v>
      </c>
      <c r="F10" s="4">
        <f>ROUND($E10/E$13*100,2)</f>
        <v>4.41</v>
      </c>
      <c r="G10" s="3">
        <f t="shared" si="0"/>
        <v>12</v>
      </c>
    </row>
    <row r="11" spans="1:7" x14ac:dyDescent="0.25">
      <c r="B11" s="2" t="s">
        <v>199</v>
      </c>
      <c r="C11" s="4">
        <f>COUNTIFS(Resp4[Vínculo],"tecnico",Resp4[4.87],B11)</f>
        <v>2</v>
      </c>
      <c r="D11" s="4">
        <f>COUNTIFS(Resp4[Vínculo],"docente",Resp4[4.87],B11)</f>
        <v>12</v>
      </c>
      <c r="E11" s="4">
        <f>COUNTIF(Resp4[4.87],B11)</f>
        <v>14</v>
      </c>
      <c r="F11" s="4">
        <f>ROUND($E11/E$13*100,2)</f>
        <v>20.59</v>
      </c>
      <c r="G11" s="3">
        <f t="shared" si="0"/>
        <v>56</v>
      </c>
    </row>
    <row r="12" spans="1:7" x14ac:dyDescent="0.25">
      <c r="B12" s="7" t="s">
        <v>200</v>
      </c>
      <c r="C12" s="4">
        <f>COUNTIFS(Resp4[Vínculo],"tecnico",Resp4[4.87],B12)</f>
        <v>2</v>
      </c>
      <c r="D12" s="4">
        <f>COUNTIFS(Resp4[Vínculo],"docente",Resp4[4.87],B12)</f>
        <v>4</v>
      </c>
      <c r="E12" s="4">
        <f>COUNTIF(Resp4[4.87],B12)</f>
        <v>6</v>
      </c>
      <c r="F12" s="22">
        <f>ROUND($E12/E$13*100,2)</f>
        <v>8.82</v>
      </c>
      <c r="G12" s="3">
        <f t="shared" si="0"/>
        <v>24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1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1.5703125" style="2" customWidth="1"/>
    <col min="3" max="3" width="23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144</v>
      </c>
    </row>
    <row r="2" spans="1:7" x14ac:dyDescent="0.25">
      <c r="A2" s="2" t="str">
        <f>TEXT(A1,"0.00")</f>
        <v>4.88</v>
      </c>
      <c r="B2" s="2" t="str">
        <f>VLOOKUP(A$2,Eixo4[],3,FALSE)</f>
        <v>Considerando os programas de pós-graduação, avalie: [A orientação e as normas para a revisão dos currículos dos programas]</v>
      </c>
    </row>
    <row r="3" spans="1:7" x14ac:dyDescent="0.25">
      <c r="A3" s="2" t="s">
        <v>494</v>
      </c>
      <c r="B3" s="2" t="str">
        <f>VLOOKUP(A$2,Eixo4[],4,FALSE)</f>
        <v>Eixo 4: Questão 88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15">
        <f>ROUND($E6/E$13*100,2)</f>
        <v>63.24</v>
      </c>
    </row>
    <row r="7" spans="1:7" x14ac:dyDescent="0.25">
      <c r="B7" s="2" t="s">
        <v>201</v>
      </c>
      <c r="C7" s="4">
        <f>COUNTIFS(Resp4[Vínculo],"tecnico",Resp4[4.88],B7)</f>
        <v>0</v>
      </c>
      <c r="D7" s="4">
        <f>COUNTIFS(Resp4[Vínculo],"docente",Resp4[4.88],B7)</f>
        <v>2</v>
      </c>
      <c r="E7" s="4">
        <f>COUNTIF(Resp4[4.88],B7)</f>
        <v>2</v>
      </c>
      <c r="F7" s="15">
        <f t="shared" ref="F7:F13" si="0">ROUND($E7/E$13*100,2)</f>
        <v>2.94</v>
      </c>
      <c r="G7" s="3">
        <f t="shared" ref="G7:G12" si="1">ROUND($E7/SUM($E$7:$E$12)*100,3)</f>
        <v>8</v>
      </c>
    </row>
    <row r="8" spans="1:7" x14ac:dyDescent="0.25">
      <c r="B8" s="2" t="s">
        <v>206</v>
      </c>
      <c r="C8" s="4">
        <f>COUNTIFS(Resp4[Vínculo],"tecnico",Resp4[4.88],B8)</f>
        <v>0</v>
      </c>
      <c r="D8" s="4">
        <f>COUNTIFS(Resp4[Vínculo],"docente",Resp4[4.88],B8)</f>
        <v>0</v>
      </c>
      <c r="E8" s="4">
        <f>COUNTIF(Resp4[4.88],B8)</f>
        <v>0</v>
      </c>
      <c r="F8" s="15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COUNTIFS(Resp4[Vínculo],"tecnico",Resp4[4.88],B9)</f>
        <v>0</v>
      </c>
      <c r="D9" s="4">
        <f>COUNTIFS(Resp4[Vínculo],"docente",Resp4[4.88],B9)</f>
        <v>0</v>
      </c>
      <c r="E9" s="4">
        <f>COUNTIF(Resp4[4.88],B9)</f>
        <v>0</v>
      </c>
      <c r="F9" s="15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COUNTIFS(Resp4[Vínculo],"tecnico",Resp4[4.88],B10)</f>
        <v>2</v>
      </c>
      <c r="D10" s="4">
        <f>COUNTIFS(Resp4[Vínculo],"docente",Resp4[4.88],B10)</f>
        <v>3</v>
      </c>
      <c r="E10" s="4">
        <f>COUNTIF(Resp4[4.88],B10)</f>
        <v>5</v>
      </c>
      <c r="F10" s="15">
        <f t="shared" si="0"/>
        <v>7.35</v>
      </c>
      <c r="G10" s="3">
        <f t="shared" si="1"/>
        <v>20</v>
      </c>
    </row>
    <row r="11" spans="1:7" x14ac:dyDescent="0.25">
      <c r="B11" s="2" t="s">
        <v>199</v>
      </c>
      <c r="C11" s="4">
        <f>COUNTIFS(Resp4[Vínculo],"tecnico",Resp4[4.88],B11)</f>
        <v>3</v>
      </c>
      <c r="D11" s="4">
        <f>COUNTIFS(Resp4[Vínculo],"docente",Resp4[4.88],B11)</f>
        <v>13</v>
      </c>
      <c r="E11" s="4">
        <f>COUNTIF(Resp4[4.88],B11)</f>
        <v>16</v>
      </c>
      <c r="F11" s="15">
        <f t="shared" si="0"/>
        <v>23.53</v>
      </c>
      <c r="G11" s="3">
        <f t="shared" si="1"/>
        <v>64</v>
      </c>
    </row>
    <row r="12" spans="1:7" x14ac:dyDescent="0.25">
      <c r="B12" s="7" t="s">
        <v>200</v>
      </c>
      <c r="C12" s="4">
        <f>COUNTIFS(Resp4[Vínculo],"tecnico",Resp4[4.88],B12)</f>
        <v>1</v>
      </c>
      <c r="D12" s="4">
        <f>COUNTIFS(Resp4[Vínculo],"docente",Resp4[4.88],B12)</f>
        <v>1</v>
      </c>
      <c r="E12" s="4">
        <f>COUNTIF(Resp4[4.88],B12)</f>
        <v>2</v>
      </c>
      <c r="F12" s="19">
        <f t="shared" si="0"/>
        <v>2.94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22.140625" style="2" customWidth="1"/>
    <col min="3" max="3" width="17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145</v>
      </c>
    </row>
    <row r="2" spans="1:7" x14ac:dyDescent="0.25">
      <c r="A2" s="2" t="str">
        <f>TEXT(A1,"0.00")</f>
        <v>4.89</v>
      </c>
      <c r="B2" s="2" t="str">
        <f>VLOOKUP(A$2,Eixo4[],3,FALSE)</f>
        <v>Considerando os programas de pós-graduação, avalie: [As políticas de acolhimento de pesquisadores externos (exemplo: Editais PRINT/UFPR)]</v>
      </c>
    </row>
    <row r="3" spans="1:7" x14ac:dyDescent="0.25">
      <c r="A3" s="2" t="s">
        <v>494</v>
      </c>
      <c r="B3" s="2" t="str">
        <f>VLOOKUP(A$2,Eixo4[],4,FALSE)</f>
        <v>Eixo 4: Questão 89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COUNTIFS(Resp4[Vínculo],"tecnico",Resp4[4.89],B7)</f>
        <v>2</v>
      </c>
      <c r="D7" s="4">
        <f>COUNTIFS(Resp4[Vínculo],"docente",Resp4[4.89],B7)</f>
        <v>3</v>
      </c>
      <c r="E7" s="4">
        <f>COUNTIF(Resp4[4.89],B7)</f>
        <v>5</v>
      </c>
      <c r="F7" s="4">
        <f t="shared" ref="F7:F13" si="0">ROUND($E7/E$13*100,2)</f>
        <v>7.35</v>
      </c>
      <c r="G7" s="3">
        <f t="shared" ref="G7:G12" si="1">ROUND($E7/SUM($E$7:$E$12)*100,3)</f>
        <v>20</v>
      </c>
    </row>
    <row r="8" spans="1:7" x14ac:dyDescent="0.25">
      <c r="B8" s="2" t="s">
        <v>206</v>
      </c>
      <c r="C8" s="4">
        <f>COUNTIFS(Resp4[Vínculo],"tecnico",Resp4[4.89],B8)</f>
        <v>0</v>
      </c>
      <c r="D8" s="4">
        <f>COUNTIFS(Resp4[Vínculo],"docente",Resp4[4.89],B8)</f>
        <v>1</v>
      </c>
      <c r="E8" s="4">
        <f>COUNTIF(Resp4[4.89],B8)</f>
        <v>1</v>
      </c>
      <c r="F8" s="4">
        <f t="shared" si="0"/>
        <v>1.47</v>
      </c>
      <c r="G8" s="3">
        <f t="shared" si="1"/>
        <v>4</v>
      </c>
    </row>
    <row r="9" spans="1:7" x14ac:dyDescent="0.25">
      <c r="B9" s="2" t="s">
        <v>202</v>
      </c>
      <c r="C9" s="4">
        <f>COUNTIFS(Resp4[Vínculo],"tecnico",Resp4[4.89],B9)</f>
        <v>0</v>
      </c>
      <c r="D9" s="4">
        <f>COUNTIFS(Resp4[Vínculo],"docente",Resp4[4.89],B9)</f>
        <v>2</v>
      </c>
      <c r="E9" s="4">
        <f>COUNTIF(Resp4[4.89],B9)</f>
        <v>2</v>
      </c>
      <c r="F9" s="4">
        <f t="shared" si="0"/>
        <v>2.94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COUNTIFS(Resp4[Vínculo],"tecnico",Resp4[4.89],B10)</f>
        <v>2</v>
      </c>
      <c r="D10" s="4">
        <f>COUNTIFS(Resp4[Vínculo],"docente",Resp4[4.89],B10)</f>
        <v>3</v>
      </c>
      <c r="E10" s="4">
        <f>COUNTIF(Resp4[4.89],B10)</f>
        <v>5</v>
      </c>
      <c r="F10" s="4">
        <f t="shared" si="0"/>
        <v>7.35</v>
      </c>
      <c r="G10" s="3">
        <f t="shared" si="1"/>
        <v>20</v>
      </c>
    </row>
    <row r="11" spans="1:7" x14ac:dyDescent="0.25">
      <c r="B11" s="2" t="s">
        <v>199</v>
      </c>
      <c r="C11" s="4">
        <f>COUNTIFS(Resp4[Vínculo],"tecnico",Resp4[4.89],B11)</f>
        <v>1</v>
      </c>
      <c r="D11" s="4">
        <f>COUNTIFS(Resp4[Vínculo],"docente",Resp4[4.89],B11)</f>
        <v>8</v>
      </c>
      <c r="E11" s="4">
        <f>COUNTIF(Resp4[4.89],B11)</f>
        <v>9</v>
      </c>
      <c r="F11" s="4">
        <f t="shared" si="0"/>
        <v>13.24</v>
      </c>
      <c r="G11" s="3">
        <f t="shared" si="1"/>
        <v>36</v>
      </c>
    </row>
    <row r="12" spans="1:7" x14ac:dyDescent="0.25">
      <c r="B12" s="7" t="s">
        <v>200</v>
      </c>
      <c r="C12" s="4">
        <f>COUNTIFS(Resp4[Vínculo],"tecnico",Resp4[4.89],B12)</f>
        <v>1</v>
      </c>
      <c r="D12" s="4">
        <f>COUNTIFS(Resp4[Vínculo],"docente",Resp4[4.89],B12)</f>
        <v>2</v>
      </c>
      <c r="E12" s="4">
        <f>COUNTIF(Resp4[4.89],B12)</f>
        <v>3</v>
      </c>
      <c r="F12" s="22">
        <f t="shared" si="0"/>
        <v>4.41</v>
      </c>
      <c r="G12" s="3">
        <f t="shared" si="1"/>
        <v>12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2</v>
      </c>
      <c r="E21" s="19">
        <f t="shared" si="2"/>
        <v>33.332999999999998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3</v>
      </c>
      <c r="E25" s="15">
        <f>ROUND(D25/SUM(D$25:D$28)*100,3)</f>
        <v>15.789</v>
      </c>
    </row>
    <row r="26" spans="2:7" x14ac:dyDescent="0.25">
      <c r="B26" s="16" t="s">
        <v>201</v>
      </c>
      <c r="C26" s="16" t="s">
        <v>23</v>
      </c>
      <c r="D26" s="14">
        <f>D7</f>
        <v>3</v>
      </c>
      <c r="E26" s="15">
        <f>ROUND(D26/SUM(D$25:D$28)*100,3)</f>
        <v>15.789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10</v>
      </c>
      <c r="E28" s="19">
        <f>ROUND(D28/SUM(D$25:D$28)*100,3)</f>
        <v>52.631999999999998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6" sqref="F6:F12"/>
    </sheetView>
  </sheetViews>
  <sheetFormatPr defaultRowHeight="15" x14ac:dyDescent="0.25"/>
  <cols>
    <col min="1" max="1" width="5.7109375" style="2" customWidth="1"/>
    <col min="2" max="2" width="18.28515625" style="2" customWidth="1"/>
    <col min="3" max="3" width="22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146</v>
      </c>
    </row>
    <row r="2" spans="1:7" x14ac:dyDescent="0.25">
      <c r="A2" s="2" t="str">
        <f>TEXT(A1,"0.00")</f>
        <v>4.90</v>
      </c>
      <c r="B2" s="2" t="str">
        <f>VLOOKUP(A$2,Eixo4[],3,FALSE)</f>
        <v>Considerando os programas de pós-graduação, avalie: [As ações institucionais para criação, expansão e manutenção da pós-graduação stricto sensu]</v>
      </c>
    </row>
    <row r="3" spans="1:7" x14ac:dyDescent="0.25">
      <c r="A3" s="2" t="s">
        <v>494</v>
      </c>
      <c r="B3" s="2" t="str">
        <f>VLOOKUP(A$2,Eixo4[],4,FALSE)</f>
        <v>Eixo 4: Questão 90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COUNTIFS(Resp4[Vínculo],"tecnico",Resp4[4.90],B7)</f>
        <v>0</v>
      </c>
      <c r="D7" s="4">
        <f>COUNTIFS(Resp4[Vínculo],"docente",Resp4[4.90],B7)</f>
        <v>2</v>
      </c>
      <c r="E7" s="4">
        <f>COUNTIF(Resp4[4.90],B7)</f>
        <v>2</v>
      </c>
      <c r="F7" s="4">
        <f t="shared" ref="F7:F13" si="0">ROUND($E7/E$13*100,2)</f>
        <v>2.94</v>
      </c>
      <c r="G7" s="3">
        <f t="shared" ref="G7:G12" si="1">ROUND($E7/SUM($E$7:$E$12)*100,3)</f>
        <v>8</v>
      </c>
    </row>
    <row r="8" spans="1:7" x14ac:dyDescent="0.25">
      <c r="B8" s="2" t="s">
        <v>206</v>
      </c>
      <c r="C8" s="4">
        <f>COUNTIFS(Resp4[Vínculo],"tecnico",Resp4[4.90],B8)</f>
        <v>0</v>
      </c>
      <c r="D8" s="4">
        <f>COUNTIFS(Resp4[Vínculo],"docente",Resp4[4.90],B8)</f>
        <v>0</v>
      </c>
      <c r="E8" s="4">
        <f>COUNTIF(Resp4[4.90],B8)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COUNTIFS(Resp4[Vínculo],"tecnico",Resp4[4.90],B9)</f>
        <v>1</v>
      </c>
      <c r="D9" s="4">
        <f>COUNTIFS(Resp4[Vínculo],"docente",Resp4[4.90],B9)</f>
        <v>0</v>
      </c>
      <c r="E9" s="4">
        <f>COUNTIF(Resp4[4.90],B9)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COUNTIFS(Resp4[Vínculo],"tecnico",Resp4[4.90],B10)</f>
        <v>0</v>
      </c>
      <c r="D10" s="4">
        <f>COUNTIFS(Resp4[Vínculo],"docente",Resp4[4.90],B10)</f>
        <v>5</v>
      </c>
      <c r="E10" s="4">
        <f>COUNTIF(Resp4[4.90],B10)</f>
        <v>5</v>
      </c>
      <c r="F10" s="4">
        <f t="shared" si="0"/>
        <v>7.35</v>
      </c>
      <c r="G10" s="3">
        <f t="shared" si="1"/>
        <v>20</v>
      </c>
    </row>
    <row r="11" spans="1:7" x14ac:dyDescent="0.25">
      <c r="B11" s="2" t="s">
        <v>199</v>
      </c>
      <c r="C11" s="4">
        <f>COUNTIFS(Resp4[Vínculo],"tecnico",Resp4[4.90],B11)</f>
        <v>4</v>
      </c>
      <c r="D11" s="4">
        <f>COUNTIFS(Resp4[Vínculo],"docente",Resp4[4.90],B11)</f>
        <v>10</v>
      </c>
      <c r="E11" s="4">
        <f>COUNTIF(Resp4[4.90],B11)</f>
        <v>14</v>
      </c>
      <c r="F11" s="4">
        <f t="shared" si="0"/>
        <v>20.59</v>
      </c>
      <c r="G11" s="3">
        <f t="shared" si="1"/>
        <v>56</v>
      </c>
    </row>
    <row r="12" spans="1:7" x14ac:dyDescent="0.25">
      <c r="B12" s="7" t="s">
        <v>200</v>
      </c>
      <c r="C12" s="4">
        <f>COUNTIFS(Resp4[Vínculo],"tecnico",Resp4[4.90],B12)</f>
        <v>1</v>
      </c>
      <c r="D12" s="4">
        <f>COUNTIFS(Resp4[Vínculo],"docente",Resp4[4.90],B12)</f>
        <v>2</v>
      </c>
      <c r="E12" s="4">
        <f>COUNTIF(Resp4[4.90],B12)</f>
        <v>3</v>
      </c>
      <c r="F12" s="22">
        <f t="shared" si="0"/>
        <v>4.41</v>
      </c>
      <c r="G12" s="3">
        <f t="shared" si="1"/>
        <v>12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2</v>
      </c>
      <c r="E26" s="15">
        <f>ROUND(D26/SUM(D$25:D$28)*100,3)</f>
        <v>10.526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26.315999999999999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63.158000000000001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140625" style="2" customWidth="1"/>
    <col min="3" max="3" width="22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147</v>
      </c>
    </row>
    <row r="2" spans="1:7" x14ac:dyDescent="0.25">
      <c r="A2" s="2" t="str">
        <f>TEXT(A1,"0.00")</f>
        <v>4.91</v>
      </c>
      <c r="B2" s="2" t="str">
        <f>VLOOKUP(A$2,Eixo4[],3,FALSE)</f>
        <v>Considerando os programas de pós-graduação, avalie: [As ações de melhoria da qualidade da pós-graduação stricto sensu]</v>
      </c>
    </row>
    <row r="3" spans="1:7" x14ac:dyDescent="0.25">
      <c r="A3" s="2" t="s">
        <v>494</v>
      </c>
      <c r="B3" s="2" t="str">
        <f>VLOOKUP(A$2,Eixo4[],4,FALSE)</f>
        <v>Eixo 4: Questão 91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COUNTIFS(Resp4[Vínculo],"tecnico",Resp4[4.91],B7)</f>
        <v>0</v>
      </c>
      <c r="D7" s="4">
        <f>COUNTIFS(Resp4[Vínculo],"docente",Resp4[4.91],B7)</f>
        <v>1</v>
      </c>
      <c r="E7" s="4">
        <f>COUNTIF(Resp4[4.91],B7)</f>
        <v>1</v>
      </c>
      <c r="F7" s="4">
        <f t="shared" ref="F7:F13" si="0">ROUND($E7/E$13*100,2)</f>
        <v>1.47</v>
      </c>
      <c r="G7" s="3">
        <f t="shared" ref="G7:G12" si="1">ROUND($E7/SUM($E$7:$E$12)*100,3)</f>
        <v>4</v>
      </c>
    </row>
    <row r="8" spans="1:7" x14ac:dyDescent="0.25">
      <c r="B8" s="2" t="s">
        <v>206</v>
      </c>
      <c r="C8" s="4">
        <f>COUNTIFS(Resp4[Vínculo],"tecnico",Resp4[4.91],B8)</f>
        <v>0</v>
      </c>
      <c r="D8" s="4">
        <f>COUNTIFS(Resp4[Vínculo],"docente",Resp4[4.91],B8)</f>
        <v>0</v>
      </c>
      <c r="E8" s="4">
        <f>COUNTIF(Resp4[4.91],B8)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COUNTIFS(Resp4[Vínculo],"tecnico",Resp4[4.91],B9)</f>
        <v>1</v>
      </c>
      <c r="D9" s="4">
        <f>COUNTIFS(Resp4[Vínculo],"docente",Resp4[4.91],B9)</f>
        <v>2</v>
      </c>
      <c r="E9" s="4">
        <f>COUNTIF(Resp4[4.91],B9)</f>
        <v>3</v>
      </c>
      <c r="F9" s="4">
        <f t="shared" si="0"/>
        <v>4.41</v>
      </c>
      <c r="G9" s="3">
        <f t="shared" si="1"/>
        <v>12</v>
      </c>
    </row>
    <row r="10" spans="1:7" x14ac:dyDescent="0.25">
      <c r="B10" s="2" t="s">
        <v>30</v>
      </c>
      <c r="C10" s="4">
        <f>COUNTIFS(Resp4[Vínculo],"tecnico",Resp4[4.91],B10)</f>
        <v>0</v>
      </c>
      <c r="D10" s="4">
        <f>COUNTIFS(Resp4[Vínculo],"docente",Resp4[4.91],B10)</f>
        <v>4</v>
      </c>
      <c r="E10" s="4">
        <f>COUNTIF(Resp4[4.91],B10)</f>
        <v>4</v>
      </c>
      <c r="F10" s="4">
        <f t="shared" si="0"/>
        <v>5.88</v>
      </c>
      <c r="G10" s="3">
        <f t="shared" si="1"/>
        <v>16</v>
      </c>
    </row>
    <row r="11" spans="1:7" x14ac:dyDescent="0.25">
      <c r="B11" s="2" t="s">
        <v>199</v>
      </c>
      <c r="C11" s="4">
        <f>COUNTIFS(Resp4[Vínculo],"tecnico",Resp4[4.91],B11)</f>
        <v>4</v>
      </c>
      <c r="D11" s="4">
        <f>COUNTIFS(Resp4[Vínculo],"docente",Resp4[4.91],B11)</f>
        <v>10</v>
      </c>
      <c r="E11" s="4">
        <f>COUNTIF(Resp4[4.91],B11)</f>
        <v>14</v>
      </c>
      <c r="F11" s="4">
        <f t="shared" si="0"/>
        <v>20.59</v>
      </c>
      <c r="G11" s="3">
        <f t="shared" si="1"/>
        <v>56</v>
      </c>
    </row>
    <row r="12" spans="1:7" x14ac:dyDescent="0.25">
      <c r="B12" s="7" t="s">
        <v>200</v>
      </c>
      <c r="C12" s="4">
        <f>COUNTIFS(Resp4[Vínculo],"tecnico",Resp4[4.91],B12)</f>
        <v>1</v>
      </c>
      <c r="D12" s="4">
        <f>COUNTIFS(Resp4[Vínculo],"docente",Resp4[4.91],B12)</f>
        <v>2</v>
      </c>
      <c r="E12" s="4">
        <f>COUNTIF(Resp4[4.91],B12)</f>
        <v>3</v>
      </c>
      <c r="F12" s="22">
        <f t="shared" si="0"/>
        <v>4.41</v>
      </c>
      <c r="G12" s="3">
        <f t="shared" si="1"/>
        <v>12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10.526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12</v>
      </c>
      <c r="E28" s="19">
        <f>ROUND(D28/SUM(D$25:D$28)*100,3)</f>
        <v>63.158000000000001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3.85546875" style="2" customWidth="1"/>
    <col min="3" max="3" width="21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148</v>
      </c>
    </row>
    <row r="2" spans="1:7" x14ac:dyDescent="0.25">
      <c r="A2" s="2" t="str">
        <f>TEXT(A1,"0.00")</f>
        <v>4.92</v>
      </c>
      <c r="B2" s="2" t="str">
        <f>VLOOKUP(A$2,Eixo4[],3,FALSE)</f>
        <v>Com relação ao programa de pós-graduação onde você atua majoritariamente, avalie os seguintes itens: [Planejamento]</v>
      </c>
    </row>
    <row r="3" spans="1:7" x14ac:dyDescent="0.25">
      <c r="A3" s="2" t="s">
        <v>494</v>
      </c>
      <c r="B3" s="2" t="str">
        <f>VLOOKUP(A$2,Eixo4[],4,FALSE)</f>
        <v>Eixo 4: Questão 92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16</v>
      </c>
      <c r="E6" s="4">
        <f>E13-SUM(E7:E12)</f>
        <v>44</v>
      </c>
      <c r="F6" s="4">
        <f>ROUND($E6/E$13*100,2)</f>
        <v>64.709999999999994</v>
      </c>
    </row>
    <row r="7" spans="1:7" x14ac:dyDescent="0.25">
      <c r="B7" s="2" t="s">
        <v>201</v>
      </c>
      <c r="C7" s="4">
        <f>COUNTIFS(Resp4[Vínculo],"tecnico",Resp4[4.92],B7)</f>
        <v>0</v>
      </c>
      <c r="D7" s="4">
        <f>COUNTIFS(Resp4[Vínculo],"docente",Resp4[4.92],B7)</f>
        <v>0</v>
      </c>
      <c r="E7" s="4">
        <f>COUNTIF(Resp4[4.92],B7)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COUNTIFS(Resp4[Vínculo],"tecnico",Resp4[4.92],B8)</f>
        <v>0</v>
      </c>
      <c r="D8" s="4">
        <f>COUNTIFS(Resp4[Vínculo],"docente",Resp4[4.92],B8)</f>
        <v>1</v>
      </c>
      <c r="E8" s="4">
        <f>COUNTIF(Resp4[4.92],B8)</f>
        <v>1</v>
      </c>
      <c r="F8" s="4">
        <f t="shared" si="0"/>
        <v>1.47</v>
      </c>
      <c r="G8" s="3">
        <f t="shared" si="1"/>
        <v>4.1669999999999998</v>
      </c>
    </row>
    <row r="9" spans="1:7" x14ac:dyDescent="0.25">
      <c r="B9" s="2" t="s">
        <v>202</v>
      </c>
      <c r="C9" s="4">
        <f>COUNTIFS(Resp4[Vínculo],"tecnico",Resp4[4.92],B9)</f>
        <v>0</v>
      </c>
      <c r="D9" s="4">
        <f>COUNTIFS(Resp4[Vínculo],"docente",Resp4[4.92],B9)</f>
        <v>0</v>
      </c>
      <c r="E9" s="4">
        <f>COUNTIF(Resp4[4.92],B9)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COUNTIFS(Resp4[Vínculo],"tecnico",Resp4[4.92],B10)</f>
        <v>2</v>
      </c>
      <c r="D10" s="4">
        <f>COUNTIFS(Resp4[Vínculo],"docente",Resp4[4.92],B10)</f>
        <v>3</v>
      </c>
      <c r="E10" s="4">
        <f>COUNTIF(Resp4[4.92],B10)</f>
        <v>5</v>
      </c>
      <c r="F10" s="4">
        <f t="shared" si="0"/>
        <v>7.35</v>
      </c>
      <c r="G10" s="3">
        <f t="shared" si="1"/>
        <v>20.832999999999998</v>
      </c>
    </row>
    <row r="11" spans="1:7" x14ac:dyDescent="0.25">
      <c r="B11" s="2" t="s">
        <v>199</v>
      </c>
      <c r="C11" s="4">
        <f>COUNTIFS(Resp4[Vínculo],"tecnico",Resp4[4.92],B11)</f>
        <v>3</v>
      </c>
      <c r="D11" s="4">
        <f>COUNTIFS(Resp4[Vínculo],"docente",Resp4[4.92],B11)</f>
        <v>9</v>
      </c>
      <c r="E11" s="4">
        <f>COUNTIF(Resp4[4.92],B11)</f>
        <v>12</v>
      </c>
      <c r="F11" s="4">
        <f t="shared" si="0"/>
        <v>17.649999999999999</v>
      </c>
      <c r="G11" s="3">
        <f t="shared" si="1"/>
        <v>50</v>
      </c>
    </row>
    <row r="12" spans="1:7" x14ac:dyDescent="0.25">
      <c r="B12" s="7" t="s">
        <v>200</v>
      </c>
      <c r="C12" s="4">
        <f>COUNTIFS(Resp4[Vínculo],"tecnico",Resp4[4.92],B12)</f>
        <v>1</v>
      </c>
      <c r="D12" s="4">
        <f>COUNTIFS(Resp4[Vínculo],"docente",Resp4[4.92],B12)</f>
        <v>5</v>
      </c>
      <c r="E12" s="4">
        <f>COUNTIF(Resp4[4.92],B12)</f>
        <v>6</v>
      </c>
      <c r="F12" s="22">
        <f t="shared" si="0"/>
        <v>8.82</v>
      </c>
      <c r="G12" s="3">
        <f t="shared" si="1"/>
        <v>25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5.556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16.667000000000002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77.778000000000006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42578125" style="2" customWidth="1"/>
    <col min="2" max="2" width="23.28515625" style="2" customWidth="1"/>
    <col min="3" max="3" width="16.85546875" style="2" customWidth="1"/>
    <col min="4" max="4" width="8.28515625" style="2" customWidth="1"/>
    <col min="5" max="5" width="8.85546875" style="2" customWidth="1"/>
    <col min="6" max="6" width="7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59</v>
      </c>
    </row>
    <row r="2" spans="1:7" x14ac:dyDescent="0.25">
      <c r="A2" s="2" t="str">
        <f>TEXT(A1,"0.00")</f>
        <v>4.03</v>
      </c>
      <c r="B2" s="2" t="str">
        <f>VLOOKUP(A$2,Eixo4[],3,FALSE)</f>
        <v>Com relação ao ensino da graduação, avalie: [As práticas pedagógicas que facilitam o processo participativo de construção do conhecimento]</v>
      </c>
    </row>
    <row r="3" spans="1:7" x14ac:dyDescent="0.25">
      <c r="A3" s="2" t="s">
        <v>494</v>
      </c>
      <c r="B3" s="2" t="str">
        <f>VLOOKUP(A$2,Eixo4[],4,FALSE)</f>
        <v>Eixo 4: Questão 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29</v>
      </c>
      <c r="D6" s="2">
        <f>COUNTIF(Resp4[Vínculo],"docente")-SUM(D$7:D$12)</f>
        <v>9</v>
      </c>
      <c r="E6" s="4">
        <f>E13-SUM(E7:E12)</f>
        <v>38</v>
      </c>
      <c r="F6" s="103">
        <f t="shared" ref="F6:F13" si="0">ROUND($E6/E$13*100,2)</f>
        <v>55.88</v>
      </c>
    </row>
    <row r="7" spans="1:7" x14ac:dyDescent="0.25">
      <c r="B7" s="2" t="s">
        <v>201</v>
      </c>
      <c r="C7" s="4">
        <f>COUNTIFS(Resp4[Vínculo],"tecnico",Resp4[4.03],B7)</f>
        <v>0</v>
      </c>
      <c r="D7" s="4">
        <f>COUNTIFS(Resp4[Vínculo],"docente",Resp4[4.03],B7)</f>
        <v>2</v>
      </c>
      <c r="E7" s="4">
        <f>COUNTIF(Resp4[4.03],B7)</f>
        <v>2</v>
      </c>
      <c r="F7" s="103">
        <f t="shared" si="0"/>
        <v>2.94</v>
      </c>
      <c r="G7" s="3">
        <f t="shared" ref="G7:G12" si="1">ROUND($E7/SUM($E$7:$E$12)*100,3)</f>
        <v>6.6669999999999998</v>
      </c>
    </row>
    <row r="8" spans="1:7" x14ac:dyDescent="0.25">
      <c r="B8" s="2" t="s">
        <v>206</v>
      </c>
      <c r="C8" s="4">
        <f>COUNTIFS(Resp4[Vínculo],"tecnico",Resp4[4.03],B8)</f>
        <v>0</v>
      </c>
      <c r="D8" s="4">
        <f>COUNTIFS(Resp4[Vínculo],"docente",Resp4[4.03],B8)</f>
        <v>1</v>
      </c>
      <c r="E8" s="4">
        <f>COUNTIF(Resp4[4.03],B8)</f>
        <v>1</v>
      </c>
      <c r="F8" s="103">
        <f t="shared" si="0"/>
        <v>1.47</v>
      </c>
      <c r="G8" s="3">
        <f t="shared" si="1"/>
        <v>3.3330000000000002</v>
      </c>
    </row>
    <row r="9" spans="1:7" x14ac:dyDescent="0.25">
      <c r="B9" s="2" t="s">
        <v>202</v>
      </c>
      <c r="C9" s="4">
        <f>COUNTIFS(Resp4[Vínculo],"tecnico",Resp4[4.03],B9)</f>
        <v>1</v>
      </c>
      <c r="D9" s="4">
        <f>COUNTIFS(Resp4[Vínculo],"docente",Resp4[4.03],B9)</f>
        <v>1</v>
      </c>
      <c r="E9" s="4">
        <f>COUNTIF(Resp4[4.03],B9)</f>
        <v>2</v>
      </c>
      <c r="F9" s="103">
        <f t="shared" si="0"/>
        <v>2.94</v>
      </c>
      <c r="G9" s="3">
        <f t="shared" si="1"/>
        <v>6.6669999999999998</v>
      </c>
    </row>
    <row r="10" spans="1:7" x14ac:dyDescent="0.25">
      <c r="B10" s="2" t="s">
        <v>30</v>
      </c>
      <c r="C10" s="4">
        <f>COUNTIFS(Resp4[Vínculo],"tecnico",Resp4[4.03],B10)</f>
        <v>1</v>
      </c>
      <c r="D10" s="4">
        <f>COUNTIFS(Resp4[Vínculo],"docente",Resp4[4.03],B10)</f>
        <v>6</v>
      </c>
      <c r="E10" s="4">
        <f>COUNTIF(Resp4[4.03],B10)</f>
        <v>7</v>
      </c>
      <c r="F10" s="103">
        <f t="shared" si="0"/>
        <v>10.29</v>
      </c>
      <c r="G10" s="3">
        <f t="shared" si="1"/>
        <v>23.332999999999998</v>
      </c>
    </row>
    <row r="11" spans="1:7" x14ac:dyDescent="0.25">
      <c r="B11" s="2" t="s">
        <v>199</v>
      </c>
      <c r="C11" s="4">
        <f>COUNTIFS(Resp4[Vínculo],"tecnico",Resp4[4.03],B11)</f>
        <v>1</v>
      </c>
      <c r="D11" s="4">
        <f>COUNTIFS(Resp4[Vínculo],"docente",Resp4[4.03],B11)</f>
        <v>15</v>
      </c>
      <c r="E11" s="4">
        <f>COUNTIF(Resp4[4.03],B11)</f>
        <v>16</v>
      </c>
      <c r="F11" s="103">
        <f t="shared" si="0"/>
        <v>23.53</v>
      </c>
      <c r="G11" s="3">
        <f t="shared" si="1"/>
        <v>53.332999999999998</v>
      </c>
    </row>
    <row r="12" spans="1:7" x14ac:dyDescent="0.25">
      <c r="B12" s="7" t="s">
        <v>200</v>
      </c>
      <c r="C12" s="4">
        <f>COUNTIFS(Resp4[Vínculo],"tecnico",Resp4[4.03],B12)</f>
        <v>2</v>
      </c>
      <c r="D12" s="4">
        <f>COUNTIFS(Resp4[Vínculo],"docente",Resp4[4.03],B12)</f>
        <v>0</v>
      </c>
      <c r="E12" s="4">
        <f>COUNTIF(Resp4[4.03],B12)</f>
        <v>2</v>
      </c>
      <c r="F12" s="104">
        <f t="shared" si="0"/>
        <v>2.94</v>
      </c>
      <c r="G12" s="3">
        <f t="shared" si="1"/>
        <v>6.6669999999999998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20</v>
      </c>
      <c r="F18" s="12"/>
      <c r="G18" s="13"/>
    </row>
    <row r="19" spans="2:7" x14ac:dyDescent="0.25">
      <c r="B19" s="16" t="s">
        <v>505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20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60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8</v>
      </c>
    </row>
    <row r="26" spans="2:7" x14ac:dyDescent="0.25">
      <c r="B26" s="16" t="s">
        <v>505</v>
      </c>
      <c r="C26" s="16" t="s">
        <v>23</v>
      </c>
      <c r="D26" s="14">
        <f>D7</f>
        <v>2</v>
      </c>
      <c r="E26" s="15">
        <f>ROUND(D26/SUM(D$25:D$28)*100,3)</f>
        <v>8</v>
      </c>
    </row>
    <row r="27" spans="2:7" x14ac:dyDescent="0.25">
      <c r="B27" s="17" t="s">
        <v>30</v>
      </c>
      <c r="C27" s="17" t="s">
        <v>29</v>
      </c>
      <c r="D27" s="14">
        <f>D10</f>
        <v>6</v>
      </c>
      <c r="E27" s="15">
        <f>ROUND(D27/SUM(D$25:D$28)*100,3)</f>
        <v>24</v>
      </c>
    </row>
    <row r="28" spans="2:7" x14ac:dyDescent="0.25">
      <c r="B28" s="32" t="s">
        <v>33</v>
      </c>
      <c r="C28" s="32" t="s">
        <v>32</v>
      </c>
      <c r="D28" s="18">
        <f>SUM(D11:D12)</f>
        <v>15</v>
      </c>
      <c r="E28" s="19">
        <f>ROUND(D28/SUM(D$25:D$28)*100,3)</f>
        <v>60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2.42578125" style="2" customWidth="1"/>
    <col min="3" max="3" width="29.42578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149</v>
      </c>
    </row>
    <row r="2" spans="1:7" x14ac:dyDescent="0.25">
      <c r="A2" s="2" t="str">
        <f>TEXT(A1,"0.00")</f>
        <v>4.93</v>
      </c>
      <c r="B2" s="2" t="str">
        <f>VLOOKUP(A$2,Eixo4[],3,FALSE)</f>
        <v>Com relação ao programa de pós-graduação onde você atua majoritariamente, avalie os seguintes itens: [Processo Seletivo de Bolsas]</v>
      </c>
    </row>
    <row r="3" spans="1:7" x14ac:dyDescent="0.25">
      <c r="A3" s="2" t="s">
        <v>494</v>
      </c>
      <c r="B3" s="2" t="str">
        <f>VLOOKUP(A$2,Eixo4[],4,FALSE)</f>
        <v>Eixo 4: Questão 93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COUNTIFS(Resp4[Vínculo],"tecnico",Resp4[4.93],B7)</f>
        <v>0</v>
      </c>
      <c r="D7" s="4">
        <f>COUNTIFS(Resp4[Vínculo],"docente",Resp4[4.93],B7)</f>
        <v>0</v>
      </c>
      <c r="E7" s="4">
        <f>COUNTIF(Resp4[4.93],B7)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COUNTIFS(Resp4[Vínculo],"tecnico",Resp4[4.93],B8)</f>
        <v>0</v>
      </c>
      <c r="D8" s="4">
        <f>COUNTIFS(Resp4[Vínculo],"docente",Resp4[4.93],B8)</f>
        <v>0</v>
      </c>
      <c r="E8" s="4">
        <f>COUNTIF(Resp4[4.93],B8)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COUNTIFS(Resp4[Vínculo],"tecnico",Resp4[4.93],B9)</f>
        <v>0</v>
      </c>
      <c r="D9" s="4">
        <f>COUNTIFS(Resp4[Vínculo],"docente",Resp4[4.93],B9)</f>
        <v>0</v>
      </c>
      <c r="E9" s="4">
        <f>COUNTIF(Resp4[4.93],B9)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COUNTIFS(Resp4[Vínculo],"tecnico",Resp4[4.93],B10)</f>
        <v>1</v>
      </c>
      <c r="D10" s="4">
        <f>COUNTIFS(Resp4[Vínculo],"docente",Resp4[4.93],B10)</f>
        <v>3</v>
      </c>
      <c r="E10" s="4">
        <f>COUNTIF(Resp4[4.93],B10)</f>
        <v>4</v>
      </c>
      <c r="F10" s="4">
        <f t="shared" si="0"/>
        <v>5.88</v>
      </c>
      <c r="G10" s="3">
        <f t="shared" si="1"/>
        <v>16</v>
      </c>
    </row>
    <row r="11" spans="1:7" x14ac:dyDescent="0.25">
      <c r="B11" s="2" t="s">
        <v>199</v>
      </c>
      <c r="C11" s="4">
        <f>COUNTIFS(Resp4[Vínculo],"tecnico",Resp4[4.93],B11)</f>
        <v>4</v>
      </c>
      <c r="D11" s="4">
        <f>COUNTIFS(Resp4[Vínculo],"docente",Resp4[4.93],B11)</f>
        <v>9</v>
      </c>
      <c r="E11" s="4">
        <f>COUNTIF(Resp4[4.93],B11)</f>
        <v>13</v>
      </c>
      <c r="F11" s="4">
        <f t="shared" si="0"/>
        <v>19.12</v>
      </c>
      <c r="G11" s="3">
        <f t="shared" si="1"/>
        <v>52</v>
      </c>
    </row>
    <row r="12" spans="1:7" x14ac:dyDescent="0.25">
      <c r="B12" s="7" t="s">
        <v>200</v>
      </c>
      <c r="C12" s="4">
        <f>COUNTIFS(Resp4[Vínculo],"tecnico",Resp4[4.93],B12)</f>
        <v>1</v>
      </c>
      <c r="D12" s="4">
        <f>COUNTIFS(Resp4[Vínculo],"docente",Resp4[4.93],B12)</f>
        <v>7</v>
      </c>
      <c r="E12" s="4">
        <f>COUNTIF(Resp4[4.93],B12)</f>
        <v>8</v>
      </c>
      <c r="F12" s="22">
        <f t="shared" si="0"/>
        <v>11.76</v>
      </c>
      <c r="G12" s="3">
        <f t="shared" si="1"/>
        <v>32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2.85546875" style="2" customWidth="1"/>
    <col min="3" max="3" width="27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150</v>
      </c>
    </row>
    <row r="2" spans="1:7" x14ac:dyDescent="0.25">
      <c r="A2" s="2" t="str">
        <f>TEXT(A1,"0.00")</f>
        <v>4.94</v>
      </c>
      <c r="B2" s="2" t="str">
        <f>VLOOKUP(A$2,Eixo4[],3,FALSE)</f>
        <v>Com relação ao programa de pós-graduação onde você atua majoritariamente, avalie os seguintes itens: [Disponibilidade de Bolsas]</v>
      </c>
    </row>
    <row r="3" spans="1:7" x14ac:dyDescent="0.25">
      <c r="A3" s="2" t="s">
        <v>494</v>
      </c>
      <c r="B3" s="2" t="str">
        <f>VLOOKUP(A$2,Eixo4[],4,FALSE)</f>
        <v>Eixo 4: Questão 94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COUNTIFS(Resp4[Vínculo],"tecnico",Resp4[4.94],B7)</f>
        <v>1</v>
      </c>
      <c r="D7" s="4">
        <f>COUNTIFS(Resp4[Vínculo],"docente",Resp4[4.94],B7)</f>
        <v>0</v>
      </c>
      <c r="E7" s="4">
        <f>COUNTIF(Resp4[4.94],B7)</f>
        <v>1</v>
      </c>
      <c r="F7" s="4">
        <f t="shared" ref="F7:F13" si="0">ROUND($E7/E$13*100,2)</f>
        <v>1.47</v>
      </c>
      <c r="G7" s="3">
        <f t="shared" ref="G7:G12" si="1">ROUND($E7/SUM($E$7:$E$12)*100,3)</f>
        <v>4</v>
      </c>
    </row>
    <row r="8" spans="1:7" x14ac:dyDescent="0.25">
      <c r="B8" s="2" t="s">
        <v>206</v>
      </c>
      <c r="C8" s="4">
        <f>COUNTIFS(Resp4[Vínculo],"tecnico",Resp4[4.94],B8)</f>
        <v>0</v>
      </c>
      <c r="D8" s="4">
        <f>COUNTIFS(Resp4[Vínculo],"docente",Resp4[4.94],B8)</f>
        <v>4</v>
      </c>
      <c r="E8" s="4">
        <f>COUNTIF(Resp4[4.94],B8)</f>
        <v>4</v>
      </c>
      <c r="F8" s="4">
        <f t="shared" si="0"/>
        <v>5.88</v>
      </c>
      <c r="G8" s="3">
        <f t="shared" si="1"/>
        <v>16</v>
      </c>
    </row>
    <row r="9" spans="1:7" x14ac:dyDescent="0.25">
      <c r="B9" s="2" t="s">
        <v>202</v>
      </c>
      <c r="C9" s="4">
        <f>COUNTIFS(Resp4[Vínculo],"tecnico",Resp4[4.94],B9)</f>
        <v>0</v>
      </c>
      <c r="D9" s="4">
        <f>COUNTIFS(Resp4[Vínculo],"docente",Resp4[4.94],B9)</f>
        <v>4</v>
      </c>
      <c r="E9" s="4">
        <f>COUNTIF(Resp4[4.94],B9)</f>
        <v>4</v>
      </c>
      <c r="F9" s="4">
        <f t="shared" si="0"/>
        <v>5.88</v>
      </c>
      <c r="G9" s="3">
        <f t="shared" si="1"/>
        <v>16</v>
      </c>
    </row>
    <row r="10" spans="1:7" x14ac:dyDescent="0.25">
      <c r="B10" s="2" t="s">
        <v>30</v>
      </c>
      <c r="C10" s="4">
        <f>COUNTIFS(Resp4[Vínculo],"tecnico",Resp4[4.94],B10)</f>
        <v>2</v>
      </c>
      <c r="D10" s="4">
        <f>COUNTIFS(Resp4[Vínculo],"docente",Resp4[4.94],B10)</f>
        <v>4</v>
      </c>
      <c r="E10" s="4">
        <f>COUNTIF(Resp4[4.94],B10)</f>
        <v>6</v>
      </c>
      <c r="F10" s="4">
        <f t="shared" si="0"/>
        <v>8.82</v>
      </c>
      <c r="G10" s="3">
        <f t="shared" si="1"/>
        <v>24</v>
      </c>
    </row>
    <row r="11" spans="1:7" x14ac:dyDescent="0.25">
      <c r="B11" s="2" t="s">
        <v>199</v>
      </c>
      <c r="C11" s="4">
        <f>COUNTIFS(Resp4[Vínculo],"tecnico",Resp4[4.94],B11)</f>
        <v>2</v>
      </c>
      <c r="D11" s="4">
        <f>COUNTIFS(Resp4[Vínculo],"docente",Resp4[4.94],B11)</f>
        <v>6</v>
      </c>
      <c r="E11" s="4">
        <f>COUNTIF(Resp4[4.94],B11)</f>
        <v>8</v>
      </c>
      <c r="F11" s="4">
        <f t="shared" si="0"/>
        <v>11.76</v>
      </c>
      <c r="G11" s="3">
        <f t="shared" si="1"/>
        <v>32</v>
      </c>
    </row>
    <row r="12" spans="1:7" x14ac:dyDescent="0.25">
      <c r="B12" s="7" t="s">
        <v>200</v>
      </c>
      <c r="C12" s="4">
        <f>COUNTIFS(Resp4[Vínculo],"tecnico",Resp4[4.94],B12)</f>
        <v>1</v>
      </c>
      <c r="D12" s="4">
        <f>COUNTIFS(Resp4[Vínculo],"docente",Resp4[4.94],B12)</f>
        <v>1</v>
      </c>
      <c r="E12" s="4">
        <f>COUNTIF(Resp4[4.94],B12)</f>
        <v>2</v>
      </c>
      <c r="F12" s="22">
        <f t="shared" si="0"/>
        <v>2.94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2</v>
      </c>
      <c r="E20" s="15">
        <f t="shared" si="2"/>
        <v>33.332999999999998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8</v>
      </c>
      <c r="E25" s="15">
        <f>ROUND(D25/SUM(D$25:D$28)*100,3)</f>
        <v>42.104999999999997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7</v>
      </c>
      <c r="E28" s="19">
        <f>ROUND(D28/SUM(D$25:D$28)*100,3)</f>
        <v>36.841999999999999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28515625" style="2" customWidth="1"/>
    <col min="3" max="3" width="24.140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151</v>
      </c>
    </row>
    <row r="2" spans="1:7" x14ac:dyDescent="0.25">
      <c r="A2" s="2" t="str">
        <f>TEXT(A1,"0.00")</f>
        <v>4.95</v>
      </c>
      <c r="B2" s="2" t="str">
        <f>VLOOKUP(A$2,Eixo4[],3,FALSE)</f>
        <v>Com relação ao programa de pós-graduação onde você atua majoritariamente, avalie os seguintes itens: [Disponibilidade de disciplinas compatíveis com os créditos exigidos]</v>
      </c>
    </row>
    <row r="3" spans="1:7" x14ac:dyDescent="0.25">
      <c r="A3" s="2" t="s">
        <v>494</v>
      </c>
      <c r="B3" s="2" t="str">
        <f>VLOOKUP(A$2,Eixo4[],4,FALSE)</f>
        <v>Eixo 4: Questão 95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COUNTIFS(Resp4[Vínculo],"tecnico",Resp4[4.95],B7)</f>
        <v>0</v>
      </c>
      <c r="D7" s="4">
        <f>COUNTIFS(Resp4[Vínculo],"docente",Resp4[4.95],B7)</f>
        <v>0</v>
      </c>
      <c r="E7" s="4">
        <f>COUNTIF(Resp4[4.95],B7)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COUNTIFS(Resp4[Vínculo],"tecnico",Resp4[4.95],B8)</f>
        <v>0</v>
      </c>
      <c r="D8" s="4">
        <f>COUNTIFS(Resp4[Vínculo],"docente",Resp4[4.95],B8)</f>
        <v>0</v>
      </c>
      <c r="E8" s="4">
        <f>COUNTIF(Resp4[4.95],B8)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COUNTIFS(Resp4[Vínculo],"tecnico",Resp4[4.95],B9)</f>
        <v>0</v>
      </c>
      <c r="D9" s="4">
        <f>COUNTIFS(Resp4[Vínculo],"docente",Resp4[4.95],B9)</f>
        <v>1</v>
      </c>
      <c r="E9" s="4">
        <f>COUNTIF(Resp4[4.95],B9)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COUNTIFS(Resp4[Vínculo],"tecnico",Resp4[4.95],B10)</f>
        <v>1</v>
      </c>
      <c r="D10" s="4">
        <f>COUNTIFS(Resp4[Vínculo],"docente",Resp4[4.95],B10)</f>
        <v>4</v>
      </c>
      <c r="E10" s="4">
        <f>COUNTIF(Resp4[4.95],B10)</f>
        <v>5</v>
      </c>
      <c r="F10" s="4">
        <f t="shared" si="0"/>
        <v>7.35</v>
      </c>
      <c r="G10" s="3">
        <f t="shared" si="1"/>
        <v>20</v>
      </c>
    </row>
    <row r="11" spans="1:7" x14ac:dyDescent="0.25">
      <c r="B11" s="2" t="s">
        <v>199</v>
      </c>
      <c r="C11" s="4">
        <f>COUNTIFS(Resp4[Vínculo],"tecnico",Resp4[4.95],B11)</f>
        <v>4</v>
      </c>
      <c r="D11" s="4">
        <f>COUNTIFS(Resp4[Vínculo],"docente",Resp4[4.95],B11)</f>
        <v>11</v>
      </c>
      <c r="E11" s="4">
        <f>COUNTIF(Resp4[4.95],B11)</f>
        <v>15</v>
      </c>
      <c r="F11" s="4">
        <f t="shared" si="0"/>
        <v>22.06</v>
      </c>
      <c r="G11" s="3">
        <f t="shared" si="1"/>
        <v>60</v>
      </c>
    </row>
    <row r="12" spans="1:7" x14ac:dyDescent="0.25">
      <c r="B12" s="7" t="s">
        <v>200</v>
      </c>
      <c r="C12" s="4">
        <f>COUNTIFS(Resp4[Vínculo],"tecnico",Resp4[4.95],B12)</f>
        <v>1</v>
      </c>
      <c r="D12" s="4">
        <f>COUNTIFS(Resp4[Vínculo],"docente",Resp4[4.95],B12)</f>
        <v>3</v>
      </c>
      <c r="E12" s="4">
        <f>COUNTIF(Resp4[4.95],B12)</f>
        <v>4</v>
      </c>
      <c r="F12" s="22">
        <f t="shared" si="0"/>
        <v>5.88</v>
      </c>
      <c r="G12" s="3">
        <f t="shared" si="1"/>
        <v>16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4</v>
      </c>
      <c r="E27" s="15">
        <f>ROUND(D27/SUM(D$25:D$28)*100,3)</f>
        <v>21.053000000000001</v>
      </c>
    </row>
    <row r="28" spans="2:7" x14ac:dyDescent="0.25">
      <c r="B28" s="32" t="s">
        <v>33</v>
      </c>
      <c r="C28" s="32" t="s">
        <v>32</v>
      </c>
      <c r="D28" s="18">
        <f>SUM(D11:D12)</f>
        <v>14</v>
      </c>
      <c r="E28" s="19">
        <f>ROUND(D28/SUM(D$25:D$28)*100,3)</f>
        <v>73.683999999999997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6.42578125" style="2" customWidth="1"/>
    <col min="3" max="3" width="22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152</v>
      </c>
    </row>
    <row r="2" spans="1:7" x14ac:dyDescent="0.25">
      <c r="A2" s="2" t="str">
        <f>TEXT(A1,"0.00")</f>
        <v>4.96</v>
      </c>
      <c r="B2" s="2" t="str">
        <f>VLOOKUP(A$2,Eixo4[],3,FALSE)</f>
        <v>Com relação ao programa de pós-graduação onde você atua majoritariamente, avalie os seguintes itens: [Pertinência das disciplinas com a área]</v>
      </c>
    </row>
    <row r="3" spans="1:7" x14ac:dyDescent="0.25">
      <c r="A3" s="2" t="s">
        <v>494</v>
      </c>
      <c r="B3" s="2" t="str">
        <f>VLOOKUP(A$2,Eixo4[],4,FALSE)</f>
        <v>Eixo 4: Questão 96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COUNTIFS(Resp4[Vínculo],"tecnico",Resp4[4.96],B7)</f>
        <v>1</v>
      </c>
      <c r="D7" s="4">
        <f>COUNTIFS(Resp4[Vínculo],"docente",Resp4[4.96],B7)</f>
        <v>0</v>
      </c>
      <c r="E7" s="4">
        <f>COUNTIF(Resp4[4.96],B7)</f>
        <v>1</v>
      </c>
      <c r="F7" s="4">
        <f t="shared" ref="F7:F13" si="0">ROUND($E7/E$13*100,2)</f>
        <v>1.47</v>
      </c>
      <c r="G7" s="3">
        <f t="shared" ref="G7:G12" si="1">ROUND($E7/SUM($E$7:$E$12)*100,3)</f>
        <v>4</v>
      </c>
    </row>
    <row r="8" spans="1:7" x14ac:dyDescent="0.25">
      <c r="B8" s="2" t="s">
        <v>206</v>
      </c>
      <c r="C8" s="4">
        <f>COUNTIFS(Resp4[Vínculo],"tecnico",Resp4[4.96],B8)</f>
        <v>0</v>
      </c>
      <c r="D8" s="4">
        <f>COUNTIFS(Resp4[Vínculo],"docente",Resp4[4.96],B8)</f>
        <v>0</v>
      </c>
      <c r="E8" s="4">
        <f>COUNTIF(Resp4[4.96],B8)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COUNTIFS(Resp4[Vínculo],"tecnico",Resp4[4.96],B9)</f>
        <v>0</v>
      </c>
      <c r="D9" s="4">
        <f>COUNTIFS(Resp4[Vínculo],"docente",Resp4[4.96],B9)</f>
        <v>0</v>
      </c>
      <c r="E9" s="4">
        <f>COUNTIF(Resp4[4.96],B9)</f>
        <v>0</v>
      </c>
      <c r="F9" s="4">
        <f t="shared" si="0"/>
        <v>0</v>
      </c>
      <c r="G9" s="3">
        <f t="shared" si="1"/>
        <v>0</v>
      </c>
    </row>
    <row r="10" spans="1:7" x14ac:dyDescent="0.25">
      <c r="B10" s="2" t="s">
        <v>30</v>
      </c>
      <c r="C10" s="4">
        <f>COUNTIFS(Resp4[Vínculo],"tecnico",Resp4[4.96],B10)</f>
        <v>1</v>
      </c>
      <c r="D10" s="4">
        <f>COUNTIFS(Resp4[Vínculo],"docente",Resp4[4.96],B10)</f>
        <v>1</v>
      </c>
      <c r="E10" s="4">
        <f>COUNTIF(Resp4[4.96],B10)</f>
        <v>2</v>
      </c>
      <c r="F10" s="4">
        <f t="shared" si="0"/>
        <v>2.94</v>
      </c>
      <c r="G10" s="3">
        <f t="shared" si="1"/>
        <v>8</v>
      </c>
    </row>
    <row r="11" spans="1:7" x14ac:dyDescent="0.25">
      <c r="B11" s="2" t="s">
        <v>199</v>
      </c>
      <c r="C11" s="4">
        <f>COUNTIFS(Resp4[Vínculo],"tecnico",Resp4[4.96],B11)</f>
        <v>2</v>
      </c>
      <c r="D11" s="4">
        <f>COUNTIFS(Resp4[Vínculo],"docente",Resp4[4.96],B11)</f>
        <v>10</v>
      </c>
      <c r="E11" s="4">
        <f>COUNTIF(Resp4[4.96],B11)</f>
        <v>12</v>
      </c>
      <c r="F11" s="4">
        <f t="shared" si="0"/>
        <v>17.649999999999999</v>
      </c>
      <c r="G11" s="3">
        <f t="shared" si="1"/>
        <v>48</v>
      </c>
    </row>
    <row r="12" spans="1:7" x14ac:dyDescent="0.25">
      <c r="B12" s="7" t="s">
        <v>200</v>
      </c>
      <c r="C12" s="4">
        <f>COUNTIFS(Resp4[Vínculo],"tecnico",Resp4[4.96],B12)</f>
        <v>2</v>
      </c>
      <c r="D12" s="4">
        <f>COUNTIFS(Resp4[Vínculo],"docente",Resp4[4.96],B12)</f>
        <v>8</v>
      </c>
      <c r="E12" s="4">
        <f>COUNTIF(Resp4[4.96],B12)</f>
        <v>10</v>
      </c>
      <c r="F12" s="22">
        <f t="shared" si="0"/>
        <v>14.71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18</v>
      </c>
      <c r="E28" s="19">
        <f>ROUND(D28/SUM(D$25:D$28)*100,3)</f>
        <v>94.736999999999995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8.7109375" style="2" customWidth="1"/>
    <col min="3" max="3" width="17.71093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153</v>
      </c>
    </row>
    <row r="2" spans="1:7" x14ac:dyDescent="0.25">
      <c r="A2" s="2" t="str">
        <f>TEXT(A1,"0.00")</f>
        <v>4.97</v>
      </c>
      <c r="B2" s="2" t="str">
        <f>VLOOKUP(A$2,Eixo4[],3,FALSE)</f>
        <v>Com relação ao programa de pós-graduação onde você atua majoritariamente, avalie os seguintes itens: [Aplicabilidade direta das disciplinas para a pesquisa]</v>
      </c>
    </row>
    <row r="3" spans="1:7" x14ac:dyDescent="0.25">
      <c r="A3" s="2" t="s">
        <v>494</v>
      </c>
      <c r="B3" s="2" t="str">
        <f>VLOOKUP(A$2,Eixo4[],4,FALSE)</f>
        <v>Eixo 4: Questão 97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COUNTIFS(Resp4[Vínculo],"tecnico",Resp4[4.97],B7)</f>
        <v>2</v>
      </c>
      <c r="D7" s="4">
        <f>COUNTIFS(Resp4[Vínculo],"docente",Resp4[4.97],B7)</f>
        <v>0</v>
      </c>
      <c r="E7" s="4">
        <f>COUNTIF(Resp4[4.97],B7)</f>
        <v>2</v>
      </c>
      <c r="F7" s="4">
        <f t="shared" ref="F7:F13" si="0">ROUND($E7/E$13*100,2)</f>
        <v>2.94</v>
      </c>
      <c r="G7" s="3">
        <f t="shared" ref="G7:G12" si="1">ROUND($E7/SUM($E$7:$E$12)*100,3)</f>
        <v>8</v>
      </c>
    </row>
    <row r="8" spans="1:7" x14ac:dyDescent="0.25">
      <c r="B8" s="2" t="s">
        <v>206</v>
      </c>
      <c r="C8" s="4">
        <f>COUNTIFS(Resp4[Vínculo],"tecnico",Resp4[4.97],B8)</f>
        <v>0</v>
      </c>
      <c r="D8" s="4">
        <f>COUNTIFS(Resp4[Vínculo],"docente",Resp4[4.97],B8)</f>
        <v>0</v>
      </c>
      <c r="E8" s="4">
        <f>COUNTIF(Resp4[4.97],B8)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COUNTIFS(Resp4[Vínculo],"tecnico",Resp4[4.97],B9)</f>
        <v>0</v>
      </c>
      <c r="D9" s="4">
        <f>COUNTIFS(Resp4[Vínculo],"docente",Resp4[4.97],B9)</f>
        <v>1</v>
      </c>
      <c r="E9" s="4">
        <f>COUNTIF(Resp4[4.97],B9)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COUNTIFS(Resp4[Vínculo],"tecnico",Resp4[4.97],B10)</f>
        <v>0</v>
      </c>
      <c r="D10" s="4">
        <f>COUNTIFS(Resp4[Vínculo],"docente",Resp4[4.97],B10)</f>
        <v>2</v>
      </c>
      <c r="E10" s="4">
        <f>COUNTIF(Resp4[4.97],B10)</f>
        <v>2</v>
      </c>
      <c r="F10" s="4">
        <f t="shared" si="0"/>
        <v>2.94</v>
      </c>
      <c r="G10" s="3">
        <f t="shared" si="1"/>
        <v>8</v>
      </c>
    </row>
    <row r="11" spans="1:7" x14ac:dyDescent="0.25">
      <c r="B11" s="2" t="s">
        <v>199</v>
      </c>
      <c r="C11" s="4">
        <f>COUNTIFS(Resp4[Vínculo],"tecnico",Resp4[4.97],B11)</f>
        <v>2</v>
      </c>
      <c r="D11" s="4">
        <f>COUNTIFS(Resp4[Vínculo],"docente",Resp4[4.97],B11)</f>
        <v>10</v>
      </c>
      <c r="E11" s="4">
        <f>COUNTIF(Resp4[4.97],B11)</f>
        <v>12</v>
      </c>
      <c r="F11" s="4">
        <f t="shared" si="0"/>
        <v>17.649999999999999</v>
      </c>
      <c r="G11" s="3">
        <f t="shared" si="1"/>
        <v>48</v>
      </c>
    </row>
    <row r="12" spans="1:7" x14ac:dyDescent="0.25">
      <c r="B12" s="7" t="s">
        <v>200</v>
      </c>
      <c r="C12" s="4">
        <f>COUNTIFS(Resp4[Vínculo],"tecnico",Resp4[4.97],B12)</f>
        <v>2</v>
      </c>
      <c r="D12" s="4">
        <f>COUNTIFS(Resp4[Vínculo],"docente",Resp4[4.97],B12)</f>
        <v>6</v>
      </c>
      <c r="E12" s="4">
        <f>COUNTIF(Resp4[4.97],B12)</f>
        <v>8</v>
      </c>
      <c r="F12" s="22">
        <f t="shared" si="0"/>
        <v>11.76</v>
      </c>
      <c r="G12" s="3">
        <f t="shared" si="1"/>
        <v>32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2</v>
      </c>
      <c r="E27" s="15">
        <f>ROUND(D27/SUM(D$25:D$28)*100,3)</f>
        <v>10.526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2" sqref="F12"/>
    </sheetView>
  </sheetViews>
  <sheetFormatPr defaultRowHeight="15" x14ac:dyDescent="0.25"/>
  <cols>
    <col min="1" max="1" width="5.7109375" style="2" customWidth="1"/>
    <col min="2" max="2" width="24.7109375" style="2" customWidth="1"/>
    <col min="3" max="3" width="20.285156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154</v>
      </c>
    </row>
    <row r="2" spans="1:7" x14ac:dyDescent="0.25">
      <c r="A2" s="2" t="str">
        <f>TEXT(A1,"0.00")</f>
        <v>4.98</v>
      </c>
      <c r="B2" s="2" t="str">
        <f>VLOOKUP(A$2,Eixo4[],3,FALSE)</f>
        <v>Com relação ao programa de pós-graduação onde você atua majoritariamente, avalie os seguintes itens: [Feedback do aluno quanto às disciplinas ofertadas]</v>
      </c>
    </row>
    <row r="3" spans="1:7" x14ac:dyDescent="0.25">
      <c r="A3" s="2" t="s">
        <v>494</v>
      </c>
      <c r="B3" s="2" t="str">
        <f>VLOOKUP(A$2,Eixo4[],4,FALSE)</f>
        <v>Eixo 4: Questão 98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COUNTIFS(Resp4[Vínculo],"tecnico",Resp4[4.98],B7)</f>
        <v>0</v>
      </c>
      <c r="D7" s="4">
        <f>COUNTIFS(Resp4[Vínculo],"docente",Resp4[4.98],B7)</f>
        <v>0</v>
      </c>
      <c r="E7" s="4">
        <f>COUNTIF(Resp4[4.98],B7)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COUNTIFS(Resp4[Vínculo],"tecnico",Resp4[4.98],B8)</f>
        <v>0</v>
      </c>
      <c r="D8" s="4">
        <f>COUNTIFS(Resp4[Vínculo],"docente",Resp4[4.98],B8)</f>
        <v>0</v>
      </c>
      <c r="E8" s="4">
        <f>COUNTIF(Resp4[4.98],B8)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COUNTIFS(Resp4[Vínculo],"tecnico",Resp4[4.98],B9)</f>
        <v>0</v>
      </c>
      <c r="D9" s="4">
        <f>COUNTIFS(Resp4[Vínculo],"docente",Resp4[4.98],B9)</f>
        <v>1</v>
      </c>
      <c r="E9" s="4">
        <f>COUNTIF(Resp4[4.98],B9)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COUNTIFS(Resp4[Vínculo],"tecnico",Resp4[4.98],B10)</f>
        <v>1</v>
      </c>
      <c r="D10" s="4">
        <f>COUNTIFS(Resp4[Vínculo],"docente",Resp4[4.98],B10)</f>
        <v>5</v>
      </c>
      <c r="E10" s="4">
        <f>COUNTIF(Resp4[4.98],B10)</f>
        <v>6</v>
      </c>
      <c r="F10" s="4">
        <f t="shared" si="0"/>
        <v>8.82</v>
      </c>
      <c r="G10" s="3">
        <f t="shared" si="1"/>
        <v>24</v>
      </c>
    </row>
    <row r="11" spans="1:7" x14ac:dyDescent="0.25">
      <c r="B11" s="2" t="s">
        <v>199</v>
      </c>
      <c r="C11" s="4">
        <f>COUNTIFS(Resp4[Vínculo],"tecnico",Resp4[4.98],B11)</f>
        <v>4</v>
      </c>
      <c r="D11" s="4">
        <f>COUNTIFS(Resp4[Vínculo],"docente",Resp4[4.98],B11)</f>
        <v>11</v>
      </c>
      <c r="E11" s="4">
        <f>COUNTIF(Resp4[4.98],B11)</f>
        <v>15</v>
      </c>
      <c r="F11" s="4">
        <f t="shared" si="0"/>
        <v>22.06</v>
      </c>
      <c r="G11" s="3">
        <f t="shared" si="1"/>
        <v>60</v>
      </c>
    </row>
    <row r="12" spans="1:7" x14ac:dyDescent="0.25">
      <c r="B12" s="7" t="s">
        <v>200</v>
      </c>
      <c r="C12" s="4">
        <f>COUNTIFS(Resp4[Vínculo],"tecnico",Resp4[4.98],B12)</f>
        <v>1</v>
      </c>
      <c r="D12" s="4">
        <f>COUNTIFS(Resp4[Vínculo],"docente",Resp4[4.98],B12)</f>
        <v>2</v>
      </c>
      <c r="E12" s="4">
        <f>COUNTIF(Resp4[4.98],B12)</f>
        <v>3</v>
      </c>
      <c r="F12" s="22">
        <f t="shared" si="0"/>
        <v>4.41</v>
      </c>
      <c r="G12" s="3">
        <f t="shared" si="1"/>
        <v>12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4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26.315999999999999</v>
      </c>
    </row>
    <row r="28" spans="2:7" x14ac:dyDescent="0.25">
      <c r="B28" s="32" t="s">
        <v>33</v>
      </c>
      <c r="C28" s="32" t="s">
        <v>32</v>
      </c>
      <c r="D28" s="18">
        <f>SUM(D11:D12)</f>
        <v>13</v>
      </c>
      <c r="E28" s="19">
        <f>ROUND(D28/SUM(D$25:D$28)*100,3)</f>
        <v>68.421000000000006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F13" sqref="F13"/>
    </sheetView>
  </sheetViews>
  <sheetFormatPr defaultRowHeight="15" x14ac:dyDescent="0.25"/>
  <cols>
    <col min="1" max="1" width="5.7109375" style="2" customWidth="1"/>
    <col min="2" max="2" width="25.5703125" style="2" customWidth="1"/>
    <col min="3" max="3" width="19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" t="s">
        <v>155</v>
      </c>
    </row>
    <row r="2" spans="1:7" x14ac:dyDescent="0.25">
      <c r="A2" s="2" t="str">
        <f>TEXT(A1,"0.00")</f>
        <v>4.99</v>
      </c>
      <c r="B2" s="2" t="str">
        <f>VLOOKUP(A$2,Eixo4[],3,FALSE)</f>
        <v>Com relação ao programa de pós-graduação onde você atua majoritariamente, avalie os seguintes itens: [Profundidade dos conteúdos nas disciplinas ofertadas]</v>
      </c>
    </row>
    <row r="3" spans="1:7" x14ac:dyDescent="0.25">
      <c r="A3" s="2" t="s">
        <v>494</v>
      </c>
      <c r="B3" s="2" t="str">
        <f>VLOOKUP(A$2,Eixo4[],4,FALSE)</f>
        <v>Eixo 4: Questão 99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COUNTIFS(Resp4[Vínculo],"tecnico",Resp4[4.99],B7)</f>
        <v>2</v>
      </c>
      <c r="D7" s="4">
        <f>COUNTIFS(Resp4[Vínculo],"docente",Resp4[4.99],B7)</f>
        <v>1</v>
      </c>
      <c r="E7" s="4">
        <f>COUNTIF(Resp4[4.99],B7)</f>
        <v>3</v>
      </c>
      <c r="F7" s="4">
        <f t="shared" ref="F7:F13" si="0">ROUND($E7/E$13*100,2)</f>
        <v>4.41</v>
      </c>
      <c r="G7" s="3">
        <f t="shared" ref="G7:G12" si="1">ROUND($E7/SUM($E$7:$E$12)*100,3)</f>
        <v>12</v>
      </c>
    </row>
    <row r="8" spans="1:7" x14ac:dyDescent="0.25">
      <c r="B8" s="2" t="s">
        <v>206</v>
      </c>
      <c r="C8" s="4">
        <f>COUNTIFS(Resp4[Vínculo],"tecnico",Resp4[4.99],B8)</f>
        <v>0</v>
      </c>
      <c r="D8" s="4">
        <f>COUNTIFS(Resp4[Vínculo],"docente",Resp4[4.99],B8)</f>
        <v>0</v>
      </c>
      <c r="E8" s="4">
        <f>COUNTIF(Resp4[4.99],B8)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COUNTIFS(Resp4[Vínculo],"tecnico",Resp4[4.99],B9)</f>
        <v>0</v>
      </c>
      <c r="D9" s="4">
        <f>COUNTIFS(Resp4[Vínculo],"docente",Resp4[4.99],B9)</f>
        <v>1</v>
      </c>
      <c r="E9" s="4">
        <f>COUNTIF(Resp4[4.99],B9)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COUNTIFS(Resp4[Vínculo],"tecnico",Resp4[4.99],B10)</f>
        <v>0</v>
      </c>
      <c r="D10" s="4">
        <f>COUNTIFS(Resp4[Vínculo],"docente",Resp4[4.99],B10)</f>
        <v>0</v>
      </c>
      <c r="E10" s="4">
        <f>COUNTIF(Resp4[4.99],B10)</f>
        <v>0</v>
      </c>
      <c r="F10" s="4">
        <f t="shared" si="0"/>
        <v>0</v>
      </c>
      <c r="G10" s="3">
        <f t="shared" si="1"/>
        <v>0</v>
      </c>
    </row>
    <row r="11" spans="1:7" x14ac:dyDescent="0.25">
      <c r="B11" s="2" t="s">
        <v>199</v>
      </c>
      <c r="C11" s="4">
        <f>COUNTIFS(Resp4[Vínculo],"tecnico",Resp4[4.99],B11)</f>
        <v>2</v>
      </c>
      <c r="D11" s="4">
        <f>COUNTIFS(Resp4[Vínculo],"docente",Resp4[4.99],B11)</f>
        <v>9</v>
      </c>
      <c r="E11" s="4">
        <f>COUNTIF(Resp4[4.99],B11)</f>
        <v>11</v>
      </c>
      <c r="F11" s="4">
        <f t="shared" si="0"/>
        <v>16.18</v>
      </c>
      <c r="G11" s="3">
        <f t="shared" si="1"/>
        <v>44</v>
      </c>
    </row>
    <row r="12" spans="1:7" x14ac:dyDescent="0.25">
      <c r="B12" s="7" t="s">
        <v>200</v>
      </c>
      <c r="C12" s="4">
        <f>COUNTIFS(Resp4[Vínculo],"tecnico",Resp4[4.99],B12)</f>
        <v>2</v>
      </c>
      <c r="D12" s="4">
        <f>COUNTIFS(Resp4[Vínculo],"docente",Resp4[4.99],B12)</f>
        <v>8</v>
      </c>
      <c r="E12" s="4">
        <f>COUNTIF(Resp4[4.99],B12)</f>
        <v>10</v>
      </c>
      <c r="F12" s="22">
        <f t="shared" si="0"/>
        <v>14.71</v>
      </c>
      <c r="G12" s="3">
        <f t="shared" si="1"/>
        <v>40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201</v>
      </c>
      <c r="C26" s="16" t="s">
        <v>23</v>
      </c>
      <c r="D26" s="14">
        <f>D7</f>
        <v>1</v>
      </c>
      <c r="E26" s="15">
        <f>ROUND(D26/SUM(D$25:D$28)*100,3)</f>
        <v>5.2629999999999999</v>
      </c>
    </row>
    <row r="27" spans="2:7" x14ac:dyDescent="0.25">
      <c r="B27" s="17" t="s">
        <v>30</v>
      </c>
      <c r="C27" s="17" t="s">
        <v>29</v>
      </c>
      <c r="D27" s="14">
        <f>D10</f>
        <v>0</v>
      </c>
      <c r="E27" s="15">
        <f>ROUND(D27/SUM(D$25:D$28)*100,3)</f>
        <v>0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89.474000000000004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28515625" style="2" customWidth="1"/>
    <col min="3" max="3" width="22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4100</v>
      </c>
    </row>
    <row r="2" spans="1:7" x14ac:dyDescent="0.25">
      <c r="A2" s="2" t="str">
        <f>TEXT(A1,"0.00")</f>
        <v>4.100</v>
      </c>
      <c r="B2" s="2" t="str">
        <f>VLOOKUP(A$2,Eixo4[],3,FALSE)</f>
        <v>Com relação ao programa de pós-graduação onde você atua majoritariamente, avalie os seguintes itens: [Procedimentos usados para avaliação e feedback do desempenho discente nas disciplinas ofertadas]</v>
      </c>
    </row>
    <row r="3" spans="1:7" x14ac:dyDescent="0.25">
      <c r="A3" s="2" t="s">
        <v>494</v>
      </c>
      <c r="B3" s="2" t="str">
        <f>VLOOKUP(A$2,Eixo4[],4,FALSE)</f>
        <v>Eixo 4: Questão 100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COUNTIFS(Resp4[Vínculo],"tecnico",Resp4[4.100],B7)</f>
        <v>2</v>
      </c>
      <c r="D7" s="4">
        <f>COUNTIFS(Resp4[Vínculo],"docente",Resp4[4.100],B7)</f>
        <v>3</v>
      </c>
      <c r="E7" s="4">
        <f>COUNTIF(Resp4[4.100],B7)</f>
        <v>5</v>
      </c>
      <c r="F7" s="4">
        <f t="shared" ref="F7:F13" si="0">ROUND($E7/E$13*100,2)</f>
        <v>7.35</v>
      </c>
      <c r="G7" s="3">
        <f t="shared" ref="G7:G12" si="1">ROUND($E7/SUM($E$7:$E$12)*100,3)</f>
        <v>20</v>
      </c>
    </row>
    <row r="8" spans="1:7" x14ac:dyDescent="0.25">
      <c r="B8" s="2" t="s">
        <v>206</v>
      </c>
      <c r="C8" s="4">
        <f>COUNTIFS(Resp4[Vínculo],"tecnico",Resp4[4.100],B8)</f>
        <v>0</v>
      </c>
      <c r="D8" s="4">
        <f>COUNTIFS(Resp4[Vínculo],"docente",Resp4[4.100],B8)</f>
        <v>0</v>
      </c>
      <c r="E8" s="4">
        <f>COUNTIF(Resp4[4.100],B8)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COUNTIFS(Resp4[Vínculo],"tecnico",Resp4[4.100],B9)</f>
        <v>0</v>
      </c>
      <c r="D9" s="4">
        <f>COUNTIFS(Resp4[Vínculo],"docente",Resp4[4.100],B9)</f>
        <v>2</v>
      </c>
      <c r="E9" s="4">
        <f>COUNTIF(Resp4[4.100],B9)</f>
        <v>2</v>
      </c>
      <c r="F9" s="4">
        <f t="shared" si="0"/>
        <v>2.94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COUNTIFS(Resp4[Vínculo],"tecnico",Resp4[4.100],B10)</f>
        <v>1</v>
      </c>
      <c r="D10" s="4">
        <f>COUNTIFS(Resp4[Vínculo],"docente",Resp4[4.100],B10)</f>
        <v>5</v>
      </c>
      <c r="E10" s="4">
        <f>COUNTIF(Resp4[4.100],B10)</f>
        <v>6</v>
      </c>
      <c r="F10" s="4">
        <f t="shared" si="0"/>
        <v>8.82</v>
      </c>
      <c r="G10" s="3">
        <f t="shared" si="1"/>
        <v>24</v>
      </c>
    </row>
    <row r="11" spans="1:7" x14ac:dyDescent="0.25">
      <c r="B11" s="2" t="s">
        <v>199</v>
      </c>
      <c r="C11" s="4">
        <f>COUNTIFS(Resp4[Vínculo],"tecnico",Resp4[4.100],B11)</f>
        <v>2</v>
      </c>
      <c r="D11" s="4">
        <f>COUNTIFS(Resp4[Vínculo],"docente",Resp4[4.100],B11)</f>
        <v>8</v>
      </c>
      <c r="E11" s="4">
        <f>COUNTIF(Resp4[4.100],B11)</f>
        <v>10</v>
      </c>
      <c r="F11" s="4">
        <f t="shared" si="0"/>
        <v>14.71</v>
      </c>
      <c r="G11" s="3">
        <f t="shared" si="1"/>
        <v>40</v>
      </c>
    </row>
    <row r="12" spans="1:7" x14ac:dyDescent="0.25">
      <c r="B12" s="7" t="s">
        <v>200</v>
      </c>
      <c r="C12" s="4">
        <f>COUNTIFS(Resp4[Vínculo],"tecnico",Resp4[4.100],B12)</f>
        <v>1</v>
      </c>
      <c r="D12" s="4">
        <f>COUNTIFS(Resp4[Vínculo],"docente",Resp4[4.100],B12)</f>
        <v>1</v>
      </c>
      <c r="E12" s="4">
        <f>COUNTIF(Resp4[4.100],B12)</f>
        <v>2</v>
      </c>
      <c r="F12" s="22">
        <f t="shared" si="0"/>
        <v>2.94</v>
      </c>
      <c r="G12" s="3">
        <f t="shared" si="1"/>
        <v>8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0</v>
      </c>
      <c r="E18" s="15">
        <f>ROUND(D18/SUM(D$18:D$21)*100,3)</f>
        <v>0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2</v>
      </c>
      <c r="E19" s="15">
        <f t="shared" ref="E19:E21" si="2">ROUND(D19/SUM(D$18:D$21)*100,3)</f>
        <v>33.332999999999998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1</v>
      </c>
      <c r="E20" s="15">
        <f t="shared" si="2"/>
        <v>16.667000000000002</v>
      </c>
    </row>
    <row r="21" spans="2:7" x14ac:dyDescent="0.25">
      <c r="B21" s="32" t="s">
        <v>33</v>
      </c>
      <c r="C21" s="32" t="s">
        <v>32</v>
      </c>
      <c r="D21" s="18">
        <f>SUM(C11:C12)</f>
        <v>3</v>
      </c>
      <c r="E21" s="19">
        <f t="shared" si="2"/>
        <v>50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2</v>
      </c>
      <c r="E25" s="15">
        <f>ROUND(D25/SUM(D$25:D$28)*100,3)</f>
        <v>10.526</v>
      </c>
    </row>
    <row r="26" spans="2:7" x14ac:dyDescent="0.25">
      <c r="B26" s="16" t="s">
        <v>201</v>
      </c>
      <c r="C26" s="16" t="s">
        <v>23</v>
      </c>
      <c r="D26" s="14">
        <f>D7</f>
        <v>3</v>
      </c>
      <c r="E26" s="15">
        <f>ROUND(D26/SUM(D$25:D$28)*100,3)</f>
        <v>15.789</v>
      </c>
    </row>
    <row r="27" spans="2:7" x14ac:dyDescent="0.25">
      <c r="B27" s="17" t="s">
        <v>30</v>
      </c>
      <c r="C27" s="17" t="s">
        <v>29</v>
      </c>
      <c r="D27" s="14">
        <f>D10</f>
        <v>5</v>
      </c>
      <c r="E27" s="15">
        <f>ROUND(D27/SUM(D$25:D$28)*100,3)</f>
        <v>26.315999999999999</v>
      </c>
    </row>
    <row r="28" spans="2:7" x14ac:dyDescent="0.25">
      <c r="B28" s="32" t="s">
        <v>33</v>
      </c>
      <c r="C28" s="32" t="s">
        <v>32</v>
      </c>
      <c r="D28" s="18">
        <f>SUM(D11:D12)</f>
        <v>9</v>
      </c>
      <c r="E28" s="19">
        <f>ROUND(D28/SUM(D$25:D$28)*100,3)</f>
        <v>47.368000000000002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4.7109375" style="2" customWidth="1"/>
    <col min="3" max="3" width="19.8554687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4101</v>
      </c>
    </row>
    <row r="2" spans="1:7" x14ac:dyDescent="0.25">
      <c r="A2" s="2" t="str">
        <f>TEXT(A1,"0.00")</f>
        <v>4.101</v>
      </c>
      <c r="B2" s="2" t="str">
        <f>VLOOKUP(A$2,Eixo4[],3,FALSE)</f>
        <v>Com relação ao programa de pós-graduação onde você atua majoritariamente, avalie os seguintes itens: [Número de orientadores disponíveis no PPG]</v>
      </c>
    </row>
    <row r="3" spans="1:7" x14ac:dyDescent="0.25">
      <c r="A3" s="2" t="s">
        <v>494</v>
      </c>
      <c r="B3" s="2" t="str">
        <f>VLOOKUP(A$2,Eixo4[],4,FALSE)</f>
        <v>Eixo 4: Questão 101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COUNTIFS(Resp4[Vínculo],"tecnico",Resp4[4.101],B7)</f>
        <v>0</v>
      </c>
      <c r="D7" s="4">
        <f>COUNTIFS(Resp4[Vínculo],"docente",Resp4[4.101],B7)</f>
        <v>0</v>
      </c>
      <c r="E7" s="4">
        <f>COUNTIF(Resp4[4.101],B7)</f>
        <v>0</v>
      </c>
      <c r="F7" s="4">
        <f t="shared" ref="F7:F13" si="0">ROUND($E7/E$13*100,2)</f>
        <v>0</v>
      </c>
      <c r="G7" s="3">
        <f t="shared" ref="G7:G12" si="1">ROUND($E7/SUM($E$7:$E$12)*100,3)</f>
        <v>0</v>
      </c>
    </row>
    <row r="8" spans="1:7" x14ac:dyDescent="0.25">
      <c r="B8" s="2" t="s">
        <v>206</v>
      </c>
      <c r="C8" s="4">
        <f>COUNTIFS(Resp4[Vínculo],"tecnico",Resp4[4.101],B8)</f>
        <v>0</v>
      </c>
      <c r="D8" s="4">
        <f>COUNTIFS(Resp4[Vínculo],"docente",Resp4[4.101],B8)</f>
        <v>0</v>
      </c>
      <c r="E8" s="4">
        <f>COUNTIF(Resp4[4.101],B8)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COUNTIFS(Resp4[Vínculo],"tecnico",Resp4[4.101],B9)</f>
        <v>1</v>
      </c>
      <c r="D9" s="4">
        <f>COUNTIFS(Resp4[Vínculo],"docente",Resp4[4.101],B9)</f>
        <v>0</v>
      </c>
      <c r="E9" s="4">
        <f>COUNTIF(Resp4[4.101],B9)</f>
        <v>1</v>
      </c>
      <c r="F9" s="4">
        <f t="shared" si="0"/>
        <v>1.47</v>
      </c>
      <c r="G9" s="3">
        <f t="shared" si="1"/>
        <v>4</v>
      </c>
    </row>
    <row r="10" spans="1:7" x14ac:dyDescent="0.25">
      <c r="B10" s="2" t="s">
        <v>30</v>
      </c>
      <c r="C10" s="4">
        <f>COUNTIFS(Resp4[Vínculo],"tecnico",Resp4[4.101],B10)</f>
        <v>0</v>
      </c>
      <c r="D10" s="4">
        <f>COUNTIFS(Resp4[Vínculo],"docente",Resp4[4.101],B10)</f>
        <v>3</v>
      </c>
      <c r="E10" s="4">
        <f>COUNTIF(Resp4[4.101],B10)</f>
        <v>3</v>
      </c>
      <c r="F10" s="4">
        <f t="shared" si="0"/>
        <v>4.41</v>
      </c>
      <c r="G10" s="3">
        <f t="shared" si="1"/>
        <v>12</v>
      </c>
    </row>
    <row r="11" spans="1:7" x14ac:dyDescent="0.25">
      <c r="B11" s="2" t="s">
        <v>199</v>
      </c>
      <c r="C11" s="4">
        <f>COUNTIFS(Resp4[Vínculo],"tecnico",Resp4[4.101],B11)</f>
        <v>3</v>
      </c>
      <c r="D11" s="4">
        <f>COUNTIFS(Resp4[Vínculo],"docente",Resp4[4.101],B11)</f>
        <v>9</v>
      </c>
      <c r="E11" s="4">
        <f>COUNTIF(Resp4[4.101],B11)</f>
        <v>12</v>
      </c>
      <c r="F11" s="4">
        <f t="shared" si="0"/>
        <v>17.649999999999999</v>
      </c>
      <c r="G11" s="3">
        <f t="shared" si="1"/>
        <v>48</v>
      </c>
    </row>
    <row r="12" spans="1:7" x14ac:dyDescent="0.25">
      <c r="B12" s="7" t="s">
        <v>200</v>
      </c>
      <c r="C12" s="4">
        <f>COUNTIFS(Resp4[Vínculo],"tecnico",Resp4[4.101],B12)</f>
        <v>2</v>
      </c>
      <c r="D12" s="4">
        <f>COUNTIFS(Resp4[Vínculo],"docente",Resp4[4.101],B12)</f>
        <v>7</v>
      </c>
      <c r="E12" s="4">
        <f>COUNTIF(Resp4[4.101],B12)</f>
        <v>9</v>
      </c>
      <c r="F12" s="22">
        <f t="shared" si="0"/>
        <v>13.24</v>
      </c>
      <c r="G12" s="3">
        <f t="shared" si="1"/>
        <v>36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0</v>
      </c>
      <c r="E19" s="15">
        <f t="shared" ref="E19:E21" si="2">ROUND(D19/SUM(D$18:D$21)*100,3)</f>
        <v>0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5</v>
      </c>
      <c r="E21" s="19">
        <f t="shared" si="2"/>
        <v>83.332999999999998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0</v>
      </c>
      <c r="E25" s="15">
        <f>ROUND(D25/SUM(D$25:D$28)*100,3)</f>
        <v>0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3</v>
      </c>
      <c r="E27" s="15">
        <f>ROUND(D27/SUM(D$25:D$28)*100,3)</f>
        <v>15.789</v>
      </c>
    </row>
    <row r="28" spans="2:7" x14ac:dyDescent="0.25">
      <c r="B28" s="32" t="s">
        <v>33</v>
      </c>
      <c r="C28" s="32" t="s">
        <v>32</v>
      </c>
      <c r="D28" s="18">
        <f>SUM(D11:D12)</f>
        <v>16</v>
      </c>
      <c r="E28" s="19">
        <f>ROUND(D28/SUM(D$25:D$28)*100,3)</f>
        <v>84.210999999999999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/>
  </sheetViews>
  <sheetFormatPr defaultRowHeight="15" x14ac:dyDescent="0.25"/>
  <cols>
    <col min="1" max="1" width="5.7109375" style="2" customWidth="1"/>
    <col min="2" max="2" width="21.140625" style="2" customWidth="1"/>
    <col min="3" max="3" width="20.5703125" style="2" customWidth="1"/>
    <col min="4" max="6" width="12.7109375" style="2" customWidth="1"/>
    <col min="7" max="7" width="12.7109375" style="3" customWidth="1"/>
    <col min="8" max="8" width="5.7109375" style="2" customWidth="1"/>
    <col min="9" max="15" width="10.7109375" style="2" customWidth="1"/>
    <col min="16" max="16" width="5.7109375" style="2" customWidth="1"/>
    <col min="17" max="16384" width="9.140625" style="2"/>
  </cols>
  <sheetData>
    <row r="1" spans="1:7" x14ac:dyDescent="0.25">
      <c r="A1" s="27">
        <v>4102</v>
      </c>
    </row>
    <row r="2" spans="1:7" x14ac:dyDescent="0.25">
      <c r="A2" s="2" t="str">
        <f>TEXT(A1,"0.00")</f>
        <v>4.102</v>
      </c>
      <c r="B2" s="2" t="str">
        <f>VLOOKUP(A$2,Eixo4[],3,FALSE)</f>
        <v>Com relação ao programa de pós-graduação onde você atua majoritariamente, avalie os seguintes itens: [Conhecimento e atualização dos orientadores disponíveis]</v>
      </c>
    </row>
    <row r="3" spans="1:7" x14ac:dyDescent="0.25">
      <c r="A3" s="2" t="s">
        <v>494</v>
      </c>
      <c r="B3" s="2" t="str">
        <f>VLOOKUP(A$2,Eixo4[],4,FALSE)</f>
        <v>Eixo 4: Questão 102</v>
      </c>
      <c r="C3" s="4"/>
      <c r="D3" s="4"/>
    </row>
    <row r="5" spans="1:7" x14ac:dyDescent="0.25">
      <c r="B5" s="5" t="s">
        <v>495</v>
      </c>
      <c r="C5" s="5" t="s">
        <v>496</v>
      </c>
      <c r="D5" s="5" t="s">
        <v>497</v>
      </c>
      <c r="E5" s="5" t="s">
        <v>498</v>
      </c>
      <c r="F5" s="6" t="s">
        <v>499</v>
      </c>
      <c r="G5" s="6" t="s">
        <v>500</v>
      </c>
    </row>
    <row r="6" spans="1:7" x14ac:dyDescent="0.25">
      <c r="B6" s="2" t="s">
        <v>501</v>
      </c>
      <c r="C6" s="2">
        <f>COUNTIF(Resp4[Vínculo],"tecnico")-SUM(C$7:C$12)</f>
        <v>28</v>
      </c>
      <c r="D6" s="2">
        <f>COUNTIF(Resp4[Vínculo],"docente")-SUM(D$7:D$12)</f>
        <v>15</v>
      </c>
      <c r="E6" s="4">
        <f>E13-SUM(E7:E12)</f>
        <v>43</v>
      </c>
      <c r="F6" s="4">
        <f>ROUND($E6/E$13*100,2)</f>
        <v>63.24</v>
      </c>
    </row>
    <row r="7" spans="1:7" x14ac:dyDescent="0.25">
      <c r="B7" s="2" t="s">
        <v>201</v>
      </c>
      <c r="C7" s="4">
        <f>COUNTIFS(Resp4[Vínculo],"tecnico",Resp4[4.102],B7)</f>
        <v>1</v>
      </c>
      <c r="D7" s="4">
        <f>COUNTIFS(Resp4[Vínculo],"docente",Resp4[4.102],B7)</f>
        <v>0</v>
      </c>
      <c r="E7" s="4">
        <f>COUNTIF(Resp4[4.102],B7)</f>
        <v>1</v>
      </c>
      <c r="F7" s="4">
        <f t="shared" ref="F7:F13" si="0">ROUND($E7/E$13*100,2)</f>
        <v>1.47</v>
      </c>
      <c r="G7" s="3">
        <f t="shared" ref="G7:G12" si="1">ROUND($E7/SUM($E$7:$E$12)*100,3)</f>
        <v>4</v>
      </c>
    </row>
    <row r="8" spans="1:7" x14ac:dyDescent="0.25">
      <c r="B8" s="2" t="s">
        <v>206</v>
      </c>
      <c r="C8" s="4">
        <f>COUNTIFS(Resp4[Vínculo],"tecnico",Resp4[4.102],B8)</f>
        <v>0</v>
      </c>
      <c r="D8" s="4">
        <f>COUNTIFS(Resp4[Vínculo],"docente",Resp4[4.102],B8)</f>
        <v>0</v>
      </c>
      <c r="E8" s="4">
        <f>COUNTIF(Resp4[4.102],B8)</f>
        <v>0</v>
      </c>
      <c r="F8" s="4">
        <f t="shared" si="0"/>
        <v>0</v>
      </c>
      <c r="G8" s="3">
        <f t="shared" si="1"/>
        <v>0</v>
      </c>
    </row>
    <row r="9" spans="1:7" x14ac:dyDescent="0.25">
      <c r="B9" s="2" t="s">
        <v>202</v>
      </c>
      <c r="C9" s="4">
        <f>COUNTIFS(Resp4[Vínculo],"tecnico",Resp4[4.102],B9)</f>
        <v>1</v>
      </c>
      <c r="D9" s="4">
        <f>COUNTIFS(Resp4[Vínculo],"docente",Resp4[4.102],B9)</f>
        <v>1</v>
      </c>
      <c r="E9" s="4">
        <f>COUNTIF(Resp4[4.102],B9)</f>
        <v>2</v>
      </c>
      <c r="F9" s="4">
        <f t="shared" si="0"/>
        <v>2.94</v>
      </c>
      <c r="G9" s="3">
        <f t="shared" si="1"/>
        <v>8</v>
      </c>
    </row>
    <row r="10" spans="1:7" x14ac:dyDescent="0.25">
      <c r="B10" s="2" t="s">
        <v>30</v>
      </c>
      <c r="C10" s="4">
        <f>COUNTIFS(Resp4[Vínculo],"tecnico",Resp4[4.102],B10)</f>
        <v>0</v>
      </c>
      <c r="D10" s="4">
        <f>COUNTIFS(Resp4[Vínculo],"docente",Resp4[4.102],B10)</f>
        <v>1</v>
      </c>
      <c r="E10" s="4">
        <f>COUNTIF(Resp4[4.102],B10)</f>
        <v>1</v>
      </c>
      <c r="F10" s="4">
        <f t="shared" si="0"/>
        <v>1.47</v>
      </c>
      <c r="G10" s="3">
        <f t="shared" si="1"/>
        <v>4</v>
      </c>
    </row>
    <row r="11" spans="1:7" x14ac:dyDescent="0.25">
      <c r="B11" s="2" t="s">
        <v>199</v>
      </c>
      <c r="C11" s="4">
        <f>COUNTIFS(Resp4[Vínculo],"tecnico",Resp4[4.102],B11)</f>
        <v>2</v>
      </c>
      <c r="D11" s="4">
        <f>COUNTIFS(Resp4[Vínculo],"docente",Resp4[4.102],B11)</f>
        <v>6</v>
      </c>
      <c r="E11" s="4">
        <f>COUNTIF(Resp4[4.102],B11)</f>
        <v>8</v>
      </c>
      <c r="F11" s="4">
        <f t="shared" si="0"/>
        <v>11.76</v>
      </c>
      <c r="G11" s="3">
        <f t="shared" si="1"/>
        <v>32</v>
      </c>
    </row>
    <row r="12" spans="1:7" x14ac:dyDescent="0.25">
      <c r="B12" s="7" t="s">
        <v>200</v>
      </c>
      <c r="C12" s="4">
        <f>COUNTIFS(Resp4[Vínculo],"tecnico",Resp4[4.102],B12)</f>
        <v>2</v>
      </c>
      <c r="D12" s="4">
        <f>COUNTIFS(Resp4[Vínculo],"docente",Resp4[4.102],B12)</f>
        <v>11</v>
      </c>
      <c r="E12" s="4">
        <f>COUNTIF(Resp4[4.102],B12)</f>
        <v>13</v>
      </c>
      <c r="F12" s="22">
        <f t="shared" si="0"/>
        <v>19.12</v>
      </c>
      <c r="G12" s="3">
        <f t="shared" si="1"/>
        <v>52</v>
      </c>
    </row>
    <row r="13" spans="1:7" x14ac:dyDescent="0.25">
      <c r="B13" s="2" t="s">
        <v>502</v>
      </c>
      <c r="C13" s="8">
        <f>SUM(C6:C12)</f>
        <v>34</v>
      </c>
      <c r="D13" s="8">
        <f>SUM(D6:D12)</f>
        <v>34</v>
      </c>
      <c r="E13" s="8">
        <f>SUM(C13:D13)</f>
        <v>68</v>
      </c>
      <c r="F13" s="15">
        <f t="shared" si="0"/>
        <v>100</v>
      </c>
      <c r="G13" s="9">
        <f>SUM(G7:G12)</f>
        <v>100</v>
      </c>
    </row>
    <row r="15" spans="1:7" x14ac:dyDescent="0.25">
      <c r="B15" s="10"/>
      <c r="C15" s="10"/>
      <c r="D15" s="11"/>
      <c r="E15" s="11"/>
      <c r="F15" s="10"/>
      <c r="G15" s="10"/>
    </row>
    <row r="16" spans="1:7" x14ac:dyDescent="0.25">
      <c r="B16" s="10"/>
      <c r="C16" s="10"/>
      <c r="D16" s="12"/>
      <c r="E16" s="13"/>
      <c r="F16" s="12"/>
      <c r="G16" s="13"/>
    </row>
    <row r="17" spans="2:7" x14ac:dyDescent="0.25">
      <c r="B17" s="21" t="s">
        <v>503</v>
      </c>
      <c r="C17" s="21" t="s">
        <v>504</v>
      </c>
      <c r="D17" s="5" t="s">
        <v>496</v>
      </c>
      <c r="E17" s="6" t="s">
        <v>499</v>
      </c>
      <c r="F17" s="12"/>
      <c r="G17" s="13"/>
    </row>
    <row r="18" spans="2:7" x14ac:dyDescent="0.25">
      <c r="B18" s="31" t="s">
        <v>27</v>
      </c>
      <c r="C18" s="31" t="s">
        <v>26</v>
      </c>
      <c r="D18" s="14">
        <f>SUM(C8:C9)</f>
        <v>1</v>
      </c>
      <c r="E18" s="15">
        <f>ROUND(D18/SUM(D$18:D$21)*100,3)</f>
        <v>16.667000000000002</v>
      </c>
      <c r="F18" s="12"/>
      <c r="G18" s="13"/>
    </row>
    <row r="19" spans="2:7" x14ac:dyDescent="0.25">
      <c r="B19" s="16" t="s">
        <v>201</v>
      </c>
      <c r="C19" s="16" t="s">
        <v>23</v>
      </c>
      <c r="D19" s="14">
        <f>C7</f>
        <v>1</v>
      </c>
      <c r="E19" s="15">
        <f t="shared" ref="E19:E21" si="2">ROUND(D19/SUM(D$18:D$21)*100,3)</f>
        <v>16.667000000000002</v>
      </c>
      <c r="F19" s="12"/>
      <c r="G19" s="13"/>
    </row>
    <row r="20" spans="2:7" x14ac:dyDescent="0.25">
      <c r="B20" s="17" t="s">
        <v>30</v>
      </c>
      <c r="C20" s="17" t="s">
        <v>29</v>
      </c>
      <c r="D20" s="14">
        <f>C10</f>
        <v>0</v>
      </c>
      <c r="E20" s="15">
        <f t="shared" si="2"/>
        <v>0</v>
      </c>
    </row>
    <row r="21" spans="2:7" x14ac:dyDescent="0.25">
      <c r="B21" s="32" t="s">
        <v>33</v>
      </c>
      <c r="C21" s="32" t="s">
        <v>32</v>
      </c>
      <c r="D21" s="18">
        <f>SUM(C11:C12)</f>
        <v>4</v>
      </c>
      <c r="E21" s="19">
        <f t="shared" si="2"/>
        <v>66.667000000000002</v>
      </c>
    </row>
    <row r="22" spans="2:7" x14ac:dyDescent="0.25">
      <c r="E22" s="20"/>
    </row>
    <row r="23" spans="2:7" x14ac:dyDescent="0.25">
      <c r="E23" s="20"/>
    </row>
    <row r="24" spans="2:7" x14ac:dyDescent="0.25">
      <c r="B24" s="21" t="s">
        <v>503</v>
      </c>
      <c r="C24" s="21" t="s">
        <v>504</v>
      </c>
      <c r="D24" s="5" t="s">
        <v>497</v>
      </c>
      <c r="E24" s="6" t="s">
        <v>499</v>
      </c>
    </row>
    <row r="25" spans="2:7" x14ac:dyDescent="0.25">
      <c r="B25" s="31" t="s">
        <v>27</v>
      </c>
      <c r="C25" s="31" t="s">
        <v>26</v>
      </c>
      <c r="D25" s="14">
        <f>SUM(D8:D9)</f>
        <v>1</v>
      </c>
      <c r="E25" s="15">
        <f>ROUND(D25/SUM(D$25:D$28)*100,3)</f>
        <v>5.2629999999999999</v>
      </c>
    </row>
    <row r="26" spans="2:7" x14ac:dyDescent="0.25">
      <c r="B26" s="16" t="s">
        <v>201</v>
      </c>
      <c r="C26" s="16" t="s">
        <v>23</v>
      </c>
      <c r="D26" s="14">
        <f>D7</f>
        <v>0</v>
      </c>
      <c r="E26" s="15">
        <f>ROUND(D26/SUM(D$25:D$28)*100,3)</f>
        <v>0</v>
      </c>
    </row>
    <row r="27" spans="2:7" x14ac:dyDescent="0.25">
      <c r="B27" s="17" t="s">
        <v>30</v>
      </c>
      <c r="C27" s="17" t="s">
        <v>29</v>
      </c>
      <c r="D27" s="14">
        <f>D10</f>
        <v>1</v>
      </c>
      <c r="E27" s="15">
        <f>ROUND(D27/SUM(D$25:D$28)*100,3)</f>
        <v>5.2629999999999999</v>
      </c>
    </row>
    <row r="28" spans="2:7" x14ac:dyDescent="0.25">
      <c r="B28" s="32" t="s">
        <v>33</v>
      </c>
      <c r="C28" s="32" t="s">
        <v>32</v>
      </c>
      <c r="D28" s="18">
        <f>SUM(D11:D12)</f>
        <v>17</v>
      </c>
      <c r="E28" s="19">
        <f>ROUND(D28/SUM(D$25:D$28)*100,3)</f>
        <v>89.474000000000004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131</vt:i4>
      </vt:variant>
    </vt:vector>
  </HeadingPairs>
  <TitlesOfParts>
    <vt:vector size="131" baseType="lpstr">
      <vt:lpstr>OrientaçõesInformações</vt:lpstr>
      <vt:lpstr>Eixo 4</vt:lpstr>
      <vt:lpstr>TítuloQuestões</vt:lpstr>
      <vt:lpstr>QTPA</vt:lpstr>
      <vt:lpstr>QTPB</vt:lpstr>
      <vt:lpstr>QTPC</vt:lpstr>
      <vt:lpstr>Q4.01</vt:lpstr>
      <vt:lpstr>Q4.02</vt:lpstr>
      <vt:lpstr>Q4.03</vt:lpstr>
      <vt:lpstr>Q4.04</vt:lpstr>
      <vt:lpstr>Q4.05</vt:lpstr>
      <vt:lpstr>Q4.06</vt:lpstr>
      <vt:lpstr>Q4.07</vt:lpstr>
      <vt:lpstr>Q4.08</vt:lpstr>
      <vt:lpstr>Q4.09</vt:lpstr>
      <vt:lpstr>Q4.10</vt:lpstr>
      <vt:lpstr>Q4.11</vt:lpstr>
      <vt:lpstr>Q4.12</vt:lpstr>
      <vt:lpstr>Q4.13</vt:lpstr>
      <vt:lpstr>Q4.14</vt:lpstr>
      <vt:lpstr>Q4.15</vt:lpstr>
      <vt:lpstr>Q4.16</vt:lpstr>
      <vt:lpstr>Q4.17</vt:lpstr>
      <vt:lpstr>Q4.19</vt:lpstr>
      <vt:lpstr>Q4.20</vt:lpstr>
      <vt:lpstr>Q4.21</vt:lpstr>
      <vt:lpstr>Q4.22</vt:lpstr>
      <vt:lpstr>Q4.23</vt:lpstr>
      <vt:lpstr>Q4.24</vt:lpstr>
      <vt:lpstr>Q4.25</vt:lpstr>
      <vt:lpstr>Q4.26</vt:lpstr>
      <vt:lpstr>Q4.27</vt:lpstr>
      <vt:lpstr>Q4.28</vt:lpstr>
      <vt:lpstr>Q4.29</vt:lpstr>
      <vt:lpstr>Q4.30</vt:lpstr>
      <vt:lpstr>Q4.31</vt:lpstr>
      <vt:lpstr>Q4.32</vt:lpstr>
      <vt:lpstr>Q4.33</vt:lpstr>
      <vt:lpstr>Q4.34</vt:lpstr>
      <vt:lpstr>Q4.35</vt:lpstr>
      <vt:lpstr>Q4.36</vt:lpstr>
      <vt:lpstr>Q4.38</vt:lpstr>
      <vt:lpstr>Q4.39</vt:lpstr>
      <vt:lpstr>Q4.40</vt:lpstr>
      <vt:lpstr>Q4.41</vt:lpstr>
      <vt:lpstr>Q4.42</vt:lpstr>
      <vt:lpstr>Q4.43</vt:lpstr>
      <vt:lpstr>Q4.44</vt:lpstr>
      <vt:lpstr>Q4.45</vt:lpstr>
      <vt:lpstr>Q4.46</vt:lpstr>
      <vt:lpstr>Q4.47</vt:lpstr>
      <vt:lpstr>Q4.48</vt:lpstr>
      <vt:lpstr>Q4.50</vt:lpstr>
      <vt:lpstr>Q4.51</vt:lpstr>
      <vt:lpstr>Q4.52</vt:lpstr>
      <vt:lpstr>Q4.53</vt:lpstr>
      <vt:lpstr>Q4.54</vt:lpstr>
      <vt:lpstr>Q4.55</vt:lpstr>
      <vt:lpstr>Q4.56</vt:lpstr>
      <vt:lpstr>Q4.57</vt:lpstr>
      <vt:lpstr>Q4.58</vt:lpstr>
      <vt:lpstr>Q4.59</vt:lpstr>
      <vt:lpstr>Q4.60</vt:lpstr>
      <vt:lpstr>Q4.61</vt:lpstr>
      <vt:lpstr>Q4.62</vt:lpstr>
      <vt:lpstr>Q4.63</vt:lpstr>
      <vt:lpstr>Q4.64</vt:lpstr>
      <vt:lpstr>Q4.65</vt:lpstr>
      <vt:lpstr>Q4.66</vt:lpstr>
      <vt:lpstr>Q4.67</vt:lpstr>
      <vt:lpstr>Q4.68</vt:lpstr>
      <vt:lpstr>Q4.69</vt:lpstr>
      <vt:lpstr>Q4.71</vt:lpstr>
      <vt:lpstr>Q4.72</vt:lpstr>
      <vt:lpstr>Q4.73</vt:lpstr>
      <vt:lpstr>Q4.74</vt:lpstr>
      <vt:lpstr>Q4.75</vt:lpstr>
      <vt:lpstr>Q4.76</vt:lpstr>
      <vt:lpstr>Q4.77</vt:lpstr>
      <vt:lpstr>Q4.79</vt:lpstr>
      <vt:lpstr>Q4.81</vt:lpstr>
      <vt:lpstr>Q4.85</vt:lpstr>
      <vt:lpstr>Q4.86</vt:lpstr>
      <vt:lpstr>Q4.87</vt:lpstr>
      <vt:lpstr>Q4.88</vt:lpstr>
      <vt:lpstr>Q4.89</vt:lpstr>
      <vt:lpstr>Q4.90</vt:lpstr>
      <vt:lpstr>Q4.91</vt:lpstr>
      <vt:lpstr>Q4.92</vt:lpstr>
      <vt:lpstr>Q4.93</vt:lpstr>
      <vt:lpstr>Q4.94</vt:lpstr>
      <vt:lpstr>Q4.95</vt:lpstr>
      <vt:lpstr>Q4.96</vt:lpstr>
      <vt:lpstr>Q4.97</vt:lpstr>
      <vt:lpstr>Q4.98</vt:lpstr>
      <vt:lpstr>Q4.99</vt:lpstr>
      <vt:lpstr>Q4.100</vt:lpstr>
      <vt:lpstr>Q4.101</vt:lpstr>
      <vt:lpstr>Q4.102</vt:lpstr>
      <vt:lpstr>Q4.103</vt:lpstr>
      <vt:lpstr>Q4.104</vt:lpstr>
      <vt:lpstr>Q4.105</vt:lpstr>
      <vt:lpstr>Q4.106</vt:lpstr>
      <vt:lpstr>Q4.107</vt:lpstr>
      <vt:lpstr>Q4.108</vt:lpstr>
      <vt:lpstr>Q4.109</vt:lpstr>
      <vt:lpstr>Q4.110</vt:lpstr>
      <vt:lpstr>Q4.111</vt:lpstr>
      <vt:lpstr>Q4.112</vt:lpstr>
      <vt:lpstr>Q4.114</vt:lpstr>
      <vt:lpstr>Q4.115</vt:lpstr>
      <vt:lpstr>Q4.116</vt:lpstr>
      <vt:lpstr>Q4.117</vt:lpstr>
      <vt:lpstr>Q4.118</vt:lpstr>
      <vt:lpstr>Q4.119</vt:lpstr>
      <vt:lpstr>Q4.120</vt:lpstr>
      <vt:lpstr>Q4.121</vt:lpstr>
      <vt:lpstr>Q4.122</vt:lpstr>
      <vt:lpstr>Q4.123</vt:lpstr>
      <vt:lpstr>Q4.124</vt:lpstr>
      <vt:lpstr>Q4.125</vt:lpstr>
      <vt:lpstr>Q4.126</vt:lpstr>
      <vt:lpstr>Q4.127</vt:lpstr>
      <vt:lpstr>Q4.128</vt:lpstr>
      <vt:lpstr>Q4.130</vt:lpstr>
      <vt:lpstr>Q4.131</vt:lpstr>
      <vt:lpstr>Q4.132</vt:lpstr>
      <vt:lpstr>Q4.133</vt:lpstr>
      <vt:lpstr>Q4.134</vt:lpstr>
      <vt:lpstr>Q4.135</vt:lpstr>
      <vt:lpstr>Q4.136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Salete Aparecida Franco Miyake</dc:creator>
  <cp:keywords/>
  <dc:description/>
  <cp:lastModifiedBy>Roberta</cp:lastModifiedBy>
  <cp:revision/>
  <dcterms:created xsi:type="dcterms:W3CDTF">2021-12-27T20:21:53Z</dcterms:created>
  <dcterms:modified xsi:type="dcterms:W3CDTF">2022-02-04T14:53:21Z</dcterms:modified>
  <cp:category/>
  <cp:contentStatus/>
</cp:coreProperties>
</file>