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<sst xmlns="http://schemas.openxmlformats.org/spreadsheetml/2006/main" count="6385" uniqueCount="512">
  <si>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</si>
  <si>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</si>
  <si>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</si>
  <si>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</si>
  <si>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</si>
  <si>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</si>
  <si>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</si>
  <si>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</si>
  <si>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</si>
  <si>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</si>
  <si>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</si>
  <si>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</si>
  <si>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</si>
  <si>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</si>
  <si>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</si>
  <si>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</si>
  <si>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</si>
  <si>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</si>
  <si>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</si>
  <si>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</si>
  <si>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</si>
  <si>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</si>
  <si>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</si>
  <si>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</si>
  <si>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</si>
  <si>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</si>
  <si>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</si>
  <si>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</si>
  <si>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</si>
  <si>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</si>
  <si>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</si>
  <si>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</si>
  <si>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</si>
  <si>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</si>
  <si>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</si>
  <si>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</si>
  <si>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</si>
  <si>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</si>
  <si>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</si>
  <si>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</si>
  <si>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</si>
  <si>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</si>
  <si>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</si>
  <si>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</si>
  <si>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</si>
  <si>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</si>
  <si>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</si>
  <si>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</si>
  <si>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</si>
  <si>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</si>
  <si>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</si>
  <si>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</si>
  <si>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</si>
  <si>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</si>
  <si>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</si>
  <si>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</si>
  <si>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</si>
  <si>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</si>
  <si>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</si>
  <si>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</si>
  <si>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</si>
  <si>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</si>
  <si>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</si>
  <si>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</si>
  <si>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</si>
  <si>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</si>
  <si>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</si>
  <si>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</si>
  <si>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</si>
  <si>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</si>
  <si>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</si>
  <si>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</si>
  <si>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</si>
  <si>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</si>
  <si>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</si>
  <si>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</si>
  <si>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</si>
  <si>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</si>
  <si>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</si>
  <si>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</si>
  <si>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</si>
  <si>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</si>
  <si>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</si>
  <si>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</si>
  <si>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</si>
  <si>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</si>
  <si>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</si>
  <si>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</si>
  <si>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</si>
  <si>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</si>
  <si>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</si>
  <si>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</si>
  <si>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</si>
  <si>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</si>
  <si>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</si>
  <si>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</si>
  <si>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</si>
  <si>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</si>
  <si>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</si>
  <si>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</si>
  <si>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</si>
  <si>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</si>
  <si>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</si>
  <si>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</si>
  <si>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</si>
  <si>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</si>
  <si>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</si>
  <si>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</si>
  <si>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</si>
  <si>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</si>
  <si>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</si>
  <si>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</si>
  <si>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</si>
  <si>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</si>
  <si>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</si>
  <si>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</si>
  <si>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</si>
  <si>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</si>
  <si>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</si>
  <si>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</si>
  <si>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</si>
  <si>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</si>
  <si>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</si>
  <si>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</si>
  <si>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</si>
  <si>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</si>
  <si>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</si>
  <si>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</si>
  <si>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</si>
  <si>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</si>
  <si>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</si>
  <si>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</si>
  <si>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</si>
  <si>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</si>
  <si>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</si>
  <si>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</si>
  <si>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</si>
  <si>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</si>
  <si>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</si>
  <si>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</si>
  <si>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</si>
  <si>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</si>
  <si>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</si>
  <si>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</si>
  <si>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</si>
  <si>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</si>
  <si>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</si>
  <si>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</si>
  <si>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</si>
  <si>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</si>
  <si>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</si>
  <si>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</si>
  <si>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</si>
  <si>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</si>
  <si>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</si>
  <si>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</si>
  <si>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</si>
  <si>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</si>
  <si>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</si>
  <si>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</si>
  <si>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</si>
  <si>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</si>
  <si>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</si>
  <si>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</si>
  <si>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</si>
  <si>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</si>
  <si>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</si>
  <si>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</si>
  <si>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</si>
  <si>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</si>
  <si>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</si>
  <si>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</si>
  <si>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</si>
  <si>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</si>
  <si>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</si>
  <si>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</si>
  <si>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</si>
  <si>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</si>
  <si>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</si>
  <si>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</si>
  <si>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</si>
  <si>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</si>
  <si>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</si>
  <si>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</si>
  <si>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</si>
  <si>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</si>
  <si>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</si>
  <si>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</si>
  <si>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</si>
  <si>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</si>
  <si>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</si>
  <si>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</si>
  <si>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</si>
  <si>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DD</t>
  </si>
  <si>
    <t>Não</t>
  </si>
  <si>
    <t>NULL</t>
  </si>
  <si>
    <t>Técnico</t>
  </si>
  <si>
    <t>Bom</t>
  </si>
  <si>
    <t>Não tive condições em acessar as ações</t>
  </si>
  <si>
    <t>Sim</t>
  </si>
  <si>
    <t>Não são atividades do meu interesse</t>
  </si>
  <si>
    <t>Excelente</t>
  </si>
  <si>
    <t>Ruim</t>
  </si>
  <si>
    <t>Não tive conhecimento das ações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</si>
  <si>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</si>
  <si>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</si>
  <si>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</si>
  <si>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</si>
  <si>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</si>
  <si>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</si>
  <si>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</si>
  <si>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</si>
  <si>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</si>
  <si>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</si>
  <si>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</si>
  <si>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</si>
  <si>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</si>
  <si>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</si>
  <si>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</si>
  <si>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</si>
  <si>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</si>
  <si>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</si>
  <si>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</si>
  <si>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</si>
  <si>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</si>
  <si>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</si>
  <si>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</si>
  <si>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</si>
  <si>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</si>
  <si>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</si>
  <si>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</si>
  <si>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</si>
  <si>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</si>
  <si>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</si>
  <si>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</si>
  <si>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</si>
  <si>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</si>
  <si>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</si>
  <si>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</si>
  <si>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</si>
  <si>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</si>
  <si>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</si>
  <si>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</si>
  <si>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</si>
  <si>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</si>
  <si>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</si>
  <si>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</si>
  <si>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</si>
  <si>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</si>
  <si>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</si>
  <si>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</si>
  <si>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</si>
  <si>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</si>
  <si>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</si>
  <si>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</si>
  <si>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</si>
  <si>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</si>
  <si>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</si>
  <si>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</si>
  <si>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</si>
  <si>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</si>
  <si>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</si>
  <si>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</si>
  <si>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</si>
  <si>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</si>
  <si>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</si>
  <si>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</si>
  <si>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</si>
  <si>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</si>
  <si>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</si>
  <si>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</si>
  <si>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</si>
  <si>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</si>
  <si>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</si>
  <si>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</si>
  <si>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</si>
  <si>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</si>
  <si>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</si>
  <si>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</si>
  <si>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</si>
  <si>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</si>
  <si>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</si>
  <si>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</si>
  <si>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</si>
  <si>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</si>
  <si>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</si>
  <si>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</si>
  <si>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</si>
  <si>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</si>
  <si>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</si>
  <si>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</si>
  <si>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</si>
  <si>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</si>
  <si>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</si>
  <si>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</si>
  <si>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</si>
  <si>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</si>
  <si>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</si>
  <si>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</si>
  <si>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</si>
  <si>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</si>
  <si>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</si>
  <si>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</si>
  <si>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</si>
  <si>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</si>
  <si>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</si>
  <si>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</si>
  <si>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</si>
  <si>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</si>
  <si>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</si>
  <si>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</si>
  <si>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</si>
  <si>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</si>
  <si>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</si>
  <si>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</si>
  <si>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</si>
  <si>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</si>
  <si>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</si>
  <si>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</si>
  <si>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</si>
  <si>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</si>
  <si>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</si>
  <si>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</si>
  <si>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</si>
  <si>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</si>
  <si>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</si>
  <si>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</si>
  <si>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</si>
  <si>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</si>
  <si>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</si>
  <si>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</si>
  <si>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</si>
  <si>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</si>
  <si>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</si>
  <si>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</si>
  <si>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</si>
  <si>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</si>
  <si>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</si>
  <si>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</si>
  <si>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</si>
  <si>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</si>
  <si>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</si>
  <si>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</si>
  <si>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</si>
  <si>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</si>
  <si>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</si>
  <si>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</si>
  <si>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</si>
  <si>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</si>
  <si>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</si>
  <si>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</si>
  <si>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</si>
  <si>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</si>
  <si>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</si>
  <si>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</si>
  <si>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</si>
  <si>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</si>
  <si>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</si>
  <si>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</si>
  <si>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</si>
  <si>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</si>
  <si>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</si>
  <si>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</si>
  <si>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</si>
  <si>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</si>
  <si>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</si>
  <si>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</si>
  <si>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</si>
  <si>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</si>
  <si>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</si>
  <si>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</si>
  <si>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</si>
  <si>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</si>
  <si>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</si>
  <si>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</si>
  <si>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</si>
  <si>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</si>
  <si>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</si>
  <si>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</si>
  <si>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</si>
  <si>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</si>
  <si>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</si>
  <si>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</si>
  <si>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</si>
  <si>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</si>
  <si>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</si>
  <si>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</si>
  <si>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</si>
  <si>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</si>
  <si>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</si>
  <si>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</si>
  <si>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</si>
  <si>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</si>
  <si>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</si>
  <si>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</si>
  <si>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</si>
  <si>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</si>
  <si>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</si>
  <si>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</si>
  <si>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</si>
  <si>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</si>
  <si>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</si>
  <si>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</si>
  <si>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</si>
  <si>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</si>
  <si>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</si>
  <si>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</si>
  <si>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</si>
  <si>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</si>
  <si>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</si>
  <si>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</si>
  <si>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</si>
  <si>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</si>
  <si>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</si>
  <si>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</si>
  <si>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</si>
  <si>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</si>
  <si>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</si>
  <si>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</si>
  <si>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</si>
  <si>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</si>
  <si>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</si>
  <si>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</si>
  <si>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</si>
  <si>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</si>
  <si>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</si>
  <si>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</si>
  <si>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</si>
  <si>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</si>
  <si>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</si>
  <si>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</si>
  <si>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</si>
  <si>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</si>
  <si>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</si>
  <si>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</si>
  <si>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</si>
  <si>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</si>
  <si>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</si>
  <si>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</si>
  <si>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</si>
  <si>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</si>
  <si>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</si>
  <si>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</si>
  <si>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</si>
  <si>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</si>
  <si>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</si>
  <si>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</si>
  <si>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</si>
  <si>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</si>
  <si>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</si>
  <si>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</si>
  <si>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</si>
  <si>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</si>
  <si>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</si>
  <si>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</si>
  <si>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</si>
  <si>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</si>
  <si>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</si>
  <si>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</si>
  <si>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</si>
  <si>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</si>
  <si>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</si>
  <si>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</si>
  <si>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</si>
  <si>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</si>
  <si>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</si>
  <si>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</si>
  <si>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</si>
  <si>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</si>
  <si>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</si>
  <si>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</si>
  <si>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</si>
  <si>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</si>
  <si>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</si>
  <si>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</si>
  <si>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</si>
  <si>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</si>
  <si>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</si>
  <si>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</si>
  <si>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</si>
  <si>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</si>
  <si>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</si>
  <si>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</si>
  <si>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</si>
  <si>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</si>
  <si>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</si>
  <si>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</si>
  <si>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</si>
  <si>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</si>
  <si>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</si>
  <si>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</si>
  <si>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</si>
  <si>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</si>
  <si>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</si>
  <si>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</si>
  <si>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</si>
  <si>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</si>
  <si>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Não sei responder</t>
  </si>
  <si>
    <t>Péssimo</t>
  </si>
  <si>
    <t>Total</t>
  </si>
  <si>
    <t>Legendas</t>
  </si>
  <si>
    <t>Ações</t>
  </si>
  <si>
    <t xml:space="preserve">Não sei responder </t>
  </si>
  <si>
    <t>Não responderam</t>
  </si>
  <si>
    <t>Não se aplica</t>
  </si>
  <si>
    <t>Docente</t>
  </si>
  <si>
    <t>R1</t>
  </si>
  <si>
    <t>R2</t>
  </si>
  <si>
    <t>R3</t>
  </si>
  <si>
    <t>Outro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</si>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</sst>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45568"/>
        <c:axId val="83647104"/>
      </c:barChart>
      <c:catAx>
        <c:axId val="836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47104"/>
        <c:crosses val="autoZero"/>
        <c:auto val="1"/>
        <c:lblAlgn val="ctr"/>
        <c:lblOffset val="100"/>
        <c:noMultiLvlLbl val="0"/>
      </c:catAx>
      <c:valAx>
        <c:axId val="8364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69728"/>
        <c:axId val="126971264"/>
      </c:barChart>
      <c:catAx>
        <c:axId val="12696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71264"/>
        <c:crosses val="autoZero"/>
        <c:auto val="1"/>
        <c:lblAlgn val="ctr"/>
        <c:lblOffset val="100"/>
        <c:noMultiLvlLbl val="0"/>
      </c:catAx>
      <c:valAx>
        <c:axId val="1269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6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269888"/>
        <c:axId val="127283968"/>
      </c:barChart>
      <c:catAx>
        <c:axId val="1272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83968"/>
        <c:crosses val="autoZero"/>
        <c:auto val="1"/>
        <c:lblAlgn val="ctr"/>
        <c:lblOffset val="100"/>
        <c:noMultiLvlLbl val="0"/>
      </c:catAx>
      <c:valAx>
        <c:axId val="1272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6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28256"/>
        <c:axId val="127329792"/>
      </c:barChart>
      <c:catAx>
        <c:axId val="1273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29792"/>
        <c:crosses val="autoZero"/>
        <c:auto val="1"/>
        <c:lblAlgn val="ctr"/>
        <c:lblOffset val="100"/>
        <c:noMultiLvlLbl val="0"/>
      </c:catAx>
      <c:valAx>
        <c:axId val="12732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2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596032"/>
        <c:axId val="127597568"/>
      </c:barChart>
      <c:catAx>
        <c:axId val="1275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97568"/>
        <c:crosses val="autoZero"/>
        <c:auto val="1"/>
        <c:lblAlgn val="ctr"/>
        <c:lblOffset val="100"/>
        <c:noMultiLvlLbl val="0"/>
      </c:catAx>
      <c:valAx>
        <c:axId val="1275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9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8288"/>
        <c:axId val="85469824"/>
      </c:barChart>
      <c:catAx>
        <c:axId val="85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9824"/>
        <c:crosses val="autoZero"/>
        <c:auto val="1"/>
        <c:lblAlgn val="ctr"/>
        <c:lblOffset val="100"/>
        <c:noMultiLvlLbl val="0"/>
      </c:catAx>
      <c:valAx>
        <c:axId val="8546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18752"/>
        <c:axId val="127820544"/>
      </c:barChart>
      <c:catAx>
        <c:axId val="1278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20544"/>
        <c:crosses val="autoZero"/>
        <c:auto val="1"/>
        <c:lblAlgn val="ctr"/>
        <c:lblOffset val="100"/>
        <c:noMultiLvlLbl val="0"/>
      </c:catAx>
      <c:valAx>
        <c:axId val="12782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1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57824"/>
        <c:axId val="128559360"/>
      </c:barChart>
      <c:catAx>
        <c:axId val="128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59360"/>
        <c:crosses val="autoZero"/>
        <c:auto val="1"/>
        <c:lblAlgn val="ctr"/>
        <c:lblOffset val="100"/>
        <c:noMultiLvlLbl val="0"/>
      </c:catAx>
      <c:valAx>
        <c:axId val="1285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5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79776"/>
        <c:axId val="128781312"/>
      </c:barChart>
      <c:catAx>
        <c:axId val="128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81312"/>
        <c:crosses val="autoZero"/>
        <c:auto val="1"/>
        <c:lblAlgn val="ctr"/>
        <c:lblOffset val="100"/>
        <c:noMultiLvlLbl val="0"/>
      </c:catAx>
      <c:valAx>
        <c:axId val="12878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19232"/>
        <c:axId val="85920768"/>
      </c:barChart>
      <c:catAx>
        <c:axId val="859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20768"/>
        <c:crosses val="autoZero"/>
        <c:auto val="1"/>
        <c:lblAlgn val="ctr"/>
        <c:lblOffset val="100"/>
        <c:noMultiLvlLbl val="0"/>
      </c:catAx>
      <c:valAx>
        <c:axId val="859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1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911424"/>
        <c:axId val="129913216"/>
      </c:barChart>
      <c:catAx>
        <c:axId val="1299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13216"/>
        <c:crosses val="autoZero"/>
        <c:auto val="1"/>
        <c:lblAlgn val="ctr"/>
        <c:lblOffset val="100"/>
        <c:noMultiLvlLbl val="0"/>
      </c:catAx>
      <c:valAx>
        <c:axId val="12991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1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150400"/>
        <c:axId val="130151936"/>
      </c:barChart>
      <c:catAx>
        <c:axId val="1301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151936"/>
        <c:crosses val="autoZero"/>
        <c:auto val="1"/>
        <c:lblAlgn val="ctr"/>
        <c:lblOffset val="100"/>
        <c:noMultiLvlLbl val="0"/>
      </c:catAx>
      <c:valAx>
        <c:axId val="13015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15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610688"/>
        <c:axId val="130612224"/>
      </c:barChart>
      <c:catAx>
        <c:axId val="1306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12224"/>
        <c:crosses val="autoZero"/>
        <c:auto val="1"/>
        <c:lblAlgn val="ctr"/>
        <c:lblOffset val="100"/>
        <c:noMultiLvlLbl val="0"/>
      </c:catAx>
      <c:valAx>
        <c:axId val="13061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1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030016"/>
        <c:axId val="131040000"/>
      </c:barChart>
      <c:catAx>
        <c:axId val="1310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040000"/>
        <c:crosses val="autoZero"/>
        <c:auto val="1"/>
        <c:lblAlgn val="ctr"/>
        <c:lblOffset val="100"/>
        <c:noMultiLvlLbl val="0"/>
      </c:catAx>
      <c:valAx>
        <c:axId val="13104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03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563328"/>
        <c:axId val="132564864"/>
      </c:barChart>
      <c:catAx>
        <c:axId val="13256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64864"/>
        <c:crosses val="autoZero"/>
        <c:auto val="1"/>
        <c:lblAlgn val="ctr"/>
        <c:lblOffset val="100"/>
        <c:noMultiLvlLbl val="0"/>
      </c:catAx>
      <c:valAx>
        <c:axId val="13256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6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38912"/>
        <c:axId val="132840448"/>
      </c:barChart>
      <c:catAx>
        <c:axId val="13283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40448"/>
        <c:crosses val="autoZero"/>
        <c:auto val="1"/>
        <c:lblAlgn val="ctr"/>
        <c:lblOffset val="100"/>
        <c:noMultiLvlLbl val="0"/>
      </c:catAx>
      <c:valAx>
        <c:axId val="13284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3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65280"/>
        <c:axId val="133266816"/>
      </c:barChart>
      <c:catAx>
        <c:axId val="133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66816"/>
        <c:crosses val="autoZero"/>
        <c:auto val="1"/>
        <c:lblAlgn val="ctr"/>
        <c:lblOffset val="100"/>
        <c:noMultiLvlLbl val="0"/>
      </c:catAx>
      <c:valAx>
        <c:axId val="13326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6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360256"/>
        <c:axId val="133362048"/>
      </c:barChart>
      <c:catAx>
        <c:axId val="1333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62048"/>
        <c:crosses val="autoZero"/>
        <c:auto val="1"/>
        <c:lblAlgn val="ctr"/>
        <c:lblOffset val="100"/>
        <c:noMultiLvlLbl val="0"/>
      </c:catAx>
      <c:valAx>
        <c:axId val="13336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6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878144"/>
        <c:axId val="133879680"/>
      </c:barChart>
      <c:catAx>
        <c:axId val="1338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79680"/>
        <c:crosses val="autoZero"/>
        <c:auto val="1"/>
        <c:lblAlgn val="ctr"/>
        <c:lblOffset val="100"/>
        <c:noMultiLvlLbl val="0"/>
      </c:catAx>
      <c:valAx>
        <c:axId val="13387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7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13472"/>
        <c:axId val="134315008"/>
      </c:barChart>
      <c:catAx>
        <c:axId val="13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15008"/>
        <c:crosses val="autoZero"/>
        <c:auto val="1"/>
        <c:lblAlgn val="ctr"/>
        <c:lblOffset val="100"/>
        <c:noMultiLvlLbl val="0"/>
      </c:catAx>
      <c:valAx>
        <c:axId val="1343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68096"/>
        <c:axId val="136086272"/>
      </c:barChart>
      <c:catAx>
        <c:axId val="13606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86272"/>
        <c:crosses val="autoZero"/>
        <c:auto val="1"/>
        <c:lblAlgn val="ctr"/>
        <c:lblOffset val="100"/>
        <c:noMultiLvlLbl val="0"/>
      </c:catAx>
      <c:valAx>
        <c:axId val="13608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6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47776"/>
        <c:axId val="86753664"/>
      </c:barChart>
      <c:catAx>
        <c:axId val="867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53664"/>
        <c:crosses val="autoZero"/>
        <c:auto val="1"/>
        <c:lblAlgn val="ctr"/>
        <c:lblOffset val="100"/>
        <c:noMultiLvlLbl val="0"/>
      </c:catAx>
      <c:valAx>
        <c:axId val="8675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4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42624"/>
        <c:axId val="136444160"/>
      </c:barChart>
      <c:catAx>
        <c:axId val="13644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44160"/>
        <c:crosses val="autoZero"/>
        <c:auto val="1"/>
        <c:lblAlgn val="ctr"/>
        <c:lblOffset val="100"/>
        <c:noMultiLvlLbl val="0"/>
      </c:catAx>
      <c:valAx>
        <c:axId val="13644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4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67584"/>
        <c:axId val="138473472"/>
      </c:barChart>
      <c:catAx>
        <c:axId val="1384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73472"/>
        <c:crosses val="autoZero"/>
        <c:auto val="1"/>
        <c:lblAlgn val="ctr"/>
        <c:lblOffset val="100"/>
        <c:noMultiLvlLbl val="0"/>
      </c:catAx>
      <c:valAx>
        <c:axId val="13847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6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96128"/>
        <c:axId val="139297920"/>
      </c:barChart>
      <c:catAx>
        <c:axId val="1392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97920"/>
        <c:crosses val="autoZero"/>
        <c:auto val="1"/>
        <c:lblAlgn val="ctr"/>
        <c:lblOffset val="100"/>
        <c:noMultiLvlLbl val="0"/>
      </c:catAx>
      <c:valAx>
        <c:axId val="1392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776192"/>
        <c:axId val="140777728"/>
      </c:barChart>
      <c:catAx>
        <c:axId val="1407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7728"/>
        <c:crosses val="autoZero"/>
        <c:auto val="1"/>
        <c:lblAlgn val="ctr"/>
        <c:lblOffset val="100"/>
        <c:noMultiLvlLbl val="0"/>
      </c:catAx>
      <c:valAx>
        <c:axId val="14077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75040"/>
        <c:axId val="141176832"/>
      </c:barChart>
      <c:catAx>
        <c:axId val="1411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6832"/>
        <c:crosses val="autoZero"/>
        <c:auto val="1"/>
        <c:lblAlgn val="ctr"/>
        <c:lblOffset val="100"/>
        <c:noMultiLvlLbl val="0"/>
      </c:catAx>
      <c:valAx>
        <c:axId val="1411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409664"/>
        <c:axId val="141415552"/>
      </c:barChart>
      <c:catAx>
        <c:axId val="1414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15552"/>
        <c:crosses val="autoZero"/>
        <c:auto val="1"/>
        <c:lblAlgn val="ctr"/>
        <c:lblOffset val="100"/>
        <c:noMultiLvlLbl val="0"/>
      </c:catAx>
      <c:valAx>
        <c:axId val="14141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0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76320"/>
        <c:axId val="141977856"/>
      </c:barChart>
      <c:catAx>
        <c:axId val="1419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77856"/>
        <c:crosses val="autoZero"/>
        <c:auto val="1"/>
        <c:lblAlgn val="ctr"/>
        <c:lblOffset val="100"/>
        <c:noMultiLvlLbl val="0"/>
      </c:catAx>
      <c:valAx>
        <c:axId val="1419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7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575488"/>
        <c:axId val="142577024"/>
      </c:barChart>
      <c:catAx>
        <c:axId val="1425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577024"/>
        <c:crosses val="autoZero"/>
        <c:auto val="1"/>
        <c:lblAlgn val="ctr"/>
        <c:lblOffset val="100"/>
        <c:noMultiLvlLbl val="0"/>
      </c:catAx>
      <c:valAx>
        <c:axId val="14257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57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866880"/>
        <c:axId val="143876864"/>
      </c:barChart>
      <c:catAx>
        <c:axId val="1438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76864"/>
        <c:crosses val="autoZero"/>
        <c:auto val="1"/>
        <c:lblAlgn val="ctr"/>
        <c:lblOffset val="100"/>
        <c:noMultiLvlLbl val="0"/>
      </c:catAx>
      <c:valAx>
        <c:axId val="1438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6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207680"/>
        <c:axId val="145209216"/>
      </c:barChart>
      <c:catAx>
        <c:axId val="1452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209216"/>
        <c:crosses val="autoZero"/>
        <c:auto val="1"/>
        <c:lblAlgn val="ctr"/>
        <c:lblOffset val="100"/>
        <c:noMultiLvlLbl val="0"/>
      </c:catAx>
      <c:valAx>
        <c:axId val="14520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20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096768"/>
        <c:axId val="88098304"/>
      </c:barChart>
      <c:catAx>
        <c:axId val="880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98304"/>
        <c:crosses val="autoZero"/>
        <c:auto val="1"/>
        <c:lblAlgn val="ctr"/>
        <c:lblOffset val="100"/>
        <c:noMultiLvlLbl val="0"/>
      </c:catAx>
      <c:valAx>
        <c:axId val="88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9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757696"/>
        <c:axId val="145759232"/>
      </c:barChart>
      <c:catAx>
        <c:axId val="1457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59232"/>
        <c:crosses val="autoZero"/>
        <c:auto val="1"/>
        <c:lblAlgn val="ctr"/>
        <c:lblOffset val="100"/>
        <c:noMultiLvlLbl val="0"/>
      </c:catAx>
      <c:valAx>
        <c:axId val="14575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5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95424"/>
        <c:axId val="146321792"/>
      </c:barChart>
      <c:catAx>
        <c:axId val="1462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21792"/>
        <c:crosses val="autoZero"/>
        <c:auto val="1"/>
        <c:lblAlgn val="ctr"/>
        <c:lblOffset val="100"/>
        <c:noMultiLvlLbl val="0"/>
      </c:catAx>
      <c:valAx>
        <c:axId val="1463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15456"/>
        <c:axId val="148116992"/>
      </c:barChart>
      <c:catAx>
        <c:axId val="1481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16992"/>
        <c:crosses val="autoZero"/>
        <c:auto val="1"/>
        <c:lblAlgn val="ctr"/>
        <c:lblOffset val="100"/>
        <c:noMultiLvlLbl val="0"/>
      </c:catAx>
      <c:valAx>
        <c:axId val="14811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726912"/>
        <c:axId val="148728448"/>
      </c:barChart>
      <c:catAx>
        <c:axId val="1487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728448"/>
        <c:crosses val="autoZero"/>
        <c:auto val="1"/>
        <c:lblAlgn val="ctr"/>
        <c:lblOffset val="100"/>
        <c:noMultiLvlLbl val="0"/>
      </c:catAx>
      <c:valAx>
        <c:axId val="14872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72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52480"/>
        <c:axId val="150454272"/>
      </c:barChart>
      <c:catAx>
        <c:axId val="1504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54272"/>
        <c:crosses val="autoZero"/>
        <c:auto val="1"/>
        <c:lblAlgn val="ctr"/>
        <c:lblOffset val="100"/>
        <c:noMultiLvlLbl val="0"/>
      </c:catAx>
      <c:valAx>
        <c:axId val="15045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5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305664"/>
        <c:axId val="152307200"/>
      </c:barChart>
      <c:catAx>
        <c:axId val="1523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07200"/>
        <c:crosses val="autoZero"/>
        <c:auto val="1"/>
        <c:lblAlgn val="ctr"/>
        <c:lblOffset val="100"/>
        <c:noMultiLvlLbl val="0"/>
      </c:catAx>
      <c:valAx>
        <c:axId val="1523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0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29408"/>
        <c:axId val="152930944"/>
      </c:barChart>
      <c:catAx>
        <c:axId val="1529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30944"/>
        <c:crosses val="autoZero"/>
        <c:auto val="1"/>
        <c:lblAlgn val="ctr"/>
        <c:lblOffset val="100"/>
        <c:noMultiLvlLbl val="0"/>
      </c:catAx>
      <c:valAx>
        <c:axId val="1529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2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397504"/>
        <c:axId val="153403392"/>
      </c:barChart>
      <c:catAx>
        <c:axId val="1533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403392"/>
        <c:crosses val="autoZero"/>
        <c:auto val="1"/>
        <c:lblAlgn val="ctr"/>
        <c:lblOffset val="100"/>
        <c:noMultiLvlLbl val="0"/>
      </c:catAx>
      <c:valAx>
        <c:axId val="15340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9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44832"/>
        <c:axId val="154346624"/>
      </c:barChart>
      <c:catAx>
        <c:axId val="15434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46624"/>
        <c:crosses val="autoZero"/>
        <c:auto val="1"/>
        <c:lblAlgn val="ctr"/>
        <c:lblOffset val="100"/>
        <c:noMultiLvlLbl val="0"/>
      </c:catAx>
      <c:valAx>
        <c:axId val="15434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4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391936"/>
        <c:axId val="160393472"/>
      </c:barChart>
      <c:catAx>
        <c:axId val="1603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93472"/>
        <c:crosses val="autoZero"/>
        <c:auto val="1"/>
        <c:lblAlgn val="ctr"/>
        <c:lblOffset val="100"/>
        <c:noMultiLvlLbl val="0"/>
      </c:catAx>
      <c:valAx>
        <c:axId val="1603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9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46080"/>
        <c:axId val="88447616"/>
      </c:barChart>
      <c:catAx>
        <c:axId val="88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47616"/>
        <c:crosses val="autoZero"/>
        <c:auto val="1"/>
        <c:lblAlgn val="ctr"/>
        <c:lblOffset val="100"/>
        <c:noMultiLvlLbl val="0"/>
      </c:catAx>
      <c:valAx>
        <c:axId val="8844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65120"/>
        <c:axId val="160566656"/>
      </c:barChart>
      <c:catAx>
        <c:axId val="1605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66656"/>
        <c:crosses val="autoZero"/>
        <c:auto val="1"/>
        <c:lblAlgn val="ctr"/>
        <c:lblOffset val="100"/>
        <c:noMultiLvlLbl val="0"/>
      </c:catAx>
      <c:valAx>
        <c:axId val="1605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6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56096"/>
        <c:axId val="161174272"/>
      </c:barChart>
      <c:catAx>
        <c:axId val="1611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74272"/>
        <c:crosses val="autoZero"/>
        <c:auto val="1"/>
        <c:lblAlgn val="ctr"/>
        <c:lblOffset val="100"/>
        <c:noMultiLvlLbl val="0"/>
      </c:catAx>
      <c:valAx>
        <c:axId val="1611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5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373568"/>
        <c:axId val="161375360"/>
      </c:barChart>
      <c:catAx>
        <c:axId val="161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75360"/>
        <c:crosses val="autoZero"/>
        <c:auto val="1"/>
        <c:lblAlgn val="ctr"/>
        <c:lblOffset val="100"/>
        <c:noMultiLvlLbl val="0"/>
      </c:catAx>
      <c:valAx>
        <c:axId val="16137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7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72512"/>
        <c:axId val="161474048"/>
      </c:barChart>
      <c:catAx>
        <c:axId val="1614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74048"/>
        <c:crosses val="autoZero"/>
        <c:auto val="1"/>
        <c:lblAlgn val="ctr"/>
        <c:lblOffset val="100"/>
        <c:noMultiLvlLbl val="0"/>
      </c:catAx>
      <c:valAx>
        <c:axId val="1614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037376"/>
        <c:axId val="164038912"/>
      </c:barChart>
      <c:catAx>
        <c:axId val="1640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38912"/>
        <c:crosses val="autoZero"/>
        <c:auto val="1"/>
        <c:lblAlgn val="ctr"/>
        <c:lblOffset val="100"/>
        <c:noMultiLvlLbl val="0"/>
      </c:catAx>
      <c:valAx>
        <c:axId val="16403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3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35840"/>
        <c:axId val="164437376"/>
      </c:barChart>
      <c:catAx>
        <c:axId val="1644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37376"/>
        <c:crosses val="autoZero"/>
        <c:auto val="1"/>
        <c:lblAlgn val="ctr"/>
        <c:lblOffset val="100"/>
        <c:noMultiLvlLbl val="0"/>
      </c:catAx>
      <c:valAx>
        <c:axId val="1644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3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62976"/>
        <c:axId val="164872960"/>
      </c:barChart>
      <c:catAx>
        <c:axId val="1648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2960"/>
        <c:crosses val="autoZero"/>
        <c:auto val="1"/>
        <c:lblAlgn val="ctr"/>
        <c:lblOffset val="100"/>
        <c:noMultiLvlLbl val="0"/>
      </c:catAx>
      <c:valAx>
        <c:axId val="16487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6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151104"/>
        <c:axId val="165152640"/>
      </c:barChart>
      <c:catAx>
        <c:axId val="1651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52640"/>
        <c:crosses val="autoZero"/>
        <c:auto val="1"/>
        <c:lblAlgn val="ctr"/>
        <c:lblOffset val="100"/>
        <c:noMultiLvlLbl val="0"/>
      </c:catAx>
      <c:valAx>
        <c:axId val="16515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5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307904"/>
        <c:axId val="165309440"/>
      </c:barChart>
      <c:catAx>
        <c:axId val="1653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09440"/>
        <c:crosses val="autoZero"/>
        <c:auto val="1"/>
        <c:lblAlgn val="ctr"/>
        <c:lblOffset val="100"/>
        <c:noMultiLvlLbl val="0"/>
      </c:catAx>
      <c:valAx>
        <c:axId val="16530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0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902400"/>
        <c:axId val="166904192"/>
      </c:barChart>
      <c:catAx>
        <c:axId val="1669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904192"/>
        <c:crosses val="autoZero"/>
        <c:auto val="1"/>
        <c:lblAlgn val="ctr"/>
        <c:lblOffset val="100"/>
        <c:noMultiLvlLbl val="0"/>
      </c:catAx>
      <c:valAx>
        <c:axId val="1669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9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574976"/>
        <c:axId val="168576512"/>
      </c:barChart>
      <c:catAx>
        <c:axId val="1685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576512"/>
        <c:crosses val="autoZero"/>
        <c:auto val="1"/>
        <c:lblAlgn val="ctr"/>
        <c:lblOffset val="100"/>
        <c:noMultiLvlLbl val="0"/>
      </c:catAx>
      <c:valAx>
        <c:axId val="16857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57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243776"/>
        <c:axId val="169245312"/>
      </c:barChart>
      <c:catAx>
        <c:axId val="1692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45312"/>
        <c:crosses val="autoZero"/>
        <c:auto val="1"/>
        <c:lblAlgn val="ctr"/>
        <c:lblOffset val="100"/>
        <c:noMultiLvlLbl val="0"/>
      </c:catAx>
      <c:valAx>
        <c:axId val="1692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13472"/>
        <c:axId val="88727552"/>
      </c:barChart>
      <c:catAx>
        <c:axId val="887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27552"/>
        <c:crosses val="autoZero"/>
        <c:auto val="1"/>
        <c:lblAlgn val="ctr"/>
        <c:lblOffset val="100"/>
        <c:noMultiLvlLbl val="0"/>
      </c:catAx>
      <c:valAx>
        <c:axId val="887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47040"/>
        <c:axId val="170262528"/>
      </c:barChart>
      <c:catAx>
        <c:axId val="1698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262528"/>
        <c:crosses val="autoZero"/>
        <c:auto val="1"/>
        <c:lblAlgn val="ctr"/>
        <c:lblOffset val="100"/>
        <c:noMultiLvlLbl val="0"/>
      </c:catAx>
      <c:valAx>
        <c:axId val="17026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4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82016"/>
        <c:axId val="170583552"/>
      </c:barChart>
      <c:catAx>
        <c:axId val="1705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83552"/>
        <c:crosses val="autoZero"/>
        <c:auto val="1"/>
        <c:lblAlgn val="ctr"/>
        <c:lblOffset val="100"/>
        <c:noMultiLvlLbl val="0"/>
      </c:catAx>
      <c:valAx>
        <c:axId val="17058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8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725952"/>
        <c:axId val="171727488"/>
      </c:barChart>
      <c:catAx>
        <c:axId val="1717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27488"/>
        <c:crosses val="autoZero"/>
        <c:auto val="1"/>
        <c:lblAlgn val="ctr"/>
        <c:lblOffset val="100"/>
        <c:noMultiLvlLbl val="0"/>
      </c:catAx>
      <c:valAx>
        <c:axId val="17172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2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320448"/>
        <c:axId val="173338624"/>
      </c:barChart>
      <c:catAx>
        <c:axId val="1733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338624"/>
        <c:crosses val="autoZero"/>
        <c:auto val="1"/>
        <c:lblAlgn val="ctr"/>
        <c:lblOffset val="100"/>
        <c:noMultiLvlLbl val="0"/>
      </c:catAx>
      <c:valAx>
        <c:axId val="17333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32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25408"/>
        <c:axId val="173831296"/>
      </c:barChart>
      <c:catAx>
        <c:axId val="173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31296"/>
        <c:crosses val="autoZero"/>
        <c:auto val="1"/>
        <c:lblAlgn val="ctr"/>
        <c:lblOffset val="100"/>
        <c:noMultiLvlLbl val="0"/>
      </c:catAx>
      <c:valAx>
        <c:axId val="1738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228224"/>
        <c:axId val="174229760"/>
      </c:barChart>
      <c:catAx>
        <c:axId val="1742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29760"/>
        <c:crosses val="autoZero"/>
        <c:auto val="1"/>
        <c:lblAlgn val="ctr"/>
        <c:lblOffset val="100"/>
        <c:noMultiLvlLbl val="0"/>
      </c:catAx>
      <c:valAx>
        <c:axId val="17422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5126400"/>
        <c:axId val="175127936"/>
      </c:barChart>
      <c:catAx>
        <c:axId val="1751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27936"/>
        <c:crosses val="autoZero"/>
        <c:auto val="1"/>
        <c:lblAlgn val="ctr"/>
        <c:lblOffset val="100"/>
        <c:noMultiLvlLbl val="0"/>
      </c:catAx>
      <c:valAx>
        <c:axId val="17512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2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884736"/>
        <c:axId val="176894720"/>
      </c:barChart>
      <c:catAx>
        <c:axId val="1768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894720"/>
        <c:crosses val="autoZero"/>
        <c:auto val="1"/>
        <c:lblAlgn val="ctr"/>
        <c:lblOffset val="100"/>
        <c:noMultiLvlLbl val="0"/>
      </c:catAx>
      <c:valAx>
        <c:axId val="17689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88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328512"/>
        <c:axId val="177330048"/>
      </c:barChart>
      <c:catAx>
        <c:axId val="1773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30048"/>
        <c:crosses val="autoZero"/>
        <c:auto val="1"/>
        <c:lblAlgn val="ctr"/>
        <c:lblOffset val="100"/>
        <c:noMultiLvlLbl val="0"/>
      </c:catAx>
      <c:valAx>
        <c:axId val="17733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2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801088"/>
        <c:axId val="177802624"/>
      </c:barChart>
      <c:catAx>
        <c:axId val="1778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02624"/>
        <c:crosses val="autoZero"/>
        <c:auto val="1"/>
        <c:lblAlgn val="ctr"/>
        <c:lblOffset val="100"/>
        <c:noMultiLvlLbl val="0"/>
      </c:catAx>
      <c:valAx>
        <c:axId val="17780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0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915328"/>
        <c:axId val="88925312"/>
      </c:barChart>
      <c:catAx>
        <c:axId val="889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925312"/>
        <c:crosses val="autoZero"/>
        <c:auto val="1"/>
        <c:lblAlgn val="ctr"/>
        <c:lblOffset val="100"/>
        <c:noMultiLvlLbl val="0"/>
      </c:catAx>
      <c:valAx>
        <c:axId val="8892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91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42208"/>
        <c:axId val="178144000"/>
      </c:barChart>
      <c:catAx>
        <c:axId val="1781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44000"/>
        <c:crosses val="autoZero"/>
        <c:auto val="1"/>
        <c:lblAlgn val="ctr"/>
        <c:lblOffset val="100"/>
        <c:noMultiLvlLbl val="0"/>
      </c:catAx>
      <c:valAx>
        <c:axId val="1781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4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688384"/>
        <c:axId val="178689920"/>
      </c:barChart>
      <c:catAx>
        <c:axId val="1786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689920"/>
        <c:crosses val="autoZero"/>
        <c:auto val="1"/>
        <c:lblAlgn val="ctr"/>
        <c:lblOffset val="100"/>
        <c:noMultiLvlLbl val="0"/>
      </c:catAx>
      <c:valAx>
        <c:axId val="1786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68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639232"/>
        <c:axId val="180640768"/>
      </c:barChart>
      <c:catAx>
        <c:axId val="1806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40768"/>
        <c:crosses val="autoZero"/>
        <c:auto val="1"/>
        <c:lblAlgn val="ctr"/>
        <c:lblOffset val="100"/>
        <c:noMultiLvlLbl val="0"/>
      </c:catAx>
      <c:valAx>
        <c:axId val="18064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3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295168"/>
        <c:axId val="182305152"/>
      </c:barChart>
      <c:catAx>
        <c:axId val="1822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05152"/>
        <c:crosses val="autoZero"/>
        <c:auto val="1"/>
        <c:lblAlgn val="ctr"/>
        <c:lblOffset val="100"/>
        <c:noMultiLvlLbl val="0"/>
      </c:catAx>
      <c:valAx>
        <c:axId val="18230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29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558720"/>
        <c:axId val="182560256"/>
      </c:barChart>
      <c:catAx>
        <c:axId val="1825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60256"/>
        <c:crosses val="autoZero"/>
        <c:auto val="1"/>
        <c:lblAlgn val="ctr"/>
        <c:lblOffset val="100"/>
        <c:noMultiLvlLbl val="0"/>
      </c:catAx>
      <c:valAx>
        <c:axId val="1825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5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561664"/>
        <c:axId val="186563200"/>
      </c:barChart>
      <c:catAx>
        <c:axId val="1865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63200"/>
        <c:crosses val="autoZero"/>
        <c:auto val="1"/>
        <c:lblAlgn val="ctr"/>
        <c:lblOffset val="100"/>
        <c:noMultiLvlLbl val="0"/>
      </c:catAx>
      <c:valAx>
        <c:axId val="18656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6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390208"/>
        <c:axId val="187408384"/>
      </c:barChart>
      <c:catAx>
        <c:axId val="1873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408384"/>
        <c:crosses val="autoZero"/>
        <c:auto val="1"/>
        <c:lblAlgn val="ctr"/>
        <c:lblOffset val="100"/>
        <c:noMultiLvlLbl val="0"/>
      </c:catAx>
      <c:valAx>
        <c:axId val="18740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39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55616"/>
        <c:axId val="188269696"/>
      </c:barChart>
      <c:catAx>
        <c:axId val="1882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69696"/>
        <c:crosses val="autoZero"/>
        <c:auto val="1"/>
        <c:lblAlgn val="ctr"/>
        <c:lblOffset val="100"/>
        <c:noMultiLvlLbl val="0"/>
      </c:catAx>
      <c:valAx>
        <c:axId val="18826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5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43744"/>
        <c:axId val="188545280"/>
      </c:barChart>
      <c:catAx>
        <c:axId val="1885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45280"/>
        <c:crosses val="autoZero"/>
        <c:auto val="1"/>
        <c:lblAlgn val="ctr"/>
        <c:lblOffset val="100"/>
        <c:noMultiLvlLbl val="0"/>
      </c:catAx>
      <c:valAx>
        <c:axId val="18854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4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089664"/>
        <c:axId val="189091200"/>
      </c:barChart>
      <c:catAx>
        <c:axId val="1890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091200"/>
        <c:crosses val="autoZero"/>
        <c:auto val="1"/>
        <c:lblAlgn val="ctr"/>
        <c:lblOffset val="100"/>
        <c:noMultiLvlLbl val="0"/>
      </c:catAx>
      <c:valAx>
        <c:axId val="1890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08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38208"/>
        <c:axId val="189452288"/>
      </c:barChart>
      <c:catAx>
        <c:axId val="1894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52288"/>
        <c:crosses val="autoZero"/>
        <c:auto val="1"/>
        <c:lblAlgn val="ctr"/>
        <c:lblOffset val="100"/>
        <c:noMultiLvlLbl val="0"/>
      </c:catAx>
      <c:valAx>
        <c:axId val="18945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3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582784"/>
        <c:axId val="106584320"/>
      </c:barChart>
      <c:catAx>
        <c:axId val="1065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84320"/>
        <c:crosses val="autoZero"/>
        <c:auto val="1"/>
        <c:lblAlgn val="ctr"/>
        <c:lblOffset val="100"/>
        <c:noMultiLvlLbl val="0"/>
      </c:catAx>
      <c:valAx>
        <c:axId val="1065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8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24352"/>
        <c:axId val="194905216"/>
      </c:barChart>
      <c:catAx>
        <c:axId val="19272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05216"/>
        <c:crosses val="autoZero"/>
        <c:auto val="1"/>
        <c:lblAlgn val="ctr"/>
        <c:lblOffset val="100"/>
        <c:noMultiLvlLbl val="0"/>
      </c:catAx>
      <c:valAx>
        <c:axId val="1949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2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977984"/>
        <c:axId val="195979520"/>
      </c:barChart>
      <c:catAx>
        <c:axId val="19597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79520"/>
        <c:crosses val="autoZero"/>
        <c:auto val="1"/>
        <c:lblAlgn val="ctr"/>
        <c:lblOffset val="100"/>
        <c:noMultiLvlLbl val="0"/>
      </c:catAx>
      <c:valAx>
        <c:axId val="1959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7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17344"/>
        <c:axId val="198631424"/>
      </c:barChart>
      <c:catAx>
        <c:axId val="19861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31424"/>
        <c:crosses val="autoZero"/>
        <c:auto val="1"/>
        <c:lblAlgn val="ctr"/>
        <c:lblOffset val="100"/>
        <c:noMultiLvlLbl val="0"/>
      </c:catAx>
      <c:valAx>
        <c:axId val="1986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1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232896"/>
        <c:axId val="199238784"/>
      </c:barChart>
      <c:catAx>
        <c:axId val="1992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38784"/>
        <c:crosses val="autoZero"/>
        <c:auto val="1"/>
        <c:lblAlgn val="ctr"/>
        <c:lblOffset val="100"/>
        <c:noMultiLvlLbl val="0"/>
      </c:catAx>
      <c:valAx>
        <c:axId val="1992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21440"/>
        <c:axId val="200222976"/>
      </c:barChart>
      <c:catAx>
        <c:axId val="20022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22976"/>
        <c:crosses val="autoZero"/>
        <c:auto val="1"/>
        <c:lblAlgn val="ctr"/>
        <c:lblOffset val="100"/>
        <c:noMultiLvlLbl val="0"/>
      </c:catAx>
      <c:valAx>
        <c:axId val="20022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2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054080"/>
        <c:axId val="201055616"/>
      </c:barChart>
      <c:catAx>
        <c:axId val="20105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55616"/>
        <c:crosses val="autoZero"/>
        <c:auto val="1"/>
        <c:lblAlgn val="ctr"/>
        <c:lblOffset val="100"/>
        <c:noMultiLvlLbl val="0"/>
      </c:catAx>
      <c:valAx>
        <c:axId val="20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5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33280"/>
        <c:axId val="206443264"/>
      </c:barChart>
      <c:catAx>
        <c:axId val="20643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43264"/>
        <c:crosses val="autoZero"/>
        <c:auto val="1"/>
        <c:lblAlgn val="ctr"/>
        <c:lblOffset val="100"/>
        <c:noMultiLvlLbl val="0"/>
      </c:catAx>
      <c:valAx>
        <c:axId val="20644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3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327616"/>
        <c:axId val="207329152"/>
      </c:barChart>
      <c:catAx>
        <c:axId val="2073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329152"/>
        <c:crosses val="autoZero"/>
        <c:auto val="1"/>
        <c:lblAlgn val="ctr"/>
        <c:lblOffset val="100"/>
        <c:noMultiLvlLbl val="0"/>
      </c:catAx>
      <c:valAx>
        <c:axId val="2073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32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38048"/>
        <c:axId val="207539584"/>
      </c:barChart>
      <c:catAx>
        <c:axId val="207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39584"/>
        <c:crosses val="autoZero"/>
        <c:auto val="1"/>
        <c:lblAlgn val="ctr"/>
        <c:lblOffset val="100"/>
        <c:noMultiLvlLbl val="0"/>
      </c:catAx>
      <c:valAx>
        <c:axId val="20753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808960"/>
        <c:axId val="208818944"/>
      </c:barChart>
      <c:catAx>
        <c:axId val="2088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818944"/>
        <c:crosses val="autoZero"/>
        <c:auto val="1"/>
        <c:lblAlgn val="ctr"/>
        <c:lblOffset val="100"/>
        <c:noMultiLvlLbl val="0"/>
      </c:catAx>
      <c:valAx>
        <c:axId val="20881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80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189376"/>
        <c:axId val="109199360"/>
      </c:barChart>
      <c:catAx>
        <c:axId val="109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99360"/>
        <c:crosses val="autoZero"/>
        <c:auto val="1"/>
        <c:lblAlgn val="ctr"/>
        <c:lblOffset val="100"/>
        <c:noMultiLvlLbl val="0"/>
      </c:catAx>
      <c:valAx>
        <c:axId val="1091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8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695104"/>
        <c:axId val="209696640"/>
      </c:barChart>
      <c:catAx>
        <c:axId val="2096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696640"/>
        <c:crosses val="autoZero"/>
        <c:auto val="1"/>
        <c:lblAlgn val="ctr"/>
        <c:lblOffset val="100"/>
        <c:noMultiLvlLbl val="0"/>
      </c:catAx>
      <c:valAx>
        <c:axId val="2096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69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322944"/>
        <c:axId val="210324480"/>
      </c:barChart>
      <c:catAx>
        <c:axId val="2103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24480"/>
        <c:crosses val="autoZero"/>
        <c:auto val="1"/>
        <c:lblAlgn val="ctr"/>
        <c:lblOffset val="100"/>
        <c:noMultiLvlLbl val="0"/>
      </c:catAx>
      <c:valAx>
        <c:axId val="2103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2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26208"/>
        <c:axId val="210932096"/>
      </c:barChart>
      <c:catAx>
        <c:axId val="21092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32096"/>
        <c:crosses val="autoZero"/>
        <c:auto val="1"/>
        <c:lblAlgn val="ctr"/>
        <c:lblOffset val="100"/>
        <c:noMultiLvlLbl val="0"/>
      </c:catAx>
      <c:valAx>
        <c:axId val="2109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2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65184"/>
        <c:axId val="211166720"/>
      </c:barChart>
      <c:catAx>
        <c:axId val="2111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66720"/>
        <c:crosses val="autoZero"/>
        <c:auto val="1"/>
        <c:lblAlgn val="ctr"/>
        <c:lblOffset val="100"/>
        <c:noMultiLvlLbl val="0"/>
      </c:catAx>
      <c:valAx>
        <c:axId val="21116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6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272064"/>
        <c:axId val="211273600"/>
      </c:barChart>
      <c:catAx>
        <c:axId val="2112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73600"/>
        <c:crosses val="autoZero"/>
        <c:auto val="1"/>
        <c:lblAlgn val="ctr"/>
        <c:lblOffset val="100"/>
        <c:noMultiLvlLbl val="0"/>
      </c:catAx>
      <c:valAx>
        <c:axId val="2112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7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338176"/>
        <c:axId val="212339712"/>
      </c:barChart>
      <c:catAx>
        <c:axId val="2123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39712"/>
        <c:crosses val="autoZero"/>
        <c:auto val="1"/>
        <c:lblAlgn val="ctr"/>
        <c:lblOffset val="100"/>
        <c:noMultiLvlLbl val="0"/>
      </c:catAx>
      <c:valAx>
        <c:axId val="212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3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826176"/>
        <c:axId val="213836160"/>
      </c:barChart>
      <c:catAx>
        <c:axId val="2138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36160"/>
        <c:crosses val="autoZero"/>
        <c:auto val="1"/>
        <c:lblAlgn val="ctr"/>
        <c:lblOffset val="100"/>
        <c:noMultiLvlLbl val="0"/>
      </c:catAx>
      <c:valAx>
        <c:axId val="21383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2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278144"/>
        <c:axId val="214279680"/>
      </c:barChart>
      <c:catAx>
        <c:axId val="2142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79680"/>
        <c:crosses val="autoZero"/>
        <c:auto val="1"/>
        <c:lblAlgn val="ctr"/>
        <c:lblOffset val="100"/>
        <c:noMultiLvlLbl val="0"/>
      </c:catAx>
      <c:valAx>
        <c:axId val="21427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7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803584"/>
        <c:axId val="214805120"/>
      </c:barChart>
      <c:catAx>
        <c:axId val="214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805120"/>
        <c:crosses val="autoZero"/>
        <c:auto val="1"/>
        <c:lblAlgn val="ctr"/>
        <c:lblOffset val="100"/>
        <c:noMultiLvlLbl val="0"/>
      </c:catAx>
      <c:valAx>
        <c:axId val="21480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80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164480"/>
        <c:axId val="224170368"/>
      </c:barChart>
      <c:catAx>
        <c:axId val="2241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70368"/>
        <c:crosses val="autoZero"/>
        <c:auto val="1"/>
        <c:lblAlgn val="ctr"/>
        <c:lblOffset val="100"/>
        <c:noMultiLvlLbl val="0"/>
      </c:catAx>
      <c:valAx>
        <c:axId val="22417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6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378944"/>
        <c:axId val="109520000"/>
      </c:barChart>
      <c:catAx>
        <c:axId val="1093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20000"/>
        <c:crosses val="autoZero"/>
        <c:auto val="1"/>
        <c:lblAlgn val="ctr"/>
        <c:lblOffset val="100"/>
        <c:noMultiLvlLbl val="0"/>
      </c:catAx>
      <c:valAx>
        <c:axId val="1095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7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96512"/>
        <c:axId val="109698048"/>
      </c:barChart>
      <c:catAx>
        <c:axId val="1096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8048"/>
        <c:crosses val="autoZero"/>
        <c:auto val="1"/>
        <c:lblAlgn val="ctr"/>
        <c:lblOffset val="100"/>
        <c:noMultiLvlLbl val="0"/>
      </c:catAx>
      <c:valAx>
        <c:axId val="10969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64224"/>
        <c:axId val="84566016"/>
      </c:barChart>
      <c:catAx>
        <c:axId val="845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6016"/>
        <c:crosses val="autoZero"/>
        <c:auto val="1"/>
        <c:lblAlgn val="ctr"/>
        <c:lblOffset val="100"/>
        <c:noMultiLvlLbl val="0"/>
      </c:catAx>
      <c:valAx>
        <c:axId val="845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49216"/>
        <c:axId val="109851008"/>
      </c:barChart>
      <c:catAx>
        <c:axId val="1098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51008"/>
        <c:crosses val="autoZero"/>
        <c:auto val="1"/>
        <c:lblAlgn val="ctr"/>
        <c:lblOffset val="100"/>
        <c:noMultiLvlLbl val="0"/>
      </c:catAx>
      <c:valAx>
        <c:axId val="1098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4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76608"/>
        <c:axId val="110278144"/>
      </c:barChart>
      <c:catAx>
        <c:axId val="1102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78144"/>
        <c:crosses val="autoZero"/>
        <c:auto val="1"/>
        <c:lblAlgn val="ctr"/>
        <c:lblOffset val="100"/>
        <c:noMultiLvlLbl val="0"/>
      </c:catAx>
      <c:valAx>
        <c:axId val="1102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7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99008"/>
        <c:axId val="117500544"/>
      </c:barChart>
      <c:catAx>
        <c:axId val="1174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500544"/>
        <c:crosses val="autoZero"/>
        <c:auto val="1"/>
        <c:lblAlgn val="ctr"/>
        <c:lblOffset val="100"/>
        <c:noMultiLvlLbl val="0"/>
      </c:catAx>
      <c:valAx>
        <c:axId val="11750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9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21952"/>
        <c:axId val="84631936"/>
      </c:barChart>
      <c:catAx>
        <c:axId val="846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31936"/>
        <c:crosses val="autoZero"/>
        <c:auto val="1"/>
        <c:lblAlgn val="ctr"/>
        <c:lblOffset val="100"/>
        <c:noMultiLvlLbl val="0"/>
      </c:catAx>
      <c:valAx>
        <c:axId val="8463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2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67232"/>
        <c:axId val="119181312"/>
      </c:barChart>
      <c:catAx>
        <c:axId val="1191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81312"/>
        <c:crosses val="autoZero"/>
        <c:auto val="1"/>
        <c:lblAlgn val="ctr"/>
        <c:lblOffset val="100"/>
        <c:noMultiLvlLbl val="0"/>
      </c:catAx>
      <c:valAx>
        <c:axId val="11918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6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09376"/>
        <c:axId val="119923456"/>
      </c:barChart>
      <c:catAx>
        <c:axId val="1199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23456"/>
        <c:crosses val="autoZero"/>
        <c:auto val="1"/>
        <c:lblAlgn val="ctr"/>
        <c:lblOffset val="100"/>
        <c:noMultiLvlLbl val="0"/>
      </c:catAx>
      <c:valAx>
        <c:axId val="1199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0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27872"/>
        <c:axId val="120129408"/>
      </c:barChart>
      <c:catAx>
        <c:axId val="1201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29408"/>
        <c:crosses val="autoZero"/>
        <c:auto val="1"/>
        <c:lblAlgn val="ctr"/>
        <c:lblOffset val="100"/>
        <c:noMultiLvlLbl val="0"/>
      </c:catAx>
      <c:valAx>
        <c:axId val="1201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2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76096"/>
        <c:axId val="120277632"/>
      </c:barChart>
      <c:catAx>
        <c:axId val="1202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77632"/>
        <c:crosses val="autoZero"/>
        <c:auto val="1"/>
        <c:lblAlgn val="ctr"/>
        <c:lblOffset val="100"/>
        <c:noMultiLvlLbl val="0"/>
      </c:catAx>
      <c:valAx>
        <c:axId val="12027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7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66368"/>
        <c:axId val="120684544"/>
      </c:barChart>
      <c:catAx>
        <c:axId val="12066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84544"/>
        <c:crosses val="autoZero"/>
        <c:auto val="1"/>
        <c:lblAlgn val="ctr"/>
        <c:lblOffset val="100"/>
        <c:noMultiLvlLbl val="0"/>
      </c:catAx>
      <c:valAx>
        <c:axId val="12068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6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30304"/>
        <c:axId val="120931840"/>
      </c:barChart>
      <c:catAx>
        <c:axId val="1209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31840"/>
        <c:crosses val="autoZero"/>
        <c:auto val="1"/>
        <c:lblAlgn val="ctr"/>
        <c:lblOffset val="100"/>
        <c:noMultiLvlLbl val="0"/>
      </c:catAx>
      <c:valAx>
        <c:axId val="1209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67328"/>
        <c:axId val="121268864"/>
      </c:barChart>
      <c:catAx>
        <c:axId val="1212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68864"/>
        <c:crosses val="autoZero"/>
        <c:auto val="1"/>
        <c:lblAlgn val="ctr"/>
        <c:lblOffset val="100"/>
        <c:noMultiLvlLbl val="0"/>
      </c:catAx>
      <c:valAx>
        <c:axId val="12126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6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15648"/>
        <c:axId val="121925632"/>
      </c:barChart>
      <c:catAx>
        <c:axId val="1219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25632"/>
        <c:crosses val="autoZero"/>
        <c:auto val="1"/>
        <c:lblAlgn val="ctr"/>
        <c:lblOffset val="100"/>
        <c:noMultiLvlLbl val="0"/>
      </c:catAx>
      <c:valAx>
        <c:axId val="12192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1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014336"/>
        <c:axId val="122024320"/>
      </c:barChart>
      <c:catAx>
        <c:axId val="1220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24320"/>
        <c:crosses val="autoZero"/>
        <c:auto val="1"/>
        <c:lblAlgn val="ctr"/>
        <c:lblOffset val="100"/>
        <c:noMultiLvlLbl val="0"/>
      </c:catAx>
      <c:valAx>
        <c:axId val="12202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1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507648"/>
        <c:axId val="122509184"/>
      </c:barChart>
      <c:catAx>
        <c:axId val="1225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09184"/>
        <c:crosses val="autoZero"/>
        <c:auto val="1"/>
        <c:lblAlgn val="ctr"/>
        <c:lblOffset val="100"/>
        <c:noMultiLvlLbl val="0"/>
      </c:catAx>
      <c:valAx>
        <c:axId val="12250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0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04512"/>
        <c:axId val="123506048"/>
      </c:barChart>
      <c:catAx>
        <c:axId val="1235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06048"/>
        <c:crosses val="autoZero"/>
        <c:auto val="1"/>
        <c:lblAlgn val="ctr"/>
        <c:lblOffset val="100"/>
        <c:noMultiLvlLbl val="0"/>
      </c:catAx>
      <c:valAx>
        <c:axId val="12350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0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05664"/>
        <c:axId val="84707200"/>
      </c:barChart>
      <c:catAx>
        <c:axId val="847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7200"/>
        <c:crosses val="autoZero"/>
        <c:auto val="1"/>
        <c:lblAlgn val="ctr"/>
        <c:lblOffset val="100"/>
        <c:noMultiLvlLbl val="0"/>
      </c:catAx>
      <c:valAx>
        <c:axId val="847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69888"/>
        <c:axId val="123675776"/>
      </c:barChart>
      <c:catAx>
        <c:axId val="1236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5776"/>
        <c:crosses val="autoZero"/>
        <c:auto val="1"/>
        <c:lblAlgn val="ctr"/>
        <c:lblOffset val="100"/>
        <c:noMultiLvlLbl val="0"/>
      </c:catAx>
      <c:valAx>
        <c:axId val="12367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6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076800"/>
        <c:axId val="124078336"/>
      </c:barChart>
      <c:catAx>
        <c:axId val="1240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78336"/>
        <c:crosses val="autoZero"/>
        <c:auto val="1"/>
        <c:lblAlgn val="ctr"/>
        <c:lblOffset val="100"/>
        <c:noMultiLvlLbl val="0"/>
      </c:catAx>
      <c:valAx>
        <c:axId val="12407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7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315904"/>
        <c:axId val="124456960"/>
      </c:barChart>
      <c:catAx>
        <c:axId val="1243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6960"/>
        <c:crosses val="autoZero"/>
        <c:auto val="1"/>
        <c:lblAlgn val="ctr"/>
        <c:lblOffset val="100"/>
        <c:noMultiLvlLbl val="0"/>
      </c:catAx>
      <c:valAx>
        <c:axId val="12445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1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579840"/>
        <c:axId val="124581376"/>
      </c:barChart>
      <c:catAx>
        <c:axId val="1245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81376"/>
        <c:crosses val="autoZero"/>
        <c:auto val="1"/>
        <c:lblAlgn val="ctr"/>
        <c:lblOffset val="100"/>
        <c:noMultiLvlLbl val="0"/>
      </c:catAx>
      <c:valAx>
        <c:axId val="12458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7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269504"/>
        <c:axId val="125271040"/>
      </c:barChart>
      <c:catAx>
        <c:axId val="1252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71040"/>
        <c:crosses val="autoZero"/>
        <c:auto val="1"/>
        <c:lblAlgn val="ctr"/>
        <c:lblOffset val="100"/>
        <c:noMultiLvlLbl val="0"/>
      </c:catAx>
      <c:valAx>
        <c:axId val="12527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6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770368"/>
        <c:axId val="125776256"/>
      </c:barChart>
      <c:catAx>
        <c:axId val="1257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76256"/>
        <c:crosses val="autoZero"/>
        <c:auto val="1"/>
        <c:lblAlgn val="ctr"/>
        <c:lblOffset val="100"/>
        <c:noMultiLvlLbl val="0"/>
      </c:catAx>
      <c:valAx>
        <c:axId val="12577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7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898112"/>
        <c:axId val="125899904"/>
      </c:barChart>
      <c:catAx>
        <c:axId val="1258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99904"/>
        <c:crosses val="autoZero"/>
        <c:auto val="1"/>
        <c:lblAlgn val="ctr"/>
        <c:lblOffset val="100"/>
        <c:noMultiLvlLbl val="0"/>
      </c:catAx>
      <c:valAx>
        <c:axId val="12589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9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493440"/>
        <c:axId val="126494976"/>
      </c:barChart>
      <c:catAx>
        <c:axId val="1264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94976"/>
        <c:crosses val="autoZero"/>
        <c:auto val="1"/>
        <c:lblAlgn val="ctr"/>
        <c:lblOffset val="100"/>
        <c:noMultiLvlLbl val="0"/>
      </c:catAx>
      <c:valAx>
        <c:axId val="12649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9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7</v>
      </c>
      <c r="C15" s="57">
        <v>10</v>
      </c>
      <c r="D15" s="58">
        <f>ROUND(B15/C15*100,3)</f>
        <v>70</v>
      </c>
    </row>
    <row r="16" spans="1:13" x14ac:dyDescent="0.2">
      <c r="A16" s="59" t="s">
        <v>17</v>
      </c>
      <c r="B16" s="57">
        <f>COUNTIF(Resp4[Vínculo],A16)</f>
        <v>0</v>
      </c>
      <c r="C16" s="57">
        <v>0</v>
      </c>
      <c r="D16" s="58" t="e">
        <f t="shared" ref="D16:D17" si="0">ROUND(B16/C16*100,3)</f>
        <v>#DIV/0!</v>
      </c>
    </row>
    <row r="17" spans="1:10" x14ac:dyDescent="0.2">
      <c r="A17" s="60" t="s">
        <v>18</v>
      </c>
      <c r="B17" s="57">
        <f>SUM(B15:B16)</f>
        <v>7</v>
      </c>
      <c r="C17" s="57">
        <f>SUM(C15:C16)</f>
        <v>10</v>
      </c>
      <c r="D17" s="58">
        <f t="shared" si="0"/>
        <v>70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489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COUNTIFS(Resp4[Vínculo],"tecnico",Resp4[4.04],B9)</f>
        <v>0</v>
      </c>
      <c r="D9" s="4">
        <f>COUNTIFS(Resp4[Vínculo],"docente",Resp4[4.04],B9)</f>
        <v>0</v>
      </c>
      <c r="E9" s="4">
        <f>COUNTIF(Resp4[4.04],B9)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0</v>
      </c>
      <c r="E10" s="4">
        <f>COUNTIF(Resp4[4.04],B10)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COUNTIFS(Resp4[Vínculo],"tecnico",Resp4[4.04],B11)</f>
        <v>0</v>
      </c>
      <c r="D11" s="4">
        <f>COUNTIFS(Resp4[Vínculo],"docente",Resp4[4.04],B11)</f>
        <v>0</v>
      </c>
      <c r="E11" s="4">
        <f>COUNTIF(Resp4[4.04],B11)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COUNTIFS(Resp4[Vínculo],"tecnico",Resp4[4.04],B12)</f>
        <v>1</v>
      </c>
      <c r="D12" s="4">
        <f>COUNTIFS(Resp4[Vínculo],"docente",Resp4[4.04],B12)</f>
        <v>0</v>
      </c>
      <c r="E12" s="4">
        <f>COUNTIF(Resp4[4.04],B12)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489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0</v>
      </c>
      <c r="E10" s="4">
        <f>COUNTIF(Resp4[4.103],B10)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COUNTIFS(Resp4[Vínculo],"tecnico",Resp4[4.103],B11)</f>
        <v>0</v>
      </c>
      <c r="D11" s="4">
        <f>COUNTIFS(Resp4[Vínculo],"docente",Resp4[4.103],B11)</f>
        <v>0</v>
      </c>
      <c r="E11" s="4">
        <f>COUNTIF(Resp4[4.103],B11)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COUNTIFS(Resp4[Vínculo],"tecnico",Resp4[4.103],B12)</f>
        <v>0</v>
      </c>
      <c r="D12" s="4">
        <f>COUNTIFS(Resp4[Vínculo],"docente",Resp4[4.103],B12)</f>
        <v>0</v>
      </c>
      <c r="E12" s="4">
        <f>COUNTIF(Resp4[4.103],B12)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489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COUNTIFS(Resp4[Vínculo],"tecnico",Resp4[4.104],B7)</f>
        <v>0</v>
      </c>
      <c r="D7" s="4">
        <f>COUNTIFS(Resp4[Vínculo],"docente",Resp4[4.104],B7)</f>
        <v>0</v>
      </c>
      <c r="E7" s="4">
        <f>COUNTIF(Resp4[4.104],B7)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0</v>
      </c>
      <c r="E10" s="4">
        <f>COUNTIF(Resp4[4.104],B10)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COUNTIFS(Resp4[Vínculo],"tecnico",Resp4[4.104],B11)</f>
        <v>0</v>
      </c>
      <c r="D11" s="4">
        <f>COUNTIFS(Resp4[Vínculo],"docente",Resp4[4.104],B11)</f>
        <v>0</v>
      </c>
      <c r="E11" s="4">
        <f>COUNTIF(Resp4[4.104],B11)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COUNTIFS(Resp4[Vínculo],"tecnico",Resp4[4.104],B12)</f>
        <v>0</v>
      </c>
      <c r="D12" s="4">
        <f>COUNTIFS(Resp4[Vínculo],"docente",Resp4[4.104],B12)</f>
        <v>0</v>
      </c>
      <c r="E12" s="4">
        <f>COUNTIF(Resp4[4.104],B12)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489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COUNTIFS(Resp4[Vínculo],"tecnico",Resp4[4.105],B7)</f>
        <v>0</v>
      </c>
      <c r="D7" s="4">
        <f>COUNTIFS(Resp4[Vínculo],"docente",Resp4[4.105],B7)</f>
        <v>0</v>
      </c>
      <c r="E7" s="4">
        <f>COUNTIF(Resp4[4.105],B7)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0</v>
      </c>
      <c r="E10" s="4">
        <f>COUNTIF(Resp4[4.105],B10)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COUNTIFS(Resp4[Vínculo],"tecnico",Resp4[4.105],B11)</f>
        <v>0</v>
      </c>
      <c r="D11" s="4">
        <f>COUNTIFS(Resp4[Vínculo],"docente",Resp4[4.105],B11)</f>
        <v>0</v>
      </c>
      <c r="E11" s="4">
        <f>COUNTIF(Resp4[4.105],B11)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COUNTIFS(Resp4[Vínculo],"tecnico",Resp4[4.105],B12)</f>
        <v>0</v>
      </c>
      <c r="D12" s="4">
        <f>COUNTIFS(Resp4[Vínculo],"docente",Resp4[4.105],B12)</f>
        <v>0</v>
      </c>
      <c r="E12" s="4">
        <f>COUNTIF(Resp4[4.105],B12)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489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COUNTIFS(Resp4[Vínculo],"tecnico",Resp4[4.106],B7)</f>
        <v>0</v>
      </c>
      <c r="D7" s="4">
        <f>COUNTIFS(Resp4[Vínculo],"docente",Resp4[4.106],B7)</f>
        <v>0</v>
      </c>
      <c r="E7" s="4">
        <f>COUNTIF(Resp4[4.106],B7)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COUNTIFS(Resp4[Vínculo],"tecnico",Resp4[4.106],B9)</f>
        <v>0</v>
      </c>
      <c r="D9" s="4">
        <f>COUNTIFS(Resp4[Vínculo],"docente",Resp4[4.106],B9)</f>
        <v>0</v>
      </c>
      <c r="E9" s="4">
        <f>COUNTIF(Resp4[4.106],B9)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COUNTIFS(Resp4[Vínculo],"tecnico",Resp4[4.106],B11)</f>
        <v>0</v>
      </c>
      <c r="D11" s="4">
        <f>COUNTIFS(Resp4[Vínculo],"docente",Resp4[4.106],B11)</f>
        <v>0</v>
      </c>
      <c r="E11" s="4">
        <f>COUNTIF(Resp4[4.106],B11)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COUNTIFS(Resp4[Vínculo],"tecnico",Resp4[4.106],B12)</f>
        <v>0</v>
      </c>
      <c r="D12" s="4">
        <f>COUNTIFS(Resp4[Vínculo],"docente",Resp4[4.106],B12)</f>
        <v>0</v>
      </c>
      <c r="E12" s="4">
        <f>COUNTIF(Resp4[4.106],B12)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489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COUNTIFS(Resp4[Vínculo],"tecnico",Resp4[4.107],B7)</f>
        <v>0</v>
      </c>
      <c r="D7" s="4">
        <f>COUNTIFS(Resp4[Vínculo],"docente",Resp4[4.107],B7)</f>
        <v>0</v>
      </c>
      <c r="E7" s="4">
        <f>COUNTIF(Resp4[4.107],B7)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COUNTIFS(Resp4[Vínculo],"tecnico",Resp4[4.107],B9)</f>
        <v>0</v>
      </c>
      <c r="D9" s="4">
        <f>COUNTIFS(Resp4[Vínculo],"docente",Resp4[4.107],B9)</f>
        <v>0</v>
      </c>
      <c r="E9" s="4">
        <f>COUNTIF(Resp4[4.107],B9)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COUNTIFS(Resp4[Vínculo],"tecnico",Resp4[4.107],B11)</f>
        <v>0</v>
      </c>
      <c r="D11" s="4">
        <f>COUNTIFS(Resp4[Vínculo],"docente",Resp4[4.107],B11)</f>
        <v>0</v>
      </c>
      <c r="E11" s="4">
        <f>COUNTIF(Resp4[4.107],B11)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COUNTIFS(Resp4[Vínculo],"tecnico",Resp4[4.107],B12)</f>
        <v>0</v>
      </c>
      <c r="D12" s="4">
        <f>COUNTIFS(Resp4[Vínculo],"docente",Resp4[4.107],B12)</f>
        <v>0</v>
      </c>
      <c r="E12" s="4">
        <f>COUNTIF(Resp4[4.107],B12)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489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COUNTIFS(Resp4[Vínculo],"tecnico",Resp4[4.108],B7)</f>
        <v>0</v>
      </c>
      <c r="D7" s="4">
        <f>COUNTIFS(Resp4[Vínculo],"docente",Resp4[4.108],B7)</f>
        <v>0</v>
      </c>
      <c r="E7" s="4">
        <f>COUNTIF(Resp4[4.108],B7)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0</v>
      </c>
      <c r="E10" s="4">
        <f>COUNTIF(Resp4[4.108],B10)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COUNTIFS(Resp4[Vínculo],"tecnico",Resp4[4.108],B11)</f>
        <v>0</v>
      </c>
      <c r="D11" s="4">
        <f>COUNTIFS(Resp4[Vínculo],"docente",Resp4[4.108],B11)</f>
        <v>0</v>
      </c>
      <c r="E11" s="4">
        <f>COUNTIF(Resp4[4.108],B11)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COUNTIFS(Resp4[Vínculo],"tecnico",Resp4[4.108],B12)</f>
        <v>0</v>
      </c>
      <c r="D12" s="4">
        <f>COUNTIFS(Resp4[Vínculo],"docente",Resp4[4.108],B12)</f>
        <v>0</v>
      </c>
      <c r="E12" s="4">
        <f>COUNTIF(Resp4[4.108],B12)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489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COUNTIFS(Resp4[Vínculo],"tecnico",Resp4[4.109],B7)</f>
        <v>0</v>
      </c>
      <c r="D7" s="4">
        <f>COUNTIFS(Resp4[Vínculo],"docente",Resp4[4.109],B7)</f>
        <v>0</v>
      </c>
      <c r="E7" s="4">
        <f>COUNTIF(Resp4[4.109],B7)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0</v>
      </c>
      <c r="E10" s="4">
        <f>COUNTIF(Resp4[4.109],B10)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COUNTIFS(Resp4[Vínculo],"tecnico",Resp4[4.109],B11)</f>
        <v>0</v>
      </c>
      <c r="D11" s="4">
        <f>COUNTIFS(Resp4[Vínculo],"docente",Resp4[4.109],B11)</f>
        <v>0</v>
      </c>
      <c r="E11" s="4">
        <f>COUNTIF(Resp4[4.109],B11)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COUNTIFS(Resp4[Vínculo],"tecnico",Resp4[4.109],B12)</f>
        <v>0</v>
      </c>
      <c r="D12" s="4">
        <f>COUNTIFS(Resp4[Vínculo],"docente",Resp4[4.109],B12)</f>
        <v>0</v>
      </c>
      <c r="E12" s="4">
        <f>COUNTIF(Resp4[4.109],B12)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489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COUNTIFS(Resp4[Vínculo],"tecnico",Resp4[4.110],B7)</f>
        <v>0</v>
      </c>
      <c r="D7" s="4">
        <f>COUNTIFS(Resp4[Vínculo],"docente",Resp4[4.110],B7)</f>
        <v>0</v>
      </c>
      <c r="E7" s="4">
        <f>COUNTIF(Resp4[4.110],B7)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0</v>
      </c>
      <c r="E10" s="4">
        <f>COUNTIF(Resp4[4.110],B10)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COUNTIFS(Resp4[Vínculo],"tecnico",Resp4[4.110],B11)</f>
        <v>0</v>
      </c>
      <c r="D11" s="4">
        <f>COUNTIFS(Resp4[Vínculo],"docente",Resp4[4.110],B11)</f>
        <v>0</v>
      </c>
      <c r="E11" s="4">
        <f>COUNTIF(Resp4[4.110],B11)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COUNTIFS(Resp4[Vínculo],"tecnico",Resp4[4.110],B12)</f>
        <v>0</v>
      </c>
      <c r="D12" s="4">
        <f>COUNTIFS(Resp4[Vínculo],"docente",Resp4[4.110],B12)</f>
        <v>0</v>
      </c>
      <c r="E12" s="4">
        <f>COUNTIF(Resp4[4.110],B12)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489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COUNTIFS(Resp4[Vínculo],"tecnico",Resp4[4.111],B7)</f>
        <v>0</v>
      </c>
      <c r="D7" s="4">
        <f>COUNTIFS(Resp4[Vínculo],"docente",Resp4[4.111],B7)</f>
        <v>0</v>
      </c>
      <c r="E7" s="4">
        <f>COUNTIF(Resp4[4.111],B7)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0</v>
      </c>
      <c r="E10" s="4">
        <f>COUNTIF(Resp4[4.111],B10)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COUNTIFS(Resp4[Vínculo],"tecnico",Resp4[4.111],B11)</f>
        <v>0</v>
      </c>
      <c r="D11" s="4">
        <f>COUNTIFS(Resp4[Vínculo],"docente",Resp4[4.111],B11)</f>
        <v>0</v>
      </c>
      <c r="E11" s="4">
        <f>COUNTIF(Resp4[4.111],B11)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COUNTIFS(Resp4[Vínculo],"tecnico",Resp4[4.111],B12)</f>
        <v>0</v>
      </c>
      <c r="D12" s="4">
        <f>COUNTIFS(Resp4[Vínculo],"docente",Resp4[4.111],B12)</f>
        <v>0</v>
      </c>
      <c r="E12" s="4">
        <f>COUNTIF(Resp4[4.111],B12)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489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COUNTIFS(Resp4[Vínculo],"tecnico",Resp4[4.112],B7)</f>
        <v>0</v>
      </c>
      <c r="D7" s="4">
        <f>COUNTIFS(Resp4[Vínculo],"docente",Resp4[4.112],B7)</f>
        <v>0</v>
      </c>
      <c r="E7" s="4">
        <f>COUNTIF(Resp4[4.112],B7)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0</v>
      </c>
      <c r="E10" s="4">
        <f>COUNTIF(Resp4[4.112],B10)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COUNTIFS(Resp4[Vínculo],"tecnico",Resp4[4.112],B11)</f>
        <v>0</v>
      </c>
      <c r="D11" s="4">
        <f>COUNTIFS(Resp4[Vínculo],"docente",Resp4[4.112],B11)</f>
        <v>0</v>
      </c>
      <c r="E11" s="4">
        <f>COUNTIF(Resp4[4.112],B11)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COUNTIFS(Resp4[Vínculo],"tecnico",Resp4[4.112],B12)</f>
        <v>0</v>
      </c>
      <c r="D12" s="4">
        <f>COUNTIFS(Resp4[Vínculo],"docente",Resp4[4.112],B12)</f>
        <v>0</v>
      </c>
      <c r="E12" s="4">
        <f>COUNTIF(Resp4[4.112],B12)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489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COUNTIFS(Resp4[Vínculo],"tecnico",Resp4[4.05],B7)</f>
        <v>0</v>
      </c>
      <c r="D7" s="4">
        <f>COUNTIFS(Resp4[Vínculo],"docente",Resp4[4.05],B7)</f>
        <v>0</v>
      </c>
      <c r="E7" s="4">
        <f>COUNTIF(Resp4[4.05],B7)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0</v>
      </c>
      <c r="E10" s="4">
        <f>COUNTIF(Resp4[4.05],B10)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COUNTIFS(Resp4[Vínculo],"tecnico",Resp4[4.02],B$11)</f>
        <v>0</v>
      </c>
      <c r="D11" s="4">
        <f>COUNTIFS(Resp4[Vínculo],"docente",Resp4[4.05],B11)</f>
        <v>0</v>
      </c>
      <c r="E11" s="4">
        <f>COUNTIF(Resp4[4.05],B11)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COUNTIFS(Resp4[Vínculo],"tecnico",Resp4[4.02],B$12)</f>
        <v>1</v>
      </c>
      <c r="D12" s="4">
        <f>COUNTIFS(Resp4[Vínculo],"docente",Resp4[4.05],B12)</f>
        <v>0</v>
      </c>
      <c r="E12" s="4">
        <f>COUNTIF(Resp4[4.05],B12)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0</v>
      </c>
      <c r="D7" s="4">
        <f>COUNTIFS(Resp4[Vínculo],"docente",Resp4[4.114],B7)</f>
        <v>0</v>
      </c>
      <c r="E7" s="2">
        <f>COUNTIF(Resp4[4.114],B7)</f>
        <v>0</v>
      </c>
      <c r="F7" s="15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7</v>
      </c>
      <c r="D8" s="4">
        <f>COUNTIFS(Resp4[Vínculo],"docente",Resp4[4.114],B8)</f>
        <v>0</v>
      </c>
      <c r="E8" s="2">
        <f>COUNTIF(Resp4[4.114],B8)</f>
        <v>7</v>
      </c>
      <c r="F8" s="19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489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489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489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489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489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COUNTIFS(Resp4[Vínculo],"tecnico",Resp4[4.119],B11)</f>
        <v>0</v>
      </c>
      <c r="D11" s="4">
        <f>COUNTIFS(Resp4[Vínculo],"docente",Resp4[4.119],B11)</f>
        <v>0</v>
      </c>
      <c r="E11" s="4">
        <f>COUNTIF(Resp4[4.119],B11)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COUNTIFS(Resp4[Vínculo],"tecnico",Resp4[4.119],B12)</f>
        <v>0</v>
      </c>
      <c r="D12" s="4">
        <f>COUNTIFS(Resp4[Vínculo],"docente",Resp4[4.119],B12)</f>
        <v>0</v>
      </c>
      <c r="E12" s="4">
        <f>COUNTIF(Resp4[4.119],B12)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489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COUNTIFS(Resp4[Vínculo],"tecnico",Resp4[4.120],B11)</f>
        <v>0</v>
      </c>
      <c r="D11" s="4">
        <f>COUNTIFS(Resp4[Vínculo],"docente",Resp4[4.120],B11)</f>
        <v>0</v>
      </c>
      <c r="E11" s="4">
        <f>COUNTIF(Resp4[4.120],B11)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COUNTIFS(Resp4[Vínculo],"tecnico",Resp4[4.120],B12)</f>
        <v>0</v>
      </c>
      <c r="D12" s="4">
        <f>COUNTIFS(Resp4[Vínculo],"docente",Resp4[4.120],B12)</f>
        <v>0</v>
      </c>
      <c r="E12" s="4">
        <f>COUNTIF(Resp4[4.120],B12)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489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489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COUNTIFS(Resp4[Vínculo],"tecnico",Resp4[4.122],B11)</f>
        <v>0</v>
      </c>
      <c r="D11" s="4">
        <f>COUNTIFS(Resp4[Vínculo],"docente",Resp4[4.122],B11)</f>
        <v>0</v>
      </c>
      <c r="E11" s="4">
        <f>COUNTIF(Resp4[4.122],B11)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COUNTIFS(Resp4[Vínculo],"tecnico",Resp4[4.122],B12)</f>
        <v>0</v>
      </c>
      <c r="D12" s="4">
        <f>COUNTIFS(Resp4[Vínculo],"docente",Resp4[4.122],B12)</f>
        <v>0</v>
      </c>
      <c r="E12" s="4">
        <f>COUNTIF(Resp4[4.122],B12)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489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489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COUNTIFS(Resp4[Vínculo],"tecnico",Resp4[4.06],B7)</f>
        <v>0</v>
      </c>
      <c r="D7" s="4">
        <f>COUNTIFS(Resp4[Vínculo],"docente",Resp4[4.06],B7)</f>
        <v>0</v>
      </c>
      <c r="E7" s="4">
        <f>COUNTIF(Resp4[4.06],B7)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0</v>
      </c>
      <c r="E10" s="4">
        <f>COUNTIF(Resp4[4.06],B10)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COUNTIFS(Resp4[Vínculo],"tecnico",Resp4[4.06],B11)</f>
        <v>0</v>
      </c>
      <c r="D11" s="4">
        <f>COUNTIFS(Resp4[Vínculo],"docente",Resp4[4.06],B11)</f>
        <v>0</v>
      </c>
      <c r="E11" s="4">
        <f>COUNTIF(Resp4[4.06],B11)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COUNTIFS(Resp4[Vínculo],"tecnico",Resp4[4.06],B12)</f>
        <v>1</v>
      </c>
      <c r="D12" s="4">
        <f>COUNTIFS(Resp4[Vínculo],"docente",Resp4[4.06],B12)</f>
        <v>0</v>
      </c>
      <c r="E12" s="4">
        <f>COUNTIF(Resp4[4.06],B12)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489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COUNTIFS(Resp4[Vínculo],"tecnico",Resp4[4.124],B11)</f>
        <v>0</v>
      </c>
      <c r="D11" s="4">
        <f>COUNTIFS(Resp4[Vínculo],"docente",Resp4[4.124],B11)</f>
        <v>0</v>
      </c>
      <c r="E11" s="4">
        <f>COUNTIF(Resp4[4.124],B11)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489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COUNTIFS(Resp4[Vínculo],"tecnico",Resp4[4.125],B12)</f>
        <v>0</v>
      </c>
      <c r="D12" s="4">
        <f>COUNTIFS(Resp4[Vínculo],"docente",Resp4[4.125],B12)</f>
        <v>0</v>
      </c>
      <c r="E12" s="4">
        <f>COUNTIF(Resp4[4.125],B12)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489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COUNTIFS(Resp4[Vínculo],"tecnico",Resp4[4.126],B12)</f>
        <v>0</v>
      </c>
      <c r="D12" s="4">
        <f>COUNTIFS(Resp4[Vínculo],"docente",Resp4[4.126],B12)</f>
        <v>0</v>
      </c>
      <c r="E12" s="4">
        <f>COUNTIF(Resp4[4.126],B12)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489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489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0</v>
      </c>
      <c r="D7" s="4">
        <f>COUNTIFS(Resp4[Vínculo],"docente",Resp4[4.130],B7)</f>
        <v>0</v>
      </c>
      <c r="E7" s="2">
        <f>COUNTIF(Resp4[4.130],B7)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7</v>
      </c>
      <c r="D8" s="4">
        <f>COUNTIFS(Resp4[Vínculo],"docente",Resp4[4.130],B8)</f>
        <v>0</v>
      </c>
      <c r="E8" s="2">
        <f>COUNTIF(Resp4[4.130],B8)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489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COUNTIFS(Resp4[Vínculo],"tecnico",Resp4[4.131],B7)</f>
        <v>0</v>
      </c>
      <c r="D7" s="4">
        <f>COUNTIFS(Resp4[Vínculo],"docente",Resp4[4.131],B7)</f>
        <v>0</v>
      </c>
      <c r="E7" s="4">
        <f>COUNTIF(Resp4[4.131],B7)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COUNTIFS(Resp4[Vínculo],"tecnico",Resp4[4.131],B8)</f>
        <v>0</v>
      </c>
      <c r="D8" s="4">
        <f>COUNTIFS(Resp4[Vínculo],"docente",Resp4[4.131],B8)</f>
        <v>0</v>
      </c>
      <c r="E8" s="4">
        <f>COUNTIF(Resp4[4.131],B8)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0</v>
      </c>
      <c r="E10" s="4">
        <f>COUNTIF(Resp4[4.131],B10)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COUNTIFS(Resp4[Vínculo],"tecnico",Resp4[4.131],B11)</f>
        <v>0</v>
      </c>
      <c r="D11" s="4">
        <f>COUNTIFS(Resp4[Vínculo],"docente",Resp4[4.131],B11)</f>
        <v>0</v>
      </c>
      <c r="E11" s="4">
        <f>COUNTIF(Resp4[4.131],B11)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489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COUNTIFS(Resp4[Vínculo],"tecnico",Resp4[4.132],B7)</f>
        <v>0</v>
      </c>
      <c r="D7" s="4">
        <f>COUNTIFS(Resp4[Vínculo],"docente",Resp4[4.132],B7)</f>
        <v>0</v>
      </c>
      <c r="E7" s="4">
        <f>COUNTIF(Resp4[4.132],B7)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COUNTIFS(Resp4[Vínculo],"tecnico",Resp4[4.132],B8)</f>
        <v>0</v>
      </c>
      <c r="D8" s="4">
        <f>COUNTIFS(Resp4[Vínculo],"docente",Resp4[4.132],B8)</f>
        <v>0</v>
      </c>
      <c r="E8" s="4">
        <f>COUNTIF(Resp4[4.132],B8)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COUNTIFS(Resp4[Vínculo],"tecnico",Resp4[4.132],B9)</f>
        <v>0</v>
      </c>
      <c r="D9" s="4">
        <f>COUNTIFS(Resp4[Vínculo],"docente",Resp4[4.132],B9)</f>
        <v>0</v>
      </c>
      <c r="E9" s="4">
        <f>COUNTIF(Resp4[4.132],B9)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0</v>
      </c>
      <c r="E10" s="4">
        <f>COUNTIF(Resp4[4.132],B10)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COUNTIFS(Resp4[Vínculo],"tecnico",Resp4[4.132],B12)</f>
        <v>0</v>
      </c>
      <c r="D12" s="4">
        <f>COUNTIFS(Resp4[Vínculo],"docente",Resp4[4.132],B12)</f>
        <v>0</v>
      </c>
      <c r="E12" s="4">
        <f>COUNTIF(Resp4[4.132],B12)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489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COUNTIFS(Resp4[Vínculo],"tecnico",Resp4[4.133],B7)</f>
        <v>0</v>
      </c>
      <c r="D7" s="4">
        <f>COUNTIFS(Resp4[Vínculo],"docente",Resp4[4.133],B7)</f>
        <v>0</v>
      </c>
      <c r="E7" s="4">
        <f>COUNTIF(Resp4[4.133],B7)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0</v>
      </c>
      <c r="E10" s="4">
        <f>COUNTIF(Resp4[4.133],B10)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COUNTIFS(Resp4[Vínculo],"tecnico",Resp4[4.133],B12)</f>
        <v>0</v>
      </c>
      <c r="D12" s="4">
        <f>COUNTIFS(Resp4[Vínculo],"docente",Resp4[4.133],B12)</f>
        <v>0</v>
      </c>
      <c r="E12" s="4">
        <f>COUNTIF(Resp4[4.133],B12)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489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COUNTIFS(Resp4[Vínculo],"tecnico",Resp4[4.134],B9)</f>
        <v>0</v>
      </c>
      <c r="D9" s="4">
        <f>COUNTIFS(Resp4[Vínculo],"docente",Resp4[4.134],B9)</f>
        <v>0</v>
      </c>
      <c r="E9" s="4">
        <f>COUNTIF(Resp4[4.134],B9)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0</v>
      </c>
      <c r="E10" s="4">
        <f>COUNTIF(Resp4[4.134],B10)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COUNTIFS(Resp4[Vínculo],"tecnico",Resp4[4.134],B11)</f>
        <v>0</v>
      </c>
      <c r="D11" s="4">
        <f>COUNTIFS(Resp4[Vínculo],"docente",Resp4[4.134],B11)</f>
        <v>0</v>
      </c>
      <c r="E11" s="4">
        <f>COUNTIF(Resp4[4.134],B11)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COUNTIFS(Resp4[Vínculo],"tecnico",Resp4[4.134],B12)</f>
        <v>0</v>
      </c>
      <c r="D12" s="4">
        <f>COUNTIFS(Resp4[Vínculo],"docente",Resp4[4.134],B12)</f>
        <v>0</v>
      </c>
      <c r="E12" s="4">
        <f>COUNTIF(Resp4[4.134],B12)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>ROUND($E13/E$13*100,2)</f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489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COUNTIFS(Resp4[Vínculo],"tecnico",Resp4[4.07],B9)</f>
        <v>0</v>
      </c>
      <c r="D9" s="4">
        <f>COUNTIFS(Resp4[Vínculo],"docente",Resp4[4.07],B9)</f>
        <v>0</v>
      </c>
      <c r="E9" s="4">
        <f>COUNTIF(Resp4[4.07],B9)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COUNTIFS(Resp4[Vínculo],"tecnico",Resp4[4.07],B11)</f>
        <v>1</v>
      </c>
      <c r="D11" s="4">
        <f>COUNTIFS(Resp4[Vínculo],"docente",Resp4[4.07],B11)</f>
        <v>0</v>
      </c>
      <c r="E11" s="4">
        <f>COUNTIF(Resp4[4.07],B11)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COUNTIFS(Resp4[Vínculo],"tecnico",Resp4[4.07],B12)</f>
        <v>0</v>
      </c>
      <c r="D12" s="4">
        <f>COUNTIFS(Resp4[Vínculo],"docente",Resp4[4.07],B12)</f>
        <v>0</v>
      </c>
      <c r="E12" s="4">
        <f>COUNTIF(Resp4[4.07],B12)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489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0</v>
      </c>
      <c r="E10" s="4">
        <f>COUNTIF(Resp4[4.135],B10)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COUNTIFS(Resp4[Vínculo],"tecnico",Resp4[4.135],B11)</f>
        <v>0</v>
      </c>
      <c r="D11" s="4">
        <f>COUNTIFS(Resp4[Vínculo],"docente",Resp4[4.135],B11)</f>
        <v>0</v>
      </c>
      <c r="E11" s="4">
        <f>COUNTIF(Resp4[4.135],B11)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COUNTIFS(Resp4[Vínculo],"tecnico",Resp4[4.135],B12)</f>
        <v>0</v>
      </c>
      <c r="D12" s="4">
        <f>COUNTIFS(Resp4[Vínculo],"docente",Resp4[4.135],B12)</f>
        <v>0</v>
      </c>
      <c r="E12" s="4">
        <f>COUNTIF(Resp4[4.135],B12)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489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3">
        <f>ROUND($E6/E$13*100,2)</f>
        <v>100</v>
      </c>
    </row>
    <row r="7" spans="1:7" x14ac:dyDescent="0.25">
      <c r="B7" s="2" t="s">
        <v>497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COUNTIFS(Resp4[Vínculo],"tecnico",Resp4[4.136],B8)</f>
        <v>0</v>
      </c>
      <c r="D8" s="4">
        <f>COUNTIFS(Resp4[Vínculo],"docente",Resp4[4.136],B8)</f>
        <v>0</v>
      </c>
      <c r="E8" s="4">
        <f>COUNTIF(Resp4[4.136],B8)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COUNTIFS(Resp4[Vínculo],"tecnico",Resp4[4.136],B9)</f>
        <v>0</v>
      </c>
      <c r="D9" s="4">
        <f>COUNTIFS(Resp4[Vínculo],"docente",Resp4[4.136],B9)</f>
        <v>0</v>
      </c>
      <c r="E9" s="4">
        <f>COUNTIF(Resp4[4.136],B9)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0</v>
      </c>
      <c r="E10" s="4">
        <f>COUNTIF(Resp4[4.136],B10)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COUNTIFS(Resp4[Vínculo],"tecnico",Resp4[4.136],B11)</f>
        <v>0</v>
      </c>
      <c r="D11" s="4">
        <f>COUNTIFS(Resp4[Vínculo],"docente",Resp4[4.136],B11)</f>
        <v>0</v>
      </c>
      <c r="E11" s="4">
        <f>COUNTIF(Resp4[4.136],B11)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COUNTIFS(Resp4[Vínculo],"tecnico",Resp4[4.136],B12)</f>
        <v>0</v>
      </c>
      <c r="D12" s="4">
        <f>COUNTIFS(Resp4[Vínculo],"docente",Resp4[4.136],B12)</f>
        <v>0</v>
      </c>
      <c r="E12" s="4">
        <f>COUNTIF(Resp4[4.136],B12)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489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COUNTIFS(Resp4[Vínculo],"tecnico",Resp4[4.08],B7)</f>
        <v>0</v>
      </c>
      <c r="D7" s="4">
        <f>COUNTIFS(Resp4[Vínculo],"docente",Resp4[4.08],B7)</f>
        <v>0</v>
      </c>
      <c r="E7" s="4">
        <f>COUNTIF(Resp4[4.08],B7)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COUNTIFS(Resp4[Vínculo],"tecnico",Resp4[4.08],B9)</f>
        <v>0</v>
      </c>
      <c r="D9" s="4">
        <f>COUNTIFS(Resp4[Vínculo],"docente",Resp4[4.08],B9)</f>
        <v>0</v>
      </c>
      <c r="E9" s="4">
        <f>COUNTIF(Resp4[4.08],B9)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0</v>
      </c>
      <c r="E10" s="4">
        <f>COUNTIF(Resp4[4.08],B10)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COUNTIFS(Resp4[Vínculo],"tecnico",Resp4[4.08],B11)</f>
        <v>0</v>
      </c>
      <c r="D11" s="4">
        <f>COUNTIFS(Resp4[Vínculo],"docente",Resp4[4.08],B11)</f>
        <v>0</v>
      </c>
      <c r="E11" s="4">
        <f>COUNTIF(Resp4[4.08],B11)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COUNTIFS(Resp4[Vínculo],"tecnico",Resp4[4.08],B12)</f>
        <v>1</v>
      </c>
      <c r="D12" s="4">
        <f>COUNTIFS(Resp4[Vínculo],"docente",Resp4[4.08],B12)</f>
        <v>0</v>
      </c>
      <c r="E12" s="4">
        <f>COUNTIF(Resp4[4.08],B12)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489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COUNTIFS(Resp4[Vínculo],"tecnico",Resp4[4.09],B7)</f>
        <v>0</v>
      </c>
      <c r="D7" s="4">
        <f>COUNTIFS(Resp4[Vínculo],"docente",Resp4[4.09],B7)</f>
        <v>0</v>
      </c>
      <c r="E7" s="4">
        <f>COUNTIF(Resp4[4.09],B7)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COUNTIFS(Resp4[Vínculo],"tecnico",Resp4[4.09],B9)</f>
        <v>0</v>
      </c>
      <c r="D9" s="4">
        <f>COUNTIFS(Resp4[Vínculo],"docente",Resp4[4.09],B9)</f>
        <v>0</v>
      </c>
      <c r="E9" s="4">
        <f>COUNTIF(Resp4[4.09],B9)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COUNTIFS(Resp4[Vínculo],"tecnico",Resp4[4.09],B11)</f>
        <v>0</v>
      </c>
      <c r="D11" s="4">
        <f>COUNTIFS(Resp4[Vínculo],"docente",Resp4[4.09],B11)</f>
        <v>0</v>
      </c>
      <c r="E11" s="4">
        <f>COUNTIF(Resp4[4.09],B11)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COUNTIFS(Resp4[Vínculo],"tecnico",Resp4[4.09],B12)</f>
        <v>1</v>
      </c>
      <c r="D12" s="4">
        <f>COUNTIFS(Resp4[Vínculo],"docente",Resp4[4.09],B12)</f>
        <v>0</v>
      </c>
      <c r="E12" s="22">
        <f>COUNTIF(Resp4[4.09],B12)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2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489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COUNTIFS(Resp4[Vínculo],"tecnico",Resp4[4.10],B7)</f>
        <v>0</v>
      </c>
      <c r="D7" s="4">
        <f>COUNTIFS(Resp4[Vínculo],"docente",Resp4[4.10],B7)</f>
        <v>0</v>
      </c>
      <c r="E7" s="4">
        <f>COUNTIF(Resp4[4.10],B7)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COUNTIFS(Resp4[Vínculo],"tecnico",Resp4[4.10],B8)</f>
        <v>0</v>
      </c>
      <c r="D8" s="4">
        <f>COUNTIFS(Resp4[Vínculo],"docente",Resp4[4.10],B8)</f>
        <v>0</v>
      </c>
      <c r="E8" s="4">
        <f>COUNTIF(Resp4[4.10],B8)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COUNTIFS(Resp4[Vínculo],"tecnico",Resp4[4.10],B9)</f>
        <v>0</v>
      </c>
      <c r="D9" s="4">
        <f>COUNTIFS(Resp4[Vínculo],"docente",Resp4[4.10],B9)</f>
        <v>0</v>
      </c>
      <c r="E9" s="4">
        <f>COUNTIF(Resp4[4.10],B9)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0</v>
      </c>
      <c r="E10" s="4">
        <f>COUNTIF(Resp4[4.10],B10)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COUNTIFS(Resp4[Vínculo],"tecnico",Resp4[4.10],B11)</f>
        <v>0</v>
      </c>
      <c r="D11" s="4">
        <f>COUNTIFS(Resp4[Vínculo],"docente",Resp4[4.10],B11)</f>
        <v>0</v>
      </c>
      <c r="E11" s="4">
        <f>COUNTIF(Resp4[4.10],B11)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COUNTIFS(Resp4[Vínculo],"tecnico",Resp4[4.10],B12)</f>
        <v>1</v>
      </c>
      <c r="D12" s="4">
        <f>COUNTIFS(Resp4[Vínculo],"docente",Resp4[4.10],B12)</f>
        <v>0</v>
      </c>
      <c r="E12" s="4">
        <f>COUNTIF(Resp4[4.10],B12)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489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COUNTIFS(Resp4[Vínculo],"tecnico",Resp4[4.11],B7)</f>
        <v>0</v>
      </c>
      <c r="D7" s="4">
        <f>COUNTIFS(Resp4[Vínculo],"docente",Resp4[4.11],B7)</f>
        <v>0</v>
      </c>
      <c r="E7" s="4">
        <f>COUNTIF(Resp4[4.11],B7)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COUNTIFS(Resp4[Vínculo],"tecnico",Resp4[4.11],B9)</f>
        <v>0</v>
      </c>
      <c r="D9" s="4">
        <f>COUNTIFS(Resp4[Vínculo],"docente",Resp4[4.11],B9)</f>
        <v>0</v>
      </c>
      <c r="E9" s="4">
        <f>COUNTIF(Resp4[4.11],B9)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0</v>
      </c>
      <c r="E10" s="4">
        <f>COUNTIF(Resp4[4.11],B10)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COUNTIFS(Resp4[Vínculo],"tecnico",Resp4[4.11],B11)</f>
        <v>1</v>
      </c>
      <c r="D11" s="4">
        <f>COUNTIFS(Resp4[Vínculo],"docente",Resp4[4.11],B11)</f>
        <v>0</v>
      </c>
      <c r="E11" s="4">
        <f>COUNTIF(Resp4[4.11],B11)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COUNTIFS(Resp4[Vínculo],"tecnico",Resp4[4.11],B12)</f>
        <v>0</v>
      </c>
      <c r="D12" s="4">
        <f>COUNTIFS(Resp4[Vínculo],"docente",Resp4[4.11],B12)</f>
        <v>0</v>
      </c>
      <c r="E12" s="4">
        <f>COUNTIF(Resp4[4.11],B12)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489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COUNTIFS(Resp4[Vínculo],"tecnico",Resp4[4.12],B7)</f>
        <v>0</v>
      </c>
      <c r="D7" s="4">
        <f>COUNTIFS(Resp4[Vínculo],"docente",Resp4[4.12],B7)</f>
        <v>0</v>
      </c>
      <c r="E7" s="4">
        <f>COUNTIF(Resp4[4.12],B7)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COUNTIFS(Resp4[Vínculo],"tecnico",Resp4[4.12],B8)</f>
        <v>0</v>
      </c>
      <c r="D8" s="4">
        <f>COUNTIFS(Resp4[Vínculo],"docente",Resp4[4.12],B8)</f>
        <v>0</v>
      </c>
      <c r="E8" s="4">
        <f>COUNTIF(Resp4[4.12],B8)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COUNTIFS(Resp4[Vínculo],"tecnico",Resp4[4.12],B9)</f>
        <v>0</v>
      </c>
      <c r="D9" s="4">
        <f>COUNTIFS(Resp4[Vínculo],"docente",Resp4[4.12],B9)</f>
        <v>0</v>
      </c>
      <c r="E9" s="4">
        <f>COUNTIF(Resp4[4.12],B9)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0</v>
      </c>
      <c r="E10" s="4">
        <f>COUNTIF(Resp4[4.12],B10)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COUNTIFS(Resp4[Vínculo],"tecnico",Resp4[4.12],B11)</f>
        <v>0</v>
      </c>
      <c r="D11" s="4">
        <f>COUNTIFS(Resp4[Vínculo],"docente",Resp4[4.12],B11)</f>
        <v>0</v>
      </c>
      <c r="E11" s="4">
        <f>COUNTIF(Resp4[4.12],B11)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COUNTIFS(Resp4[Vínculo],"tecnico",Resp4[4.12],B12)</f>
        <v>1</v>
      </c>
      <c r="D12" s="4">
        <f>COUNTIFS(Resp4[Vínculo],"docente",Resp4[4.12],B12)</f>
        <v>0</v>
      </c>
      <c r="E12" s="4">
        <f>COUNTIF(Resp4[4.12],B12)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489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COUNTIFS(Resp4[Vínculo],"tecnico",Resp4[4.13],B9)</f>
        <v>0</v>
      </c>
      <c r="D9" s="4">
        <f>COUNTIFS(Resp4[Vínculo],"docente",Resp4[4.13],B9)</f>
        <v>0</v>
      </c>
      <c r="E9" s="4">
        <f>COUNTIF(Resp4[4.13],B9)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0</v>
      </c>
      <c r="E10" s="4">
        <f>COUNTIF(Resp4[4.13],B10)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COUNTIFS(Resp4[Vínculo],"tecnico",Resp4[4.13],B11)</f>
        <v>1</v>
      </c>
      <c r="D11" s="4">
        <f>COUNTIFS(Resp4[Vínculo],"docente",Resp4[4.13],B11)</f>
        <v>0</v>
      </c>
      <c r="E11" s="4">
        <f>COUNTIF(Resp4[4.13],B11)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COUNTIFS(Resp4[Vínculo],"tecnico",Resp4[4.13],B12)</f>
        <v>0</v>
      </c>
      <c r="D12" s="4">
        <f>COUNTIFS(Resp4[Vínculo],"docente",Resp4[4.13],B12)</f>
        <v>0</v>
      </c>
      <c r="E12" s="4">
        <f>COUNTIF(Resp4[4.13],B12)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25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195</v>
      </c>
      <c r="BW2" s="99" t="s">
        <v>195</v>
      </c>
      <c r="BX2" s="99" t="s">
        <v>195</v>
      </c>
      <c r="BY2" s="99" t="s">
        <v>195</v>
      </c>
      <c r="BZ2" s="99" t="s">
        <v>195</v>
      </c>
      <c r="CA2" s="99" t="s">
        <v>195</v>
      </c>
      <c r="CB2" s="99"/>
      <c r="CC2" s="99" t="s">
        <v>198</v>
      </c>
      <c r="CD2" s="99"/>
      <c r="CE2" s="99" t="s">
        <v>199</v>
      </c>
      <c r="CF2" s="99"/>
      <c r="CG2" s="99"/>
      <c r="CH2" s="99"/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195</v>
      </c>
      <c r="BV3" s="90" t="s">
        <v>197</v>
      </c>
      <c r="BW3" s="90" t="s">
        <v>197</v>
      </c>
      <c r="BX3" s="90" t="s">
        <v>195</v>
      </c>
      <c r="BY3" s="90" t="s">
        <v>195</v>
      </c>
      <c r="BZ3" s="90" t="s">
        <v>195</v>
      </c>
      <c r="CA3" s="90" t="s">
        <v>195</v>
      </c>
      <c r="CB3" s="90"/>
      <c r="CC3" s="90" t="s">
        <v>200</v>
      </c>
      <c r="CD3" s="90"/>
      <c r="CE3" s="90" t="s">
        <v>199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16</v>
      </c>
      <c r="B4" s="99" t="s">
        <v>193</v>
      </c>
      <c r="C4" s="99" t="s">
        <v>199</v>
      </c>
      <c r="D4" s="99" t="s">
        <v>201</v>
      </c>
      <c r="E4" s="99" t="s">
        <v>201</v>
      </c>
      <c r="F4" s="99" t="s">
        <v>201</v>
      </c>
      <c r="G4" s="99" t="s">
        <v>201</v>
      </c>
      <c r="H4" s="99" t="s">
        <v>201</v>
      </c>
      <c r="I4" s="99" t="s">
        <v>197</v>
      </c>
      <c r="J4" s="99" t="s">
        <v>201</v>
      </c>
      <c r="K4" s="99" t="s">
        <v>201</v>
      </c>
      <c r="L4" s="99" t="s">
        <v>201</v>
      </c>
      <c r="M4" s="99" t="s">
        <v>197</v>
      </c>
      <c r="N4" s="99" t="s">
        <v>201</v>
      </c>
      <c r="O4" s="99" t="s">
        <v>197</v>
      </c>
      <c r="P4" s="99" t="s">
        <v>197</v>
      </c>
      <c r="Q4" s="99" t="s">
        <v>197</v>
      </c>
      <c r="R4" s="99" t="s">
        <v>197</v>
      </c>
      <c r="S4" s="99" t="s">
        <v>197</v>
      </c>
      <c r="T4" s="99"/>
      <c r="U4" s="99" t="s">
        <v>194</v>
      </c>
      <c r="V4" s="99" t="s">
        <v>195</v>
      </c>
      <c r="W4" s="99" t="s">
        <v>195</v>
      </c>
      <c r="X4" s="99" t="s">
        <v>195</v>
      </c>
      <c r="Y4" s="99" t="s">
        <v>195</v>
      </c>
      <c r="Z4" s="99" t="s">
        <v>196</v>
      </c>
      <c r="AA4" s="99" t="s">
        <v>195</v>
      </c>
      <c r="AB4" s="99" t="s">
        <v>195</v>
      </c>
      <c r="AC4" s="99" t="s">
        <v>195</v>
      </c>
      <c r="AD4" s="99" t="s">
        <v>195</v>
      </c>
      <c r="AE4" s="99" t="s">
        <v>195</v>
      </c>
      <c r="AF4" s="99" t="s">
        <v>195</v>
      </c>
      <c r="AG4" s="99" t="s">
        <v>195</v>
      </c>
      <c r="AH4" s="99" t="s">
        <v>195</v>
      </c>
      <c r="AI4" s="99" t="s">
        <v>194</v>
      </c>
      <c r="AJ4" s="99" t="s">
        <v>195</v>
      </c>
      <c r="AK4" s="99" t="s">
        <v>195</v>
      </c>
      <c r="AL4" s="99" t="s">
        <v>195</v>
      </c>
      <c r="AM4" s="99"/>
      <c r="AN4" s="99" t="s">
        <v>194</v>
      </c>
      <c r="AO4" s="99" t="s">
        <v>195</v>
      </c>
      <c r="AP4" s="99" t="s">
        <v>195</v>
      </c>
      <c r="AQ4" s="99" t="s">
        <v>195</v>
      </c>
      <c r="AR4" s="99" t="s">
        <v>195</v>
      </c>
      <c r="AS4" s="99" t="s">
        <v>195</v>
      </c>
      <c r="AT4" s="99" t="s">
        <v>195</v>
      </c>
      <c r="AU4" s="99" t="s">
        <v>195</v>
      </c>
      <c r="AV4" s="99" t="s">
        <v>195</v>
      </c>
      <c r="AW4" s="99" t="s">
        <v>195</v>
      </c>
      <c r="AX4" s="99" t="s">
        <v>195</v>
      </c>
      <c r="AY4" s="99"/>
      <c r="AZ4" s="99" t="s">
        <v>199</v>
      </c>
      <c r="BA4" s="99" t="s">
        <v>194</v>
      </c>
      <c r="BB4" s="99" t="s">
        <v>195</v>
      </c>
      <c r="BC4" s="99" t="s">
        <v>201</v>
      </c>
      <c r="BD4" s="99" t="s">
        <v>201</v>
      </c>
      <c r="BE4" s="99" t="s">
        <v>197</v>
      </c>
      <c r="BF4" s="99" t="s">
        <v>201</v>
      </c>
      <c r="BG4" s="99" t="s">
        <v>197</v>
      </c>
      <c r="BH4" s="99" t="s">
        <v>197</v>
      </c>
      <c r="BI4" s="99" t="s">
        <v>197</v>
      </c>
      <c r="BJ4" s="99" t="s">
        <v>197</v>
      </c>
      <c r="BK4" s="99" t="s">
        <v>197</v>
      </c>
      <c r="BL4" s="99" t="s">
        <v>201</v>
      </c>
      <c r="BM4" s="99" t="s">
        <v>201</v>
      </c>
      <c r="BN4" s="99" t="s">
        <v>197</v>
      </c>
      <c r="BO4" s="99" t="s">
        <v>197</v>
      </c>
      <c r="BP4" s="99" t="s">
        <v>201</v>
      </c>
      <c r="BQ4" s="99" t="s">
        <v>197</v>
      </c>
      <c r="BR4" s="99" t="s">
        <v>201</v>
      </c>
      <c r="BS4" s="99" t="s">
        <v>201</v>
      </c>
      <c r="BT4" s="99"/>
      <c r="BU4" s="99" t="s">
        <v>201</v>
      </c>
      <c r="BV4" s="99" t="s">
        <v>201</v>
      </c>
      <c r="BW4" s="99" t="s">
        <v>201</v>
      </c>
      <c r="BX4" s="99" t="s">
        <v>201</v>
      </c>
      <c r="BY4" s="99" t="s">
        <v>201</v>
      </c>
      <c r="BZ4" s="99" t="s">
        <v>201</v>
      </c>
      <c r="CA4" s="99" t="s">
        <v>201</v>
      </c>
      <c r="CB4" s="99"/>
      <c r="CC4" s="99" t="s">
        <v>198</v>
      </c>
      <c r="CD4" s="99"/>
      <c r="CE4" s="99" t="s">
        <v>199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195</v>
      </c>
      <c r="CM4" s="99" t="s">
        <v>195</v>
      </c>
      <c r="CN4" s="99" t="s">
        <v>195</v>
      </c>
      <c r="CO4" s="99" t="s">
        <v>195</v>
      </c>
      <c r="CP4" s="99" t="s">
        <v>195</v>
      </c>
      <c r="CQ4" s="99" t="s">
        <v>195</v>
      </c>
      <c r="CR4" s="99" t="s">
        <v>195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195</v>
      </c>
      <c r="CZ4" s="99" t="s">
        <v>195</v>
      </c>
      <c r="DA4" s="99" t="s">
        <v>195</v>
      </c>
      <c r="DB4" s="99" t="s">
        <v>195</v>
      </c>
      <c r="DC4" s="99" t="s">
        <v>195</v>
      </c>
      <c r="DD4" s="99" t="s">
        <v>195</v>
      </c>
      <c r="DE4" s="99" t="s">
        <v>195</v>
      </c>
      <c r="DF4" s="99" t="s">
        <v>195</v>
      </c>
      <c r="DG4" s="99" t="s">
        <v>195</v>
      </c>
      <c r="DH4" s="99" t="s">
        <v>195</v>
      </c>
      <c r="DI4" s="99" t="s">
        <v>195</v>
      </c>
      <c r="DJ4" s="99" t="s">
        <v>195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194</v>
      </c>
      <c r="EC4" s="99" t="s">
        <v>195</v>
      </c>
      <c r="ED4" s="99" t="s">
        <v>195</v>
      </c>
      <c r="EE4" s="99" t="s">
        <v>195</v>
      </c>
      <c r="EF4" s="99" t="s">
        <v>195</v>
      </c>
      <c r="EG4" s="99" t="s">
        <v>195</v>
      </c>
      <c r="EH4" s="100" t="s">
        <v>195</v>
      </c>
    </row>
    <row r="5" spans="1:138" ht="23.25" customHeight="1" x14ac:dyDescent="0.25">
      <c r="A5" s="101" t="s">
        <v>16</v>
      </c>
      <c r="B5" s="90" t="s">
        <v>193</v>
      </c>
      <c r="C5" s="90" t="s">
        <v>194</v>
      </c>
      <c r="D5" s="90" t="s">
        <v>195</v>
      </c>
      <c r="E5" s="90" t="s">
        <v>195</v>
      </c>
      <c r="F5" s="90" t="s">
        <v>195</v>
      </c>
      <c r="G5" s="90" t="s">
        <v>195</v>
      </c>
      <c r="H5" s="90" t="s">
        <v>195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195</v>
      </c>
      <c r="N5" s="90" t="s">
        <v>195</v>
      </c>
      <c r="O5" s="90" t="s">
        <v>195</v>
      </c>
      <c r="P5" s="90" t="s">
        <v>195</v>
      </c>
      <c r="Q5" s="90" t="s">
        <v>195</v>
      </c>
      <c r="R5" s="90" t="s">
        <v>195</v>
      </c>
      <c r="S5" s="90" t="s">
        <v>195</v>
      </c>
      <c r="T5" s="90"/>
      <c r="U5" s="90" t="s">
        <v>194</v>
      </c>
      <c r="V5" s="90" t="s">
        <v>195</v>
      </c>
      <c r="W5" s="90" t="s">
        <v>195</v>
      </c>
      <c r="X5" s="90" t="s">
        <v>195</v>
      </c>
      <c r="Y5" s="90" t="s">
        <v>195</v>
      </c>
      <c r="Z5" s="90" t="s">
        <v>196</v>
      </c>
      <c r="AA5" s="90" t="s">
        <v>195</v>
      </c>
      <c r="AB5" s="90" t="s">
        <v>195</v>
      </c>
      <c r="AC5" s="90" t="s">
        <v>195</v>
      </c>
      <c r="AD5" s="90" t="s">
        <v>195</v>
      </c>
      <c r="AE5" s="90" t="s">
        <v>195</v>
      </c>
      <c r="AF5" s="90" t="s">
        <v>195</v>
      </c>
      <c r="AG5" s="90" t="s">
        <v>195</v>
      </c>
      <c r="AH5" s="90" t="s">
        <v>195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195</v>
      </c>
      <c r="AU5" s="90" t="s">
        <v>195</v>
      </c>
      <c r="AV5" s="90" t="s">
        <v>195</v>
      </c>
      <c r="AW5" s="90" t="s">
        <v>195</v>
      </c>
      <c r="AX5" s="90" t="s">
        <v>195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202</v>
      </c>
      <c r="BV5" s="90" t="s">
        <v>202</v>
      </c>
      <c r="BW5" s="90" t="s">
        <v>202</v>
      </c>
      <c r="BX5" s="90" t="s">
        <v>30</v>
      </c>
      <c r="BY5" s="90" t="s">
        <v>30</v>
      </c>
      <c r="BZ5" s="90" t="s">
        <v>30</v>
      </c>
      <c r="CA5" s="90" t="s">
        <v>197</v>
      </c>
      <c r="CB5" s="90"/>
      <c r="CC5" s="90" t="s">
        <v>200</v>
      </c>
      <c r="CD5" s="90"/>
      <c r="CE5" s="90" t="s">
        <v>199</v>
      </c>
      <c r="CF5" s="90"/>
      <c r="CG5" s="90"/>
      <c r="CH5" s="90"/>
      <c r="CI5" s="90" t="s">
        <v>194</v>
      </c>
      <c r="CJ5" s="90" t="s">
        <v>195</v>
      </c>
      <c r="CK5" s="90" t="s">
        <v>195</v>
      </c>
      <c r="CL5" s="90" t="s">
        <v>195</v>
      </c>
      <c r="CM5" s="90" t="s">
        <v>195</v>
      </c>
      <c r="CN5" s="90" t="s">
        <v>195</v>
      </c>
      <c r="CO5" s="90" t="s">
        <v>195</v>
      </c>
      <c r="CP5" s="90" t="s">
        <v>195</v>
      </c>
      <c r="CQ5" s="90" t="s">
        <v>195</v>
      </c>
      <c r="CR5" s="90" t="s">
        <v>195</v>
      </c>
      <c r="CS5" s="90" t="s">
        <v>195</v>
      </c>
      <c r="CT5" s="90" t="s">
        <v>195</v>
      </c>
      <c r="CU5" s="90" t="s">
        <v>195</v>
      </c>
      <c r="CV5" s="90" t="s">
        <v>195</v>
      </c>
      <c r="CW5" s="90" t="s">
        <v>195</v>
      </c>
      <c r="CX5" s="90" t="s">
        <v>195</v>
      </c>
      <c r="CY5" s="90" t="s">
        <v>195</v>
      </c>
      <c r="CZ5" s="90" t="s">
        <v>195</v>
      </c>
      <c r="DA5" s="90" t="s">
        <v>195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195</v>
      </c>
      <c r="DH5" s="90" t="s">
        <v>195</v>
      </c>
      <c r="DI5" s="90" t="s">
        <v>195</v>
      </c>
      <c r="DJ5" s="90" t="s">
        <v>195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194</v>
      </c>
      <c r="EC5" s="90" t="s">
        <v>195</v>
      </c>
      <c r="ED5" s="90" t="s">
        <v>195</v>
      </c>
      <c r="EE5" s="90" t="s">
        <v>195</v>
      </c>
      <c r="EF5" s="90" t="s">
        <v>195</v>
      </c>
      <c r="EG5" s="90" t="s">
        <v>195</v>
      </c>
      <c r="EH5" s="102" t="s">
        <v>195</v>
      </c>
    </row>
    <row r="6" spans="1:138" ht="23.25" customHeight="1" x14ac:dyDescent="0.25">
      <c r="A6" s="98" t="s">
        <v>16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195</v>
      </c>
      <c r="I6" s="99" t="s">
        <v>195</v>
      </c>
      <c r="J6" s="99" t="s">
        <v>195</v>
      </c>
      <c r="K6" s="99" t="s">
        <v>195</v>
      </c>
      <c r="L6" s="99" t="s">
        <v>195</v>
      </c>
      <c r="M6" s="99" t="s">
        <v>195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195</v>
      </c>
      <c r="T6" s="99"/>
      <c r="U6" s="99" t="s">
        <v>194</v>
      </c>
      <c r="V6" s="99" t="s">
        <v>195</v>
      </c>
      <c r="W6" s="99" t="s">
        <v>195</v>
      </c>
      <c r="X6" s="99" t="s">
        <v>195</v>
      </c>
      <c r="Y6" s="99" t="s">
        <v>195</v>
      </c>
      <c r="Z6" s="99" t="s">
        <v>196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194</v>
      </c>
      <c r="AJ6" s="99" t="s">
        <v>195</v>
      </c>
      <c r="AK6" s="99" t="s">
        <v>195</v>
      </c>
      <c r="AL6" s="99" t="s">
        <v>195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195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195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195</v>
      </c>
      <c r="BI6" s="99" t="s">
        <v>195</v>
      </c>
      <c r="BJ6" s="99" t="s">
        <v>195</v>
      </c>
      <c r="BK6" s="99" t="s">
        <v>195</v>
      </c>
      <c r="BL6" s="99" t="s">
        <v>195</v>
      </c>
      <c r="BM6" s="99" t="s">
        <v>195</v>
      </c>
      <c r="BN6" s="99" t="s">
        <v>195</v>
      </c>
      <c r="BO6" s="99" t="s">
        <v>195</v>
      </c>
      <c r="BP6" s="99" t="s">
        <v>195</v>
      </c>
      <c r="BQ6" s="99" t="s">
        <v>195</v>
      </c>
      <c r="BR6" s="99" t="s">
        <v>195</v>
      </c>
      <c r="BS6" s="99" t="s">
        <v>195</v>
      </c>
      <c r="BT6" s="99"/>
      <c r="BU6" s="99" t="s">
        <v>201</v>
      </c>
      <c r="BV6" s="99" t="s">
        <v>201</v>
      </c>
      <c r="BW6" s="99" t="s">
        <v>201</v>
      </c>
      <c r="BX6" s="99" t="s">
        <v>201</v>
      </c>
      <c r="BY6" s="99" t="s">
        <v>201</v>
      </c>
      <c r="BZ6" s="99" t="s">
        <v>201</v>
      </c>
      <c r="CA6" s="99" t="s">
        <v>201</v>
      </c>
      <c r="CB6" s="99"/>
      <c r="CC6" s="99" t="s">
        <v>198</v>
      </c>
      <c r="CD6" s="99"/>
      <c r="CE6" s="99" t="s">
        <v>199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194</v>
      </c>
      <c r="EC6" s="99" t="s">
        <v>195</v>
      </c>
      <c r="ED6" s="99" t="s">
        <v>195</v>
      </c>
      <c r="EE6" s="99" t="s">
        <v>195</v>
      </c>
      <c r="EF6" s="99" t="s">
        <v>195</v>
      </c>
      <c r="EG6" s="99" t="s">
        <v>195</v>
      </c>
      <c r="EH6" s="100" t="s">
        <v>195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195</v>
      </c>
      <c r="G7" s="90" t="s">
        <v>195</v>
      </c>
      <c r="H7" s="90" t="s">
        <v>195</v>
      </c>
      <c r="I7" s="90" t="s">
        <v>195</v>
      </c>
      <c r="J7" s="90" t="s">
        <v>195</v>
      </c>
      <c r="K7" s="90" t="s">
        <v>195</v>
      </c>
      <c r="L7" s="90" t="s">
        <v>195</v>
      </c>
      <c r="M7" s="90" t="s">
        <v>195</v>
      </c>
      <c r="N7" s="90" t="s">
        <v>195</v>
      </c>
      <c r="O7" s="90" t="s">
        <v>195</v>
      </c>
      <c r="P7" s="90" t="s">
        <v>195</v>
      </c>
      <c r="Q7" s="90" t="s">
        <v>195</v>
      </c>
      <c r="R7" s="90" t="s">
        <v>195</v>
      </c>
      <c r="S7" s="90" t="s">
        <v>195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201</v>
      </c>
      <c r="BV7" s="90" t="s">
        <v>197</v>
      </c>
      <c r="BW7" s="90" t="s">
        <v>201</v>
      </c>
      <c r="BX7" s="90" t="s">
        <v>201</v>
      </c>
      <c r="BY7" s="90" t="s">
        <v>201</v>
      </c>
      <c r="BZ7" s="90" t="s">
        <v>201</v>
      </c>
      <c r="CA7" s="90" t="s">
        <v>201</v>
      </c>
      <c r="CB7" s="90"/>
      <c r="CC7" s="90" t="s">
        <v>198</v>
      </c>
      <c r="CD7" s="90"/>
      <c r="CE7" s="90" t="s">
        <v>199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195</v>
      </c>
      <c r="CT7" s="90" t="s">
        <v>195</v>
      </c>
      <c r="CU7" s="90" t="s">
        <v>195</v>
      </c>
      <c r="CV7" s="90" t="s">
        <v>195</v>
      </c>
      <c r="CW7" s="90" t="s">
        <v>195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195</v>
      </c>
      <c r="DD7" s="90" t="s">
        <v>195</v>
      </c>
      <c r="DE7" s="90" t="s">
        <v>195</v>
      </c>
      <c r="DF7" s="90" t="s">
        <v>195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195</v>
      </c>
      <c r="DN7" s="90" t="s">
        <v>195</v>
      </c>
      <c r="DO7" s="90" t="s">
        <v>195</v>
      </c>
      <c r="DP7" s="90" t="s">
        <v>195</v>
      </c>
      <c r="DQ7" s="90" t="s">
        <v>195</v>
      </c>
      <c r="DR7" s="90" t="s">
        <v>195</v>
      </c>
      <c r="DS7" s="90" t="s">
        <v>195</v>
      </c>
      <c r="DT7" s="90" t="s">
        <v>195</v>
      </c>
      <c r="DU7" s="90" t="s">
        <v>195</v>
      </c>
      <c r="DV7" s="90" t="s">
        <v>195</v>
      </c>
      <c r="DW7" s="90" t="s">
        <v>195</v>
      </c>
      <c r="DX7" s="90" t="s">
        <v>195</v>
      </c>
      <c r="DY7" s="90" t="s">
        <v>195</v>
      </c>
      <c r="DZ7" s="90" t="s">
        <v>195</v>
      </c>
      <c r="EA7" s="90"/>
      <c r="EB7" s="90" t="s">
        <v>194</v>
      </c>
      <c r="EC7" s="90" t="s">
        <v>195</v>
      </c>
      <c r="ED7" s="90" t="s">
        <v>195</v>
      </c>
      <c r="EE7" s="90" t="s">
        <v>195</v>
      </c>
      <c r="EF7" s="90" t="s">
        <v>195</v>
      </c>
      <c r="EG7" s="90" t="s">
        <v>195</v>
      </c>
      <c r="EH7" s="102" t="s">
        <v>195</v>
      </c>
    </row>
    <row r="8" spans="1:138" ht="23.25" customHeight="1" x14ac:dyDescent="0.25">
      <c r="A8" s="98" t="s">
        <v>16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194</v>
      </c>
      <c r="V8" s="99" t="s">
        <v>195</v>
      </c>
      <c r="W8" s="99" t="s">
        <v>195</v>
      </c>
      <c r="X8" s="99" t="s">
        <v>195</v>
      </c>
      <c r="Y8" s="99" t="s">
        <v>195</v>
      </c>
      <c r="Z8" s="99" t="s">
        <v>196</v>
      </c>
      <c r="AA8" s="99" t="s">
        <v>195</v>
      </c>
      <c r="AB8" s="99" t="s">
        <v>195</v>
      </c>
      <c r="AC8" s="99" t="s">
        <v>195</v>
      </c>
      <c r="AD8" s="99" t="s">
        <v>195</v>
      </c>
      <c r="AE8" s="99" t="s">
        <v>195</v>
      </c>
      <c r="AF8" s="99" t="s">
        <v>195</v>
      </c>
      <c r="AG8" s="99" t="s">
        <v>195</v>
      </c>
      <c r="AH8" s="99" t="s">
        <v>195</v>
      </c>
      <c r="AI8" s="99" t="s">
        <v>194</v>
      </c>
      <c r="AJ8" s="99" t="s">
        <v>195</v>
      </c>
      <c r="AK8" s="99" t="s">
        <v>195</v>
      </c>
      <c r="AL8" s="99" t="s">
        <v>195</v>
      </c>
      <c r="AM8" s="99"/>
      <c r="AN8" s="99" t="s">
        <v>194</v>
      </c>
      <c r="AO8" s="99" t="s">
        <v>195</v>
      </c>
      <c r="AP8" s="99" t="s">
        <v>195</v>
      </c>
      <c r="AQ8" s="99" t="s">
        <v>195</v>
      </c>
      <c r="AR8" s="99" t="s">
        <v>195</v>
      </c>
      <c r="AS8" s="99" t="s">
        <v>195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195</v>
      </c>
      <c r="AY8" s="99"/>
      <c r="AZ8" s="99" t="s">
        <v>194</v>
      </c>
      <c r="BA8" s="99" t="s">
        <v>194</v>
      </c>
      <c r="BB8" s="99" t="s">
        <v>195</v>
      </c>
      <c r="BC8" s="99" t="s">
        <v>195</v>
      </c>
      <c r="BD8" s="99" t="s">
        <v>195</v>
      </c>
      <c r="BE8" s="99" t="s">
        <v>195</v>
      </c>
      <c r="BF8" s="99" t="s">
        <v>195</v>
      </c>
      <c r="BG8" s="99" t="s">
        <v>195</v>
      </c>
      <c r="BH8" s="99" t="s">
        <v>195</v>
      </c>
      <c r="BI8" s="99" t="s">
        <v>195</v>
      </c>
      <c r="BJ8" s="99" t="s">
        <v>195</v>
      </c>
      <c r="BK8" s="99" t="s">
        <v>195</v>
      </c>
      <c r="BL8" s="99" t="s">
        <v>195</v>
      </c>
      <c r="BM8" s="99" t="s">
        <v>195</v>
      </c>
      <c r="BN8" s="99" t="s">
        <v>195</v>
      </c>
      <c r="BO8" s="99" t="s">
        <v>195</v>
      </c>
      <c r="BP8" s="99" t="s">
        <v>195</v>
      </c>
      <c r="BQ8" s="99" t="s">
        <v>195</v>
      </c>
      <c r="BR8" s="99" t="s">
        <v>195</v>
      </c>
      <c r="BS8" s="99" t="s">
        <v>195</v>
      </c>
      <c r="BT8" s="99"/>
      <c r="BU8" s="99" t="s">
        <v>195</v>
      </c>
      <c r="BV8" s="99" t="s">
        <v>195</v>
      </c>
      <c r="BW8" s="99" t="s">
        <v>195</v>
      </c>
      <c r="BX8" s="99" t="s">
        <v>195</v>
      </c>
      <c r="BY8" s="99" t="s">
        <v>195</v>
      </c>
      <c r="BZ8" s="99" t="s">
        <v>195</v>
      </c>
      <c r="CA8" s="99" t="s">
        <v>201</v>
      </c>
      <c r="CB8" s="99"/>
      <c r="CC8" s="99" t="s">
        <v>203</v>
      </c>
      <c r="CD8" s="99"/>
      <c r="CE8" s="99" t="s">
        <v>199</v>
      </c>
      <c r="CF8" s="99"/>
      <c r="CG8" s="99"/>
      <c r="CH8" s="99"/>
      <c r="CI8" s="99" t="s">
        <v>194</v>
      </c>
      <c r="CJ8" s="99" t="s">
        <v>195</v>
      </c>
      <c r="CK8" s="99" t="s">
        <v>195</v>
      </c>
      <c r="CL8" s="99" t="s">
        <v>195</v>
      </c>
      <c r="CM8" s="99" t="s">
        <v>195</v>
      </c>
      <c r="CN8" s="99" t="s">
        <v>195</v>
      </c>
      <c r="CO8" s="99" t="s">
        <v>195</v>
      </c>
      <c r="CP8" s="99" t="s">
        <v>195</v>
      </c>
      <c r="CQ8" s="99" t="s">
        <v>195</v>
      </c>
      <c r="CR8" s="99" t="s">
        <v>195</v>
      </c>
      <c r="CS8" s="99" t="s">
        <v>195</v>
      </c>
      <c r="CT8" s="99" t="s">
        <v>195</v>
      </c>
      <c r="CU8" s="99" t="s">
        <v>195</v>
      </c>
      <c r="CV8" s="99" t="s">
        <v>195</v>
      </c>
      <c r="CW8" s="99" t="s">
        <v>195</v>
      </c>
      <c r="CX8" s="99" t="s">
        <v>195</v>
      </c>
      <c r="CY8" s="99" t="s">
        <v>195</v>
      </c>
      <c r="CZ8" s="99" t="s">
        <v>195</v>
      </c>
      <c r="DA8" s="99" t="s">
        <v>195</v>
      </c>
      <c r="DB8" s="99" t="s">
        <v>195</v>
      </c>
      <c r="DC8" s="99" t="s">
        <v>195</v>
      </c>
      <c r="DD8" s="99" t="s">
        <v>195</v>
      </c>
      <c r="DE8" s="99" t="s">
        <v>195</v>
      </c>
      <c r="DF8" s="99" t="s">
        <v>195</v>
      </c>
      <c r="DG8" s="99" t="s">
        <v>195</v>
      </c>
      <c r="DH8" s="99" t="s">
        <v>195</v>
      </c>
      <c r="DI8" s="99" t="s">
        <v>195</v>
      </c>
      <c r="DJ8" s="99" t="s">
        <v>195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102"/>
    </row>
    <row r="10" spans="1:138" ht="23.25" customHeight="1" x14ac:dyDescent="0.25">
      <c r="A10" s="98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100"/>
    </row>
    <row r="11" spans="1:138" ht="23.25" customHeight="1" x14ac:dyDescent="0.25">
      <c r="A11" s="10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102"/>
    </row>
    <row r="12" spans="1:138" ht="23.25" customHeight="1" x14ac:dyDescent="0.25">
      <c r="A12" s="98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100"/>
    </row>
    <row r="13" spans="1:138" ht="23.25" customHeight="1" x14ac:dyDescent="0.25">
      <c r="A13" s="101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102"/>
    </row>
    <row r="14" spans="1:138" ht="23.25" customHeight="1" x14ac:dyDescent="0.25">
      <c r="A14" s="98"/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100"/>
    </row>
    <row r="15" spans="1:138" ht="23.25" customHeight="1" x14ac:dyDescent="0.25">
      <c r="A15" s="101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102"/>
    </row>
    <row r="16" spans="1:138" ht="23.25" customHeight="1" x14ac:dyDescent="0.25">
      <c r="A16" s="98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100"/>
    </row>
    <row r="17" spans="1:138" ht="23.25" customHeight="1" x14ac:dyDescent="0.25">
      <c r="A17" s="101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102"/>
    </row>
    <row r="18" spans="1:138" ht="23.25" customHeight="1" x14ac:dyDescent="0.25">
      <c r="A18" s="98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100"/>
    </row>
    <row r="19" spans="1:138" ht="23.25" customHeight="1" x14ac:dyDescent="0.25">
      <c r="A19" s="10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102"/>
    </row>
    <row r="20" spans="1:138" ht="23.25" customHeight="1" x14ac:dyDescent="0.25">
      <c r="A20" s="98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100"/>
    </row>
    <row r="21" spans="1:138" ht="23.25" customHeight="1" x14ac:dyDescent="0.25">
      <c r="A21" s="101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102"/>
    </row>
    <row r="22" spans="1:138" ht="23.25" customHeight="1" x14ac:dyDescent="0.25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100"/>
    </row>
    <row r="23" spans="1:138" ht="23.25" customHeight="1" x14ac:dyDescent="0.25">
      <c r="A23" s="101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102"/>
    </row>
    <row r="24" spans="1:138" ht="23.25" customHeight="1" x14ac:dyDescent="0.25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100"/>
    </row>
    <row r="25" spans="1:138" ht="23.25" customHeight="1" x14ac:dyDescent="0.25">
      <c r="A25" s="101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102"/>
    </row>
    <row r="26" spans="1:138" ht="23.25" customHeight="1" x14ac:dyDescent="0.25">
      <c r="A26" s="98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100"/>
    </row>
    <row r="27" spans="1:138" ht="23.25" customHeight="1" x14ac:dyDescent="0.25">
      <c r="A27" s="101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102"/>
    </row>
    <row r="28" spans="1:138" ht="23.25" customHeight="1" x14ac:dyDescent="0.25">
      <c r="A28" s="98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100"/>
    </row>
    <row r="29" spans="1:138" ht="23.25" customHeight="1" x14ac:dyDescent="0.25">
      <c r="A29" s="101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102"/>
    </row>
    <row r="30" spans="1:138" ht="23.25" customHeight="1" x14ac:dyDescent="0.25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100"/>
    </row>
    <row r="31" spans="1:138" ht="23.25" customHeight="1" x14ac:dyDescent="0.25">
      <c r="A31" s="101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102"/>
    </row>
    <row r="32" spans="1:138" ht="23.25" customHeight="1" x14ac:dyDescent="0.25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100"/>
    </row>
    <row r="33" spans="1:138" ht="23.25" customHeight="1" x14ac:dyDescent="0.25">
      <c r="A33" s="101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102"/>
    </row>
    <row r="34" spans="1:138" ht="23.25" customHeight="1" x14ac:dyDescent="0.25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100"/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489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0</v>
      </c>
      <c r="E10" s="4">
        <f>COUNTIF(Resp4[4.14],B10)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COUNTIFS(Resp4[Vínculo],"tecnico",Resp4[4.14],B11)</f>
        <v>1</v>
      </c>
      <c r="D11" s="4">
        <f>COUNTIFS(Resp4[Vínculo],"docente",Resp4[4.14],B11)</f>
        <v>0</v>
      </c>
      <c r="E11" s="4">
        <f>COUNTIF(Resp4[4.14],B11)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COUNTIFS(Resp4[Vínculo],"tecnico",Resp4[4.14],B12)</f>
        <v>0</v>
      </c>
      <c r="D12" s="4">
        <f>COUNTIFS(Resp4[Vínculo],"docente",Resp4[4.14],B12)</f>
        <v>0</v>
      </c>
      <c r="E12" s="4">
        <f>COUNTIF(Resp4[4.14],B12)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489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COUNTIFS(Resp4[Vínculo],"tecnico",Resp4[4.15],B7)</f>
        <v>0</v>
      </c>
      <c r="D7" s="4">
        <f>COUNTIFS(Resp4[Vínculo],"docente",Resp4[4.15],B7)</f>
        <v>0</v>
      </c>
      <c r="E7" s="4">
        <f>COUNTIF(Resp4[4.15],B7)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0</v>
      </c>
      <c r="E10" s="4">
        <f>COUNTIF(Resp4[4.15],B10)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COUNTIFS(Resp4[Vínculo],"tecnico",Resp4[4.15],B11)</f>
        <v>1</v>
      </c>
      <c r="D11" s="4">
        <f>COUNTIFS(Resp4[Vínculo],"docente",Resp4[4.15],B11)</f>
        <v>0</v>
      </c>
      <c r="E11" s="4">
        <f>COUNTIF(Resp4[4.15],B11)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COUNTIFS(Resp4[Vínculo],"tecnico",Resp4[4.15],B12)</f>
        <v>0</v>
      </c>
      <c r="D12" s="4">
        <f>COUNTIFS(Resp4[Vínculo],"docente",Resp4[4.15],B12)</f>
        <v>0</v>
      </c>
      <c r="E12" s="4">
        <f>COUNTIF(Resp4[4.15],B12)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489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COUNTIFS(Resp4[Vínculo],"tecnico",Resp4[4.16],B7)</f>
        <v>0</v>
      </c>
      <c r="D7" s="4">
        <f>COUNTIFS(Resp4[Vínculo],"docente",Resp4[4.16],B7)</f>
        <v>0</v>
      </c>
      <c r="E7" s="4">
        <f>COUNTIF(Resp4[4.16],B7)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COUNTIFS(Resp4[Vínculo],"tecnico",Resp4[4.16],B9)</f>
        <v>0</v>
      </c>
      <c r="D9" s="4">
        <f>COUNTIFS(Resp4[Vínculo],"docente",Resp4[4.16],B9)</f>
        <v>0</v>
      </c>
      <c r="E9" s="4">
        <f>COUNTIF(Resp4[4.16],B9)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COUNTIFS(Resp4[Vínculo],"tecnico",Resp4[4.16],B11)</f>
        <v>1</v>
      </c>
      <c r="D11" s="4">
        <f>COUNTIFS(Resp4[Vínculo],"docente",Resp4[4.16],B11)</f>
        <v>0</v>
      </c>
      <c r="E11" s="4">
        <f>COUNTIF(Resp4[4.16],B11)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COUNTIFS(Resp4[Vínculo],"tecnico",Resp4[4.16],B12)</f>
        <v>0</v>
      </c>
      <c r="D12" s="4">
        <f>COUNTIFS(Resp4[Vínculo],"docente",Resp4[4.16],B12)</f>
        <v>0</v>
      </c>
      <c r="E12" s="4">
        <f>COUNTIF(Resp4[4.16],B12)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489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COUNTIFS(Resp4[Vínculo],"tecnico",Resp4[4.17],B7)</f>
        <v>0</v>
      </c>
      <c r="D7" s="4">
        <f>COUNTIFS(Resp4[Vínculo],"docente",Resp4[4.17],B7)</f>
        <v>0</v>
      </c>
      <c r="E7" s="4">
        <f>COUNTIF(Resp4[4.17],B7)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0</v>
      </c>
      <c r="E10" s="4">
        <f>COUNTIF(Resp4[4.17],B10)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COUNTIFS(Resp4[Vínculo],"tecnico",Resp4[4.17],B11)</f>
        <v>1</v>
      </c>
      <c r="D11" s="4">
        <f>COUNTIFS(Resp4[Vínculo],"docente",Resp4[4.17],B11)</f>
        <v>0</v>
      </c>
      <c r="E11" s="4">
        <f>COUNTIF(Resp4[4.17],B11)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COUNTIFS(Resp4[Vínculo],"tecnico",Resp4[4.17],B12)</f>
        <v>0</v>
      </c>
      <c r="D12" s="4">
        <f>COUNTIFS(Resp4[Vínculo],"docente",Resp4[4.17],B12)</f>
        <v>0</v>
      </c>
      <c r="E12" s="4">
        <f>COUNTIF(Resp4[4.17],B12)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0</v>
      </c>
      <c r="D7" s="4">
        <f>COUNTIFS(Resp4[Vínculo],"docente",Resp4[4.19],B7)</f>
        <v>0</v>
      </c>
      <c r="E7" s="2">
        <f>COUNTIF(Resp4[4.19],B7)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7</v>
      </c>
      <c r="D8" s="4">
        <f>COUNTIFS(Resp4[Vínculo],"docente",Resp4[4.19],B8)</f>
        <v>0</v>
      </c>
      <c r="E8" s="2">
        <f>COUNTIF(Resp4[4.19],B8)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489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COUNTIFS(Resp4[Vínculo],"tecnico",Resp4[4.20],B7)</f>
        <v>0</v>
      </c>
      <c r="D7" s="4">
        <f>COUNTIFS(Resp4[Vínculo],"docente",Resp4[4.20],B7)</f>
        <v>0</v>
      </c>
      <c r="E7" s="4">
        <f>COUNTIF(Resp4[4.20],B7)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COUNTIFS(Resp4[Vínculo],"tecnico",Resp4[4.20],B9)</f>
        <v>0</v>
      </c>
      <c r="D9" s="4">
        <f>COUNTIFS(Resp4[Vínculo],"docente",Resp4[4.20],B9)</f>
        <v>0</v>
      </c>
      <c r="E9" s="4">
        <f>COUNTIF(Resp4[4.20],B9)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0</v>
      </c>
      <c r="E10" s="4">
        <f>COUNTIF(Resp4[4.20],B10)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COUNTIFS(Resp4[Vínculo],"tecnico",Resp4[4.20],B11)</f>
        <v>0</v>
      </c>
      <c r="D11" s="4">
        <f>COUNTIFS(Resp4[Vínculo],"docente",Resp4[4.20],B11)</f>
        <v>0</v>
      </c>
      <c r="E11" s="4">
        <f>COUNTIF(Resp4[4.20],B11)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COUNTIFS(Resp4[Vínculo],"tecnico",Resp4[4.20],B12)</f>
        <v>0</v>
      </c>
      <c r="D12" s="4">
        <f>COUNTIFS(Resp4[Vínculo],"docente",Resp4[4.20],B12)</f>
        <v>0</v>
      </c>
      <c r="E12" s="4">
        <f>COUNTIF(Resp4[4.20],B12)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489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0</v>
      </c>
      <c r="E10" s="4">
        <f>COUNTIF(Resp4[4.21],B10)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COUNTIFS(Resp4[Vínculo],"tecnico",Resp4[4.21],B11)</f>
        <v>0</v>
      </c>
      <c r="D11" s="4">
        <f>COUNTIFS(Resp4[Vínculo],"docente",Resp4[4.21],B11)</f>
        <v>0</v>
      </c>
      <c r="E11" s="4">
        <f>COUNTIF(Resp4[4.21],B11)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COUNTIFS(Resp4[Vínculo],"tecnico",Resp4[4.21],B12)</f>
        <v>0</v>
      </c>
      <c r="D12" s="4">
        <f>COUNTIFS(Resp4[Vínculo],"docente",Resp4[4.21],B12)</f>
        <v>0</v>
      </c>
      <c r="E12" s="4">
        <f>COUNTIF(Resp4[4.21],B12)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489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COUNTIFS(Resp4[Vínculo],"tecnico",Resp4[4.22],B7)</f>
        <v>0</v>
      </c>
      <c r="D7" s="4">
        <f>COUNTIFS(Resp4[Vínculo],"docente",Resp4[4.22],B7)</f>
        <v>0</v>
      </c>
      <c r="E7" s="4">
        <f>COUNTIF(Resp4[4.22],B7)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0</v>
      </c>
      <c r="E10" s="4">
        <f>COUNTIF(Resp4[4.22],B10)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COUNTIFS(Resp4[Vínculo],"tecnico",Resp4[4.22],B11)</f>
        <v>0</v>
      </c>
      <c r="D11" s="4">
        <f>COUNTIFS(Resp4[Vínculo],"docente",Resp4[4.22],B11)</f>
        <v>0</v>
      </c>
      <c r="E11" s="4">
        <f>COUNTIF(Resp4[4.22],B11)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COUNTIFS(Resp4[Vínculo],"tecnico",Resp4[4.22],B12)</f>
        <v>0</v>
      </c>
      <c r="D12" s="4">
        <f>COUNTIFS(Resp4[Vínculo],"docente",Resp4[4.22],B12)</f>
        <v>0</v>
      </c>
      <c r="E12" s="4">
        <f>COUNTIF(Resp4[4.22],B12)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489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COUNTIFS(Resp4[Vínculo],"tecnico",Resp4[4.23],B9)</f>
        <v>0</v>
      </c>
      <c r="D9" s="4">
        <f>COUNTIFS(Resp4[Vínculo],"docente",Resp4[4.23],B9)</f>
        <v>0</v>
      </c>
      <c r="E9" s="4">
        <f>COUNTIF(Resp4[4.23],B9)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0</v>
      </c>
      <c r="E10" s="4">
        <f>COUNTIF(Resp4[4.23],B10)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COUNTIFS(Resp4[Vínculo],"tecnico",Resp4[4.23],B11)</f>
        <v>0</v>
      </c>
      <c r="D11" s="4">
        <f>COUNTIFS(Resp4[Vínculo],"docente",Resp4[4.23],B11)</f>
        <v>0</v>
      </c>
      <c r="E11" s="4">
        <f>COUNTIF(Resp4[4.23],B11)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COUNTIFS(Resp4[Vínculo],"tecnico",Resp4[4.23],B12)</f>
        <v>0</v>
      </c>
      <c r="D12" s="4">
        <f>COUNTIFS(Resp4[Vínculo],"docente",Resp4[4.23],B12)</f>
        <v>0</v>
      </c>
      <c r="E12" s="4">
        <f>COUNTIF(Resp4[4.23],B12)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489</v>
      </c>
      <c r="B3" s="2" t="str">
        <f>VLOOKUP(A$2,Eixo4[],4,FALSE)</f>
        <v>Eixo 4: Questão 24</v>
      </c>
    </row>
    <row r="5" spans="1:7" x14ac:dyDescent="0.25"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</row>
    <row r="6" spans="1:7" x14ac:dyDescent="0.25"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7</v>
      </c>
      <c r="D7" s="4">
        <f>COUNTIFS(Resp4[Vínculo],"docente",Resp4[4.24],B7)</f>
        <v>0</v>
      </c>
      <c r="E7" s="2">
        <f>COUNTIF(Resp4[4.24],B7)</f>
        <v>7</v>
      </c>
      <c r="F7" s="4">
        <f t="shared" ref="F7:F9" si="0">ROUND($E7/E$9*100,2)</f>
        <v>100</v>
      </c>
      <c r="G7" s="4">
        <f>ROUND($E7/SUM($E$7:$E$8)*100,2)</f>
        <v>100</v>
      </c>
    </row>
    <row r="8" spans="1:7" x14ac:dyDescent="0.25">
      <c r="B8" s="7" t="s">
        <v>505</v>
      </c>
      <c r="C8" s="22">
        <f>COUNTIFS(Resp4[Vínculo],"tecnico",Resp4[4.24],B8)</f>
        <v>0</v>
      </c>
      <c r="D8" s="22">
        <f>COUNTIFS(Resp4[Vínculo],"docente",Resp4[4.24],B8)</f>
        <v>0</v>
      </c>
      <c r="E8" s="7">
        <f>COUNTIF(Resp4[4.24],B8)</f>
        <v>0</v>
      </c>
      <c r="F8" s="22">
        <f t="shared" si="0"/>
        <v>0</v>
      </c>
      <c r="G8" s="22">
        <f>ROUND($E8/SUM($E$7:$E$8)*100,2)</f>
        <v>0</v>
      </c>
    </row>
    <row r="9" spans="1:7" x14ac:dyDescent="0.25">
      <c r="B9" t="s">
        <v>499</v>
      </c>
      <c r="C9">
        <f>SUM(C6:C8)</f>
        <v>7</v>
      </c>
      <c r="D9">
        <f>SUM(D6:D8)</f>
        <v>0</v>
      </c>
      <c r="E9">
        <f>C9+D9</f>
        <v>7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204</v>
      </c>
      <c r="B1" s="92" t="s">
        <v>205</v>
      </c>
      <c r="C1" s="92" t="s">
        <v>206</v>
      </c>
      <c r="D1" s="92" t="s">
        <v>207</v>
      </c>
      <c r="E1" s="93" t="s">
        <v>208</v>
      </c>
    </row>
    <row r="2" spans="1:5" customFormat="1" x14ac:dyDescent="0.25">
      <c r="A2" t="s">
        <v>57</v>
      </c>
      <c r="B2" t="s">
        <v>5</v>
      </c>
      <c r="C2" s="1" t="s">
        <v>209</v>
      </c>
      <c r="D2" s="95" t="s">
        <v>210</v>
      </c>
    </row>
    <row r="3" spans="1:5" x14ac:dyDescent="0.25">
      <c r="A3" s="94" t="s">
        <v>58</v>
      </c>
      <c r="B3" s="94" t="s">
        <v>3</v>
      </c>
      <c r="C3" s="96" t="s">
        <v>211</v>
      </c>
      <c r="D3" s="97" t="s">
        <v>212</v>
      </c>
    </row>
    <row r="4" spans="1:5" x14ac:dyDescent="0.25">
      <c r="A4" s="94" t="s">
        <v>59</v>
      </c>
      <c r="B4" s="94" t="s">
        <v>3</v>
      </c>
      <c r="C4" s="96" t="s">
        <v>213</v>
      </c>
      <c r="D4" s="97" t="s">
        <v>214</v>
      </c>
    </row>
    <row r="5" spans="1:5" x14ac:dyDescent="0.25">
      <c r="A5" s="94" t="s">
        <v>60</v>
      </c>
      <c r="B5" s="94" t="s">
        <v>3</v>
      </c>
      <c r="C5" s="96" t="s">
        <v>215</v>
      </c>
      <c r="D5" s="97" t="s">
        <v>216</v>
      </c>
    </row>
    <row r="6" spans="1:5" x14ac:dyDescent="0.25">
      <c r="A6" s="94" t="s">
        <v>61</v>
      </c>
      <c r="B6" s="94" t="s">
        <v>3</v>
      </c>
      <c r="C6" s="96" t="s">
        <v>217</v>
      </c>
      <c r="D6" s="97" t="s">
        <v>218</v>
      </c>
    </row>
    <row r="7" spans="1:5" x14ac:dyDescent="0.25">
      <c r="A7" s="94" t="s">
        <v>62</v>
      </c>
      <c r="B7" s="94" t="s">
        <v>3</v>
      </c>
      <c r="C7" s="96" t="s">
        <v>219</v>
      </c>
      <c r="D7" s="97" t="s">
        <v>220</v>
      </c>
    </row>
    <row r="8" spans="1:5" x14ac:dyDescent="0.25">
      <c r="A8" s="94" t="s">
        <v>63</v>
      </c>
      <c r="B8" s="94" t="s">
        <v>3</v>
      </c>
      <c r="C8" s="96" t="s">
        <v>221</v>
      </c>
      <c r="D8" s="97" t="s">
        <v>222</v>
      </c>
    </row>
    <row r="9" spans="1:5" x14ac:dyDescent="0.25">
      <c r="A9" s="94" t="s">
        <v>64</v>
      </c>
      <c r="B9" s="94" t="s">
        <v>3</v>
      </c>
      <c r="C9" s="96" t="s">
        <v>223</v>
      </c>
      <c r="D9" s="97" t="s">
        <v>224</v>
      </c>
    </row>
    <row r="10" spans="1:5" x14ac:dyDescent="0.25">
      <c r="A10" s="94" t="s">
        <v>65</v>
      </c>
      <c r="B10" s="94" t="s">
        <v>3</v>
      </c>
      <c r="C10" s="96" t="s">
        <v>225</v>
      </c>
      <c r="D10" s="97" t="s">
        <v>226</v>
      </c>
    </row>
    <row r="11" spans="1:5" x14ac:dyDescent="0.25">
      <c r="A11" s="94" t="s">
        <v>66</v>
      </c>
      <c r="B11" s="94" t="s">
        <v>3</v>
      </c>
      <c r="C11" s="96" t="s">
        <v>227</v>
      </c>
      <c r="D11" s="97" t="s">
        <v>228</v>
      </c>
    </row>
    <row r="12" spans="1:5" x14ac:dyDescent="0.25">
      <c r="A12" s="94" t="s">
        <v>67</v>
      </c>
      <c r="B12" s="94" t="s">
        <v>3</v>
      </c>
      <c r="C12" s="96" t="s">
        <v>229</v>
      </c>
      <c r="D12" s="97" t="s">
        <v>230</v>
      </c>
    </row>
    <row r="13" spans="1:5" x14ac:dyDescent="0.25">
      <c r="A13" s="94" t="s">
        <v>68</v>
      </c>
      <c r="B13" s="94" t="s">
        <v>3</v>
      </c>
      <c r="C13" s="96" t="s">
        <v>231</v>
      </c>
      <c r="D13" s="97" t="s">
        <v>232</v>
      </c>
    </row>
    <row r="14" spans="1:5" x14ac:dyDescent="0.25">
      <c r="A14" s="94" t="s">
        <v>69</v>
      </c>
      <c r="B14" s="94" t="s">
        <v>3</v>
      </c>
      <c r="C14" s="96" t="s">
        <v>233</v>
      </c>
      <c r="D14" s="97" t="s">
        <v>234</v>
      </c>
    </row>
    <row r="15" spans="1:5" x14ac:dyDescent="0.25">
      <c r="A15" s="94" t="s">
        <v>70</v>
      </c>
      <c r="B15" s="94" t="s">
        <v>3</v>
      </c>
      <c r="C15" s="96" t="s">
        <v>235</v>
      </c>
      <c r="D15" s="97" t="s">
        <v>236</v>
      </c>
    </row>
    <row r="16" spans="1:5" x14ac:dyDescent="0.25">
      <c r="A16" s="94" t="s">
        <v>71</v>
      </c>
      <c r="B16" s="94" t="s">
        <v>3</v>
      </c>
      <c r="C16" s="96" t="s">
        <v>237</v>
      </c>
      <c r="D16" s="97" t="s">
        <v>238</v>
      </c>
    </row>
    <row r="17" spans="1:5" x14ac:dyDescent="0.25">
      <c r="A17" s="94" t="s">
        <v>72</v>
      </c>
      <c r="B17" s="94" t="s">
        <v>3</v>
      </c>
      <c r="C17" s="96" t="s">
        <v>239</v>
      </c>
      <c r="D17" s="97" t="s">
        <v>240</v>
      </c>
    </row>
    <row r="18" spans="1:5" x14ac:dyDescent="0.25">
      <c r="A18" s="94" t="s">
        <v>73</v>
      </c>
      <c r="B18" s="94" t="s">
        <v>3</v>
      </c>
      <c r="C18" s="96" t="s">
        <v>241</v>
      </c>
      <c r="D18" s="97" t="s">
        <v>242</v>
      </c>
    </row>
    <row r="19" spans="1:5" customFormat="1" x14ac:dyDescent="0.25">
      <c r="A19" t="s">
        <v>74</v>
      </c>
      <c r="B19" t="s">
        <v>243</v>
      </c>
      <c r="C19" s="1" t="s">
        <v>244</v>
      </c>
      <c r="D19" s="95" t="s">
        <v>245</v>
      </c>
      <c r="E19" t="s">
        <v>246</v>
      </c>
    </row>
    <row r="20" spans="1:5" customFormat="1" x14ac:dyDescent="0.25">
      <c r="A20" t="s">
        <v>75</v>
      </c>
      <c r="B20" t="s">
        <v>5</v>
      </c>
      <c r="C20" s="1" t="s">
        <v>247</v>
      </c>
      <c r="D20" s="95" t="s">
        <v>248</v>
      </c>
    </row>
    <row r="21" spans="1:5" x14ac:dyDescent="0.25">
      <c r="A21" s="94" t="s">
        <v>76</v>
      </c>
      <c r="B21" s="94" t="s">
        <v>3</v>
      </c>
      <c r="C21" s="96" t="s">
        <v>249</v>
      </c>
      <c r="D21" s="97" t="s">
        <v>250</v>
      </c>
    </row>
    <row r="22" spans="1:5" x14ac:dyDescent="0.25">
      <c r="A22" s="94" t="s">
        <v>77</v>
      </c>
      <c r="B22" s="94" t="s">
        <v>3</v>
      </c>
      <c r="C22" s="96" t="s">
        <v>251</v>
      </c>
      <c r="D22" s="97" t="s">
        <v>252</v>
      </c>
    </row>
    <row r="23" spans="1:5" x14ac:dyDescent="0.25">
      <c r="A23" s="94" t="s">
        <v>78</v>
      </c>
      <c r="B23" s="94" t="s">
        <v>3</v>
      </c>
      <c r="C23" s="96" t="s">
        <v>253</v>
      </c>
      <c r="D23" s="97" t="s">
        <v>254</v>
      </c>
    </row>
    <row r="24" spans="1:5" x14ac:dyDescent="0.25">
      <c r="A24" s="94" t="s">
        <v>79</v>
      </c>
      <c r="B24" s="94" t="s">
        <v>3</v>
      </c>
      <c r="C24" s="96" t="s">
        <v>255</v>
      </c>
      <c r="D24" s="97" t="s">
        <v>256</v>
      </c>
    </row>
    <row r="25" spans="1:5" customFormat="1" x14ac:dyDescent="0.25">
      <c r="A25" t="s">
        <v>80</v>
      </c>
      <c r="B25" t="s">
        <v>42</v>
      </c>
      <c r="C25" s="1" t="s">
        <v>257</v>
      </c>
      <c r="D25" s="95" t="s">
        <v>258</v>
      </c>
      <c r="E25" t="s">
        <v>259</v>
      </c>
    </row>
    <row r="26" spans="1:5" x14ac:dyDescent="0.25">
      <c r="A26" s="94" t="s">
        <v>81</v>
      </c>
      <c r="B26" s="94" t="s">
        <v>3</v>
      </c>
      <c r="C26" s="96" t="s">
        <v>260</v>
      </c>
      <c r="D26" s="97" t="s">
        <v>261</v>
      </c>
    </row>
    <row r="27" spans="1:5" x14ac:dyDescent="0.25">
      <c r="A27" s="94" t="s">
        <v>82</v>
      </c>
      <c r="B27" s="94" t="s">
        <v>3</v>
      </c>
      <c r="C27" s="96" t="s">
        <v>262</v>
      </c>
      <c r="D27" s="97" t="s">
        <v>263</v>
      </c>
    </row>
    <row r="28" spans="1:5" x14ac:dyDescent="0.25">
      <c r="A28" s="94" t="s">
        <v>83</v>
      </c>
      <c r="B28" s="94" t="s">
        <v>3</v>
      </c>
      <c r="C28" s="96" t="s">
        <v>264</v>
      </c>
      <c r="D28" s="97" t="s">
        <v>265</v>
      </c>
    </row>
    <row r="29" spans="1:5" x14ac:dyDescent="0.25">
      <c r="A29" s="94" t="s">
        <v>84</v>
      </c>
      <c r="B29" s="94" t="s">
        <v>3</v>
      </c>
      <c r="C29" s="96" t="s">
        <v>266</v>
      </c>
      <c r="D29" s="97" t="s">
        <v>267</v>
      </c>
    </row>
    <row r="30" spans="1:5" x14ac:dyDescent="0.25">
      <c r="A30" s="94" t="s">
        <v>85</v>
      </c>
      <c r="B30" s="94" t="s">
        <v>3</v>
      </c>
      <c r="C30" s="96" t="s">
        <v>268</v>
      </c>
      <c r="D30" s="97" t="s">
        <v>269</v>
      </c>
    </row>
    <row r="31" spans="1:5" x14ac:dyDescent="0.25">
      <c r="A31" s="94" t="s">
        <v>86</v>
      </c>
      <c r="B31" s="94" t="s">
        <v>3</v>
      </c>
      <c r="C31" s="96" t="s">
        <v>270</v>
      </c>
      <c r="D31" s="97" t="s">
        <v>271</v>
      </c>
    </row>
    <row r="32" spans="1:5" x14ac:dyDescent="0.25">
      <c r="A32" s="94" t="s">
        <v>87</v>
      </c>
      <c r="B32" s="94" t="s">
        <v>3</v>
      </c>
      <c r="C32" s="96" t="s">
        <v>272</v>
      </c>
      <c r="D32" s="97" t="s">
        <v>273</v>
      </c>
    </row>
    <row r="33" spans="1:5" x14ac:dyDescent="0.25">
      <c r="A33" s="94" t="s">
        <v>88</v>
      </c>
      <c r="B33" s="94" t="s">
        <v>3</v>
      </c>
      <c r="C33" s="96" t="s">
        <v>274</v>
      </c>
      <c r="D33" s="97" t="s">
        <v>275</v>
      </c>
    </row>
    <row r="34" spans="1:5" customFormat="1" x14ac:dyDescent="0.25">
      <c r="A34" t="s">
        <v>89</v>
      </c>
      <c r="B34" t="s">
        <v>5</v>
      </c>
      <c r="C34" s="1" t="s">
        <v>276</v>
      </c>
      <c r="D34" s="95" t="s">
        <v>277</v>
      </c>
    </row>
    <row r="35" spans="1:5" x14ac:dyDescent="0.25">
      <c r="A35" s="94" t="s">
        <v>90</v>
      </c>
      <c r="B35" s="94" t="s">
        <v>3</v>
      </c>
      <c r="C35" s="96" t="s">
        <v>278</v>
      </c>
      <c r="D35" s="97" t="s">
        <v>279</v>
      </c>
    </row>
    <row r="36" spans="1:5" x14ac:dyDescent="0.25">
      <c r="A36" s="94" t="s">
        <v>91</v>
      </c>
      <c r="B36" s="94" t="s">
        <v>3</v>
      </c>
      <c r="C36" s="96" t="s">
        <v>280</v>
      </c>
      <c r="D36" s="97" t="s">
        <v>281</v>
      </c>
    </row>
    <row r="37" spans="1:5" x14ac:dyDescent="0.25">
      <c r="A37" s="94" t="s">
        <v>92</v>
      </c>
      <c r="B37" s="94" t="s">
        <v>3</v>
      </c>
      <c r="C37" s="96" t="s">
        <v>282</v>
      </c>
      <c r="D37" s="97" t="s">
        <v>283</v>
      </c>
    </row>
    <row r="38" spans="1:5" customFormat="1" x14ac:dyDescent="0.25">
      <c r="A38" t="s">
        <v>93</v>
      </c>
      <c r="B38" t="s">
        <v>243</v>
      </c>
      <c r="C38" s="1" t="s">
        <v>284</v>
      </c>
      <c r="D38" s="95" t="s">
        <v>285</v>
      </c>
      <c r="E38" t="s">
        <v>246</v>
      </c>
    </row>
    <row r="39" spans="1:5" customFormat="1" x14ac:dyDescent="0.25">
      <c r="A39" t="s">
        <v>94</v>
      </c>
      <c r="B39" t="s">
        <v>5</v>
      </c>
      <c r="C39" s="1" t="s">
        <v>286</v>
      </c>
      <c r="D39" s="95" t="s">
        <v>287</v>
      </c>
    </row>
    <row r="40" spans="1:5" x14ac:dyDescent="0.25">
      <c r="A40" s="94" t="s">
        <v>95</v>
      </c>
      <c r="B40" s="94" t="s">
        <v>288</v>
      </c>
      <c r="C40" s="96" t="s">
        <v>289</v>
      </c>
      <c r="D40" s="97" t="s">
        <v>290</v>
      </c>
    </row>
    <row r="41" spans="1:5" x14ac:dyDescent="0.25">
      <c r="A41" s="94" t="s">
        <v>96</v>
      </c>
      <c r="B41" s="94" t="s">
        <v>288</v>
      </c>
      <c r="C41" s="96" t="s">
        <v>291</v>
      </c>
      <c r="D41" s="97" t="s">
        <v>292</v>
      </c>
    </row>
    <row r="42" spans="1:5" x14ac:dyDescent="0.25">
      <c r="A42" s="94" t="s">
        <v>97</v>
      </c>
      <c r="B42" s="94" t="s">
        <v>288</v>
      </c>
      <c r="C42" s="96" t="s">
        <v>293</v>
      </c>
      <c r="D42" s="97" t="s">
        <v>294</v>
      </c>
    </row>
    <row r="43" spans="1:5" x14ac:dyDescent="0.25">
      <c r="A43" s="94" t="s">
        <v>98</v>
      </c>
      <c r="B43" s="94" t="s">
        <v>288</v>
      </c>
      <c r="C43" s="96" t="s">
        <v>295</v>
      </c>
      <c r="D43" s="97" t="s">
        <v>296</v>
      </c>
    </row>
    <row r="44" spans="1:5" x14ac:dyDescent="0.25">
      <c r="A44" s="94" t="s">
        <v>99</v>
      </c>
      <c r="B44" s="94" t="s">
        <v>288</v>
      </c>
      <c r="C44" s="96" t="s">
        <v>297</v>
      </c>
      <c r="D44" s="97" t="s">
        <v>298</v>
      </c>
    </row>
    <row r="45" spans="1:5" x14ac:dyDescent="0.25">
      <c r="A45" s="94" t="s">
        <v>100</v>
      </c>
      <c r="B45" s="94" t="s">
        <v>288</v>
      </c>
      <c r="C45" s="96" t="s">
        <v>299</v>
      </c>
      <c r="D45" s="97" t="s">
        <v>300</v>
      </c>
    </row>
    <row r="46" spans="1:5" x14ac:dyDescent="0.25">
      <c r="A46" s="94" t="s">
        <v>101</v>
      </c>
      <c r="B46" s="94" t="s">
        <v>288</v>
      </c>
      <c r="C46" s="96" t="s">
        <v>301</v>
      </c>
      <c r="D46" s="97" t="s">
        <v>302</v>
      </c>
    </row>
    <row r="47" spans="1:5" x14ac:dyDescent="0.25">
      <c r="A47" s="94" t="s">
        <v>102</v>
      </c>
      <c r="B47" s="94" t="s">
        <v>288</v>
      </c>
      <c r="C47" s="96" t="s">
        <v>303</v>
      </c>
      <c r="D47" s="97" t="s">
        <v>304</v>
      </c>
    </row>
    <row r="48" spans="1:5" x14ac:dyDescent="0.25">
      <c r="A48" s="94" t="s">
        <v>103</v>
      </c>
      <c r="B48" s="94" t="s">
        <v>288</v>
      </c>
      <c r="C48" s="96" t="s">
        <v>305</v>
      </c>
      <c r="D48" s="97" t="s">
        <v>306</v>
      </c>
    </row>
    <row r="49" spans="1:5" x14ac:dyDescent="0.25">
      <c r="A49" s="94" t="s">
        <v>104</v>
      </c>
      <c r="B49" s="94" t="s">
        <v>288</v>
      </c>
      <c r="C49" s="96" t="s">
        <v>307</v>
      </c>
      <c r="D49" s="97" t="s">
        <v>308</v>
      </c>
    </row>
    <row r="50" spans="1:5" customFormat="1" x14ac:dyDescent="0.25">
      <c r="A50" t="s">
        <v>105</v>
      </c>
      <c r="B50" t="s">
        <v>243</v>
      </c>
      <c r="C50" s="1" t="s">
        <v>309</v>
      </c>
      <c r="D50" s="95" t="s">
        <v>310</v>
      </c>
      <c r="E50" t="s">
        <v>246</v>
      </c>
    </row>
    <row r="51" spans="1:5" customFormat="1" x14ac:dyDescent="0.25">
      <c r="A51" t="s">
        <v>106</v>
      </c>
      <c r="B51" t="s">
        <v>5</v>
      </c>
      <c r="C51" s="1" t="s">
        <v>311</v>
      </c>
      <c r="D51" s="95" t="s">
        <v>312</v>
      </c>
    </row>
    <row r="52" spans="1:5" customFormat="1" x14ac:dyDescent="0.25">
      <c r="A52" t="s">
        <v>107</v>
      </c>
      <c r="B52" t="s">
        <v>5</v>
      </c>
      <c r="C52" s="1" t="s">
        <v>313</v>
      </c>
      <c r="D52" s="95" t="s">
        <v>314</v>
      </c>
    </row>
    <row r="53" spans="1:5" x14ac:dyDescent="0.25">
      <c r="A53" s="94" t="s">
        <v>108</v>
      </c>
      <c r="B53" s="94" t="s">
        <v>288</v>
      </c>
      <c r="C53" s="96" t="s">
        <v>315</v>
      </c>
      <c r="D53" s="97" t="s">
        <v>316</v>
      </c>
    </row>
    <row r="54" spans="1:5" x14ac:dyDescent="0.25">
      <c r="A54" s="94" t="s">
        <v>109</v>
      </c>
      <c r="B54" s="94" t="s">
        <v>288</v>
      </c>
      <c r="C54" s="96" t="s">
        <v>317</v>
      </c>
      <c r="D54" s="97" t="s">
        <v>318</v>
      </c>
    </row>
    <row r="55" spans="1:5" x14ac:dyDescent="0.25">
      <c r="A55" s="94" t="s">
        <v>110</v>
      </c>
      <c r="B55" s="94" t="s">
        <v>288</v>
      </c>
      <c r="C55" s="96" t="s">
        <v>319</v>
      </c>
      <c r="D55" s="97" t="s">
        <v>320</v>
      </c>
    </row>
    <row r="56" spans="1:5" x14ac:dyDescent="0.25">
      <c r="A56" s="94" t="s">
        <v>111</v>
      </c>
      <c r="B56" s="94" t="s">
        <v>288</v>
      </c>
      <c r="C56" s="96" t="s">
        <v>321</v>
      </c>
      <c r="D56" s="97" t="s">
        <v>322</v>
      </c>
    </row>
    <row r="57" spans="1:5" x14ac:dyDescent="0.25">
      <c r="A57" s="94" t="s">
        <v>112</v>
      </c>
      <c r="B57" s="94" t="s">
        <v>288</v>
      </c>
      <c r="C57" s="96" t="s">
        <v>323</v>
      </c>
      <c r="D57" s="97" t="s">
        <v>324</v>
      </c>
    </row>
    <row r="58" spans="1:5" x14ac:dyDescent="0.25">
      <c r="A58" s="94" t="s">
        <v>113</v>
      </c>
      <c r="B58" s="94" t="s">
        <v>288</v>
      </c>
      <c r="C58" s="96" t="s">
        <v>325</v>
      </c>
      <c r="D58" s="97" t="s">
        <v>326</v>
      </c>
    </row>
    <row r="59" spans="1:5" x14ac:dyDescent="0.25">
      <c r="A59" s="94" t="s">
        <v>114</v>
      </c>
      <c r="B59" s="94" t="s">
        <v>288</v>
      </c>
      <c r="C59" s="96" t="s">
        <v>327</v>
      </c>
      <c r="D59" s="97" t="s">
        <v>328</v>
      </c>
    </row>
    <row r="60" spans="1:5" x14ac:dyDescent="0.25">
      <c r="A60" s="94" t="s">
        <v>115</v>
      </c>
      <c r="B60" s="94" t="s">
        <v>288</v>
      </c>
      <c r="C60" s="96" t="s">
        <v>329</v>
      </c>
      <c r="D60" s="97" t="s">
        <v>330</v>
      </c>
    </row>
    <row r="61" spans="1:5" x14ac:dyDescent="0.25">
      <c r="A61" s="94" t="s">
        <v>116</v>
      </c>
      <c r="B61" s="94" t="s">
        <v>288</v>
      </c>
      <c r="C61" s="96" t="s">
        <v>331</v>
      </c>
      <c r="D61" s="97" t="s">
        <v>332</v>
      </c>
    </row>
    <row r="62" spans="1:5" x14ac:dyDescent="0.25">
      <c r="A62" s="94" t="s">
        <v>117</v>
      </c>
      <c r="B62" s="94" t="s">
        <v>288</v>
      </c>
      <c r="C62" s="96" t="s">
        <v>333</v>
      </c>
      <c r="D62" s="97" t="s">
        <v>334</v>
      </c>
    </row>
    <row r="63" spans="1:5" x14ac:dyDescent="0.25">
      <c r="A63" s="94" t="s">
        <v>118</v>
      </c>
      <c r="B63" s="94" t="s">
        <v>288</v>
      </c>
      <c r="C63" s="96" t="s">
        <v>335</v>
      </c>
      <c r="D63" s="97" t="s">
        <v>336</v>
      </c>
    </row>
    <row r="64" spans="1:5" x14ac:dyDescent="0.25">
      <c r="A64" s="94" t="s">
        <v>119</v>
      </c>
      <c r="B64" s="94" t="s">
        <v>288</v>
      </c>
      <c r="C64" s="96" t="s">
        <v>337</v>
      </c>
      <c r="D64" s="97" t="s">
        <v>338</v>
      </c>
    </row>
    <row r="65" spans="1:5" x14ac:dyDescent="0.25">
      <c r="A65" s="94" t="s">
        <v>120</v>
      </c>
      <c r="B65" s="94" t="s">
        <v>288</v>
      </c>
      <c r="C65" s="96" t="s">
        <v>339</v>
      </c>
      <c r="D65" s="97" t="s">
        <v>340</v>
      </c>
    </row>
    <row r="66" spans="1:5" x14ac:dyDescent="0.25">
      <c r="A66" s="94" t="s">
        <v>121</v>
      </c>
      <c r="B66" s="94" t="s">
        <v>288</v>
      </c>
      <c r="C66" s="96" t="s">
        <v>341</v>
      </c>
      <c r="D66" s="97" t="s">
        <v>342</v>
      </c>
    </row>
    <row r="67" spans="1:5" x14ac:dyDescent="0.25">
      <c r="A67" s="94" t="s">
        <v>122</v>
      </c>
      <c r="B67" s="94" t="s">
        <v>288</v>
      </c>
      <c r="C67" s="96" t="s">
        <v>343</v>
      </c>
      <c r="D67" s="97" t="s">
        <v>344</v>
      </c>
    </row>
    <row r="68" spans="1:5" x14ac:dyDescent="0.25">
      <c r="A68" s="94" t="s">
        <v>123</v>
      </c>
      <c r="B68" s="94" t="s">
        <v>288</v>
      </c>
      <c r="C68" s="96" t="s">
        <v>345</v>
      </c>
      <c r="D68" s="97" t="s">
        <v>346</v>
      </c>
    </row>
    <row r="69" spans="1:5" x14ac:dyDescent="0.25">
      <c r="A69" s="94" t="s">
        <v>124</v>
      </c>
      <c r="B69" s="94" t="s">
        <v>288</v>
      </c>
      <c r="C69" s="96" t="s">
        <v>347</v>
      </c>
      <c r="D69" s="97" t="s">
        <v>348</v>
      </c>
    </row>
    <row r="70" spans="1:5" x14ac:dyDescent="0.25">
      <c r="A70" s="94" t="s">
        <v>125</v>
      </c>
      <c r="B70" s="94" t="s">
        <v>288</v>
      </c>
      <c r="C70" s="96" t="s">
        <v>349</v>
      </c>
      <c r="D70" s="97" t="s">
        <v>350</v>
      </c>
    </row>
    <row r="71" spans="1:5" customFormat="1" x14ac:dyDescent="0.25">
      <c r="A71" t="s">
        <v>126</v>
      </c>
      <c r="B71" t="s">
        <v>243</v>
      </c>
      <c r="C71" s="1" t="s">
        <v>351</v>
      </c>
      <c r="D71" s="95" t="s">
        <v>352</v>
      </c>
      <c r="E71" t="s">
        <v>246</v>
      </c>
    </row>
    <row r="72" spans="1:5" x14ac:dyDescent="0.25">
      <c r="A72" s="94" t="s">
        <v>127</v>
      </c>
      <c r="B72" s="94" t="s">
        <v>7</v>
      </c>
      <c r="C72" s="96" t="s">
        <v>353</v>
      </c>
      <c r="D72" s="97" t="s">
        <v>354</v>
      </c>
    </row>
    <row r="73" spans="1:5" x14ac:dyDescent="0.25">
      <c r="A73" s="94" t="s">
        <v>128</v>
      </c>
      <c r="B73" s="94" t="s">
        <v>7</v>
      </c>
      <c r="C73" s="96" t="s">
        <v>355</v>
      </c>
      <c r="D73" s="97" t="s">
        <v>356</v>
      </c>
    </row>
    <row r="74" spans="1:5" x14ac:dyDescent="0.25">
      <c r="A74" s="94" t="s">
        <v>129</v>
      </c>
      <c r="B74" s="94" t="s">
        <v>7</v>
      </c>
      <c r="C74" s="96" t="s">
        <v>357</v>
      </c>
      <c r="D74" s="97" t="s">
        <v>358</v>
      </c>
    </row>
    <row r="75" spans="1:5" x14ac:dyDescent="0.25">
      <c r="A75" s="94" t="s">
        <v>130</v>
      </c>
      <c r="B75" s="94" t="s">
        <v>7</v>
      </c>
      <c r="C75" s="96" t="s">
        <v>359</v>
      </c>
      <c r="D75" s="97" t="s">
        <v>360</v>
      </c>
    </row>
    <row r="76" spans="1:5" x14ac:dyDescent="0.25">
      <c r="A76" s="94" t="s">
        <v>131</v>
      </c>
      <c r="B76" s="94" t="s">
        <v>7</v>
      </c>
      <c r="C76" s="96" t="s">
        <v>361</v>
      </c>
      <c r="D76" s="97" t="s">
        <v>362</v>
      </c>
    </row>
    <row r="77" spans="1:5" x14ac:dyDescent="0.25">
      <c r="A77" s="94" t="s">
        <v>132</v>
      </c>
      <c r="B77" s="94" t="s">
        <v>7</v>
      </c>
      <c r="C77" s="96" t="s">
        <v>363</v>
      </c>
      <c r="D77" s="97" t="s">
        <v>364</v>
      </c>
    </row>
    <row r="78" spans="1:5" x14ac:dyDescent="0.25">
      <c r="A78" s="94" t="s">
        <v>133</v>
      </c>
      <c r="B78" s="94" t="s">
        <v>7</v>
      </c>
      <c r="C78" s="96" t="s">
        <v>365</v>
      </c>
      <c r="D78" s="97" t="s">
        <v>366</v>
      </c>
    </row>
    <row r="79" spans="1:5" customFormat="1" x14ac:dyDescent="0.25">
      <c r="A79" t="s">
        <v>134</v>
      </c>
      <c r="B79" t="s">
        <v>243</v>
      </c>
      <c r="C79" s="1" t="s">
        <v>367</v>
      </c>
      <c r="D79" s="95" t="s">
        <v>368</v>
      </c>
      <c r="E79" t="s">
        <v>246</v>
      </c>
    </row>
    <row r="80" spans="1:5" customFormat="1" x14ac:dyDescent="0.25">
      <c r="A80" t="s">
        <v>135</v>
      </c>
      <c r="B80" t="s">
        <v>9</v>
      </c>
      <c r="C80" s="1" t="s">
        <v>369</v>
      </c>
      <c r="D80" s="95" t="s">
        <v>370</v>
      </c>
      <c r="E80" t="s">
        <v>371</v>
      </c>
    </row>
    <row r="81" spans="1:5" customFormat="1" x14ac:dyDescent="0.25">
      <c r="A81" t="s">
        <v>136</v>
      </c>
      <c r="B81" t="s">
        <v>243</v>
      </c>
      <c r="C81" s="1" t="s">
        <v>372</v>
      </c>
      <c r="D81" s="95" t="s">
        <v>373</v>
      </c>
      <c r="E81" t="s">
        <v>246</v>
      </c>
    </row>
    <row r="82" spans="1:5" customFormat="1" x14ac:dyDescent="0.25">
      <c r="A82" t="s">
        <v>137</v>
      </c>
      <c r="B82" t="s">
        <v>5</v>
      </c>
      <c r="C82" s="1" t="s">
        <v>374</v>
      </c>
      <c r="D82" s="95" t="s">
        <v>375</v>
      </c>
    </row>
    <row r="83" spans="1:5" customFormat="1" x14ac:dyDescent="0.25">
      <c r="A83" t="s">
        <v>138</v>
      </c>
      <c r="B83" t="s">
        <v>243</v>
      </c>
      <c r="C83" s="1" t="s">
        <v>376</v>
      </c>
      <c r="D83" s="95" t="s">
        <v>377</v>
      </c>
      <c r="E83" t="s">
        <v>246</v>
      </c>
    </row>
    <row r="84" spans="1:5" customFormat="1" x14ac:dyDescent="0.25">
      <c r="A84" t="s">
        <v>139</v>
      </c>
      <c r="B84" t="s">
        <v>243</v>
      </c>
      <c r="C84" s="1" t="s">
        <v>378</v>
      </c>
      <c r="D84" s="95" t="s">
        <v>379</v>
      </c>
      <c r="E84" t="s">
        <v>246</v>
      </c>
    </row>
    <row r="85" spans="1:5" customFormat="1" x14ac:dyDescent="0.25">
      <c r="A85" t="s">
        <v>140</v>
      </c>
      <c r="B85" t="s">
        <v>243</v>
      </c>
      <c r="C85" s="1" t="s">
        <v>380</v>
      </c>
      <c r="D85" s="95" t="s">
        <v>381</v>
      </c>
      <c r="E85" t="s">
        <v>246</v>
      </c>
    </row>
    <row r="86" spans="1:5" customFormat="1" x14ac:dyDescent="0.25">
      <c r="A86" t="s">
        <v>141</v>
      </c>
      <c r="B86" t="s">
        <v>5</v>
      </c>
      <c r="C86" s="1" t="s">
        <v>382</v>
      </c>
      <c r="D86" s="95" t="s">
        <v>383</v>
      </c>
    </row>
    <row r="87" spans="1:5" x14ac:dyDescent="0.25">
      <c r="A87" s="94" t="s">
        <v>142</v>
      </c>
      <c r="B87" s="94" t="s">
        <v>3</v>
      </c>
      <c r="C87" s="96" t="s">
        <v>384</v>
      </c>
      <c r="D87" s="97" t="s">
        <v>385</v>
      </c>
    </row>
    <row r="88" spans="1:5" x14ac:dyDescent="0.25">
      <c r="A88" s="94" t="s">
        <v>143</v>
      </c>
      <c r="B88" s="94" t="s">
        <v>3</v>
      </c>
      <c r="C88" s="96" t="s">
        <v>386</v>
      </c>
      <c r="D88" s="97" t="s">
        <v>387</v>
      </c>
    </row>
    <row r="89" spans="1:5" x14ac:dyDescent="0.25">
      <c r="A89" s="94" t="s">
        <v>144</v>
      </c>
      <c r="B89" s="94" t="s">
        <v>3</v>
      </c>
      <c r="C89" s="96" t="s">
        <v>388</v>
      </c>
      <c r="D89" s="97" t="s">
        <v>389</v>
      </c>
    </row>
    <row r="90" spans="1:5" x14ac:dyDescent="0.25">
      <c r="A90" s="94" t="s">
        <v>145</v>
      </c>
      <c r="B90" s="94" t="s">
        <v>3</v>
      </c>
      <c r="C90" s="96" t="s">
        <v>390</v>
      </c>
      <c r="D90" s="97" t="s">
        <v>391</v>
      </c>
    </row>
    <row r="91" spans="1:5" x14ac:dyDescent="0.25">
      <c r="A91" s="94" t="s">
        <v>146</v>
      </c>
      <c r="B91" s="94" t="s">
        <v>3</v>
      </c>
      <c r="C91" s="96" t="s">
        <v>392</v>
      </c>
      <c r="D91" s="97" t="s">
        <v>393</v>
      </c>
    </row>
    <row r="92" spans="1:5" x14ac:dyDescent="0.25">
      <c r="A92" s="94" t="s">
        <v>147</v>
      </c>
      <c r="B92" s="94" t="s">
        <v>3</v>
      </c>
      <c r="C92" s="96" t="s">
        <v>394</v>
      </c>
      <c r="D92" s="97" t="s">
        <v>395</v>
      </c>
    </row>
    <row r="93" spans="1:5" x14ac:dyDescent="0.25">
      <c r="A93" s="94" t="s">
        <v>148</v>
      </c>
      <c r="B93" s="94" t="s">
        <v>3</v>
      </c>
      <c r="C93" s="96" t="s">
        <v>396</v>
      </c>
      <c r="D93" s="97" t="s">
        <v>397</v>
      </c>
    </row>
    <row r="94" spans="1:5" x14ac:dyDescent="0.25">
      <c r="A94" s="94" t="s">
        <v>149</v>
      </c>
      <c r="B94" s="94" t="s">
        <v>3</v>
      </c>
      <c r="C94" s="96" t="s">
        <v>398</v>
      </c>
      <c r="D94" s="97" t="s">
        <v>399</v>
      </c>
    </row>
    <row r="95" spans="1:5" x14ac:dyDescent="0.25">
      <c r="A95" s="94" t="s">
        <v>150</v>
      </c>
      <c r="B95" s="94" t="s">
        <v>3</v>
      </c>
      <c r="C95" s="96" t="s">
        <v>400</v>
      </c>
      <c r="D95" s="97" t="s">
        <v>401</v>
      </c>
    </row>
    <row r="96" spans="1:5" x14ac:dyDescent="0.25">
      <c r="A96" s="94" t="s">
        <v>151</v>
      </c>
      <c r="B96" s="94" t="s">
        <v>3</v>
      </c>
      <c r="C96" s="96" t="s">
        <v>402</v>
      </c>
      <c r="D96" s="97" t="s">
        <v>403</v>
      </c>
    </row>
    <row r="97" spans="1:4" x14ac:dyDescent="0.25">
      <c r="A97" s="94" t="s">
        <v>152</v>
      </c>
      <c r="B97" s="94" t="s">
        <v>3</v>
      </c>
      <c r="C97" s="96" t="s">
        <v>404</v>
      </c>
      <c r="D97" s="97" t="s">
        <v>405</v>
      </c>
    </row>
    <row r="98" spans="1:4" x14ac:dyDescent="0.25">
      <c r="A98" s="94" t="s">
        <v>153</v>
      </c>
      <c r="B98" s="94" t="s">
        <v>3</v>
      </c>
      <c r="C98" s="96" t="s">
        <v>406</v>
      </c>
      <c r="D98" s="97" t="s">
        <v>407</v>
      </c>
    </row>
    <row r="99" spans="1:4" x14ac:dyDescent="0.25">
      <c r="A99" s="94" t="s">
        <v>154</v>
      </c>
      <c r="B99" s="94" t="s">
        <v>3</v>
      </c>
      <c r="C99" s="96" t="s">
        <v>408</v>
      </c>
      <c r="D99" s="97" t="s">
        <v>409</v>
      </c>
    </row>
    <row r="100" spans="1:4" x14ac:dyDescent="0.25">
      <c r="A100" s="94" t="s">
        <v>155</v>
      </c>
      <c r="B100" s="94" t="s">
        <v>3</v>
      </c>
      <c r="C100" s="96" t="s">
        <v>410</v>
      </c>
      <c r="D100" s="97" t="s">
        <v>411</v>
      </c>
    </row>
    <row r="101" spans="1:4" x14ac:dyDescent="0.25">
      <c r="A101" s="94" t="s">
        <v>156</v>
      </c>
      <c r="B101" s="94" t="s">
        <v>3</v>
      </c>
      <c r="C101" s="96" t="s">
        <v>412</v>
      </c>
      <c r="D101" s="97" t="s">
        <v>413</v>
      </c>
    </row>
    <row r="102" spans="1:4" x14ac:dyDescent="0.25">
      <c r="A102" s="94" t="s">
        <v>157</v>
      </c>
      <c r="B102" s="94" t="s">
        <v>3</v>
      </c>
      <c r="C102" s="96" t="s">
        <v>414</v>
      </c>
      <c r="D102" s="97" t="s">
        <v>415</v>
      </c>
    </row>
    <row r="103" spans="1:4" x14ac:dyDescent="0.25">
      <c r="A103" s="94" t="s">
        <v>158</v>
      </c>
      <c r="B103" s="94" t="s">
        <v>3</v>
      </c>
      <c r="C103" s="96" t="s">
        <v>416</v>
      </c>
      <c r="D103" s="97" t="s">
        <v>417</v>
      </c>
    </row>
    <row r="104" spans="1:4" x14ac:dyDescent="0.25">
      <c r="A104" s="94" t="s">
        <v>159</v>
      </c>
      <c r="B104" s="94" t="s">
        <v>3</v>
      </c>
      <c r="C104" s="96" t="s">
        <v>418</v>
      </c>
      <c r="D104" s="97" t="s">
        <v>419</v>
      </c>
    </row>
    <row r="105" spans="1:4" x14ac:dyDescent="0.25">
      <c r="A105" s="94" t="s">
        <v>160</v>
      </c>
      <c r="B105" s="94" t="s">
        <v>3</v>
      </c>
      <c r="C105" s="96" t="s">
        <v>420</v>
      </c>
      <c r="D105" s="97" t="s">
        <v>421</v>
      </c>
    </row>
    <row r="106" spans="1:4" x14ac:dyDescent="0.25">
      <c r="A106" s="94" t="s">
        <v>161</v>
      </c>
      <c r="B106" s="94" t="s">
        <v>3</v>
      </c>
      <c r="C106" s="96" t="s">
        <v>422</v>
      </c>
      <c r="D106" s="97" t="s">
        <v>423</v>
      </c>
    </row>
    <row r="107" spans="1:4" x14ac:dyDescent="0.25">
      <c r="A107" s="94" t="s">
        <v>162</v>
      </c>
      <c r="B107" s="94" t="s">
        <v>3</v>
      </c>
      <c r="C107" s="96" t="s">
        <v>424</v>
      </c>
      <c r="D107" s="97" t="s">
        <v>425</v>
      </c>
    </row>
    <row r="108" spans="1:4" x14ac:dyDescent="0.25">
      <c r="A108" s="94" t="s">
        <v>163</v>
      </c>
      <c r="B108" s="94" t="s">
        <v>3</v>
      </c>
      <c r="C108" s="96" t="s">
        <v>426</v>
      </c>
      <c r="D108" s="97" t="s">
        <v>427</v>
      </c>
    </row>
    <row r="109" spans="1:4" x14ac:dyDescent="0.25">
      <c r="A109" s="94" t="s">
        <v>164</v>
      </c>
      <c r="B109" s="94" t="s">
        <v>3</v>
      </c>
      <c r="C109" s="96" t="s">
        <v>428</v>
      </c>
      <c r="D109" s="97" t="s">
        <v>429</v>
      </c>
    </row>
    <row r="110" spans="1:4" x14ac:dyDescent="0.25">
      <c r="A110" s="94" t="s">
        <v>165</v>
      </c>
      <c r="B110" s="94" t="s">
        <v>3</v>
      </c>
      <c r="C110" s="96" t="s">
        <v>430</v>
      </c>
      <c r="D110" s="97" t="s">
        <v>431</v>
      </c>
    </row>
    <row r="111" spans="1:4" x14ac:dyDescent="0.25">
      <c r="A111" s="94" t="s">
        <v>166</v>
      </c>
      <c r="B111" s="94" t="s">
        <v>3</v>
      </c>
      <c r="C111" s="96" t="s">
        <v>432</v>
      </c>
      <c r="D111" s="97" t="s">
        <v>433</v>
      </c>
    </row>
    <row r="112" spans="1:4" x14ac:dyDescent="0.25">
      <c r="A112" s="94" t="s">
        <v>167</v>
      </c>
      <c r="B112" s="94" t="s">
        <v>3</v>
      </c>
      <c r="C112" s="96" t="s">
        <v>434</v>
      </c>
      <c r="D112" s="97" t="s">
        <v>435</v>
      </c>
    </row>
    <row r="113" spans="1:5" x14ac:dyDescent="0.25">
      <c r="A113" s="94" t="s">
        <v>168</v>
      </c>
      <c r="B113" s="94" t="s">
        <v>3</v>
      </c>
      <c r="C113" s="96" t="s">
        <v>436</v>
      </c>
      <c r="D113" s="97" t="s">
        <v>437</v>
      </c>
    </row>
    <row r="114" spans="1:5" customFormat="1" x14ac:dyDescent="0.25">
      <c r="A114" t="s">
        <v>169</v>
      </c>
      <c r="B114" t="s">
        <v>243</v>
      </c>
      <c r="C114" s="1" t="s">
        <v>438</v>
      </c>
      <c r="D114" s="95" t="s">
        <v>439</v>
      </c>
      <c r="E114" t="s">
        <v>246</v>
      </c>
    </row>
    <row r="115" spans="1:5" customFormat="1" x14ac:dyDescent="0.25">
      <c r="A115" t="s">
        <v>170</v>
      </c>
      <c r="B115" t="s">
        <v>5</v>
      </c>
      <c r="C115" s="1" t="s">
        <v>440</v>
      </c>
      <c r="D115" s="95" t="s">
        <v>441</v>
      </c>
    </row>
    <row r="116" spans="1:5" x14ac:dyDescent="0.25">
      <c r="A116" s="94" t="s">
        <v>171</v>
      </c>
      <c r="B116" s="94" t="s">
        <v>3</v>
      </c>
      <c r="C116" s="96" t="s">
        <v>442</v>
      </c>
      <c r="D116" s="97" t="s">
        <v>443</v>
      </c>
    </row>
    <row r="117" spans="1:5" x14ac:dyDescent="0.25">
      <c r="A117" s="94" t="s">
        <v>172</v>
      </c>
      <c r="B117" s="94" t="s">
        <v>3</v>
      </c>
      <c r="C117" s="96" t="s">
        <v>444</v>
      </c>
      <c r="D117" s="97" t="s">
        <v>445</v>
      </c>
    </row>
    <row r="118" spans="1:5" x14ac:dyDescent="0.25">
      <c r="A118" s="94" t="s">
        <v>173</v>
      </c>
      <c r="B118" s="94" t="s">
        <v>3</v>
      </c>
      <c r="C118" s="96" t="s">
        <v>446</v>
      </c>
      <c r="D118" s="97" t="s">
        <v>447</v>
      </c>
    </row>
    <row r="119" spans="1:5" x14ac:dyDescent="0.25">
      <c r="A119" s="94" t="s">
        <v>174</v>
      </c>
      <c r="B119" s="94" t="s">
        <v>3</v>
      </c>
      <c r="C119" s="96" t="s">
        <v>448</v>
      </c>
      <c r="D119" s="97" t="s">
        <v>449</v>
      </c>
    </row>
    <row r="120" spans="1:5" x14ac:dyDescent="0.25">
      <c r="A120" s="94" t="s">
        <v>175</v>
      </c>
      <c r="B120" s="94" t="s">
        <v>3</v>
      </c>
      <c r="C120" s="96" t="s">
        <v>450</v>
      </c>
      <c r="D120" s="97" t="s">
        <v>451</v>
      </c>
    </row>
    <row r="121" spans="1:5" x14ac:dyDescent="0.25">
      <c r="A121" s="94" t="s">
        <v>176</v>
      </c>
      <c r="B121" s="94" t="s">
        <v>3</v>
      </c>
      <c r="C121" s="96" t="s">
        <v>452</v>
      </c>
      <c r="D121" s="97" t="s">
        <v>453</v>
      </c>
    </row>
    <row r="122" spans="1:5" x14ac:dyDescent="0.25">
      <c r="A122" s="94" t="s">
        <v>177</v>
      </c>
      <c r="B122" s="94" t="s">
        <v>3</v>
      </c>
      <c r="C122" s="96" t="s">
        <v>454</v>
      </c>
      <c r="D122" s="97" t="s">
        <v>455</v>
      </c>
    </row>
    <row r="123" spans="1:5" x14ac:dyDescent="0.25">
      <c r="A123" s="94" t="s">
        <v>178</v>
      </c>
      <c r="B123" s="94" t="s">
        <v>3</v>
      </c>
      <c r="C123" s="96" t="s">
        <v>456</v>
      </c>
      <c r="D123" s="97" t="s">
        <v>457</v>
      </c>
    </row>
    <row r="124" spans="1:5" x14ac:dyDescent="0.25">
      <c r="A124" s="94" t="s">
        <v>179</v>
      </c>
      <c r="B124" s="94" t="s">
        <v>3</v>
      </c>
      <c r="C124" s="96" t="s">
        <v>458</v>
      </c>
      <c r="D124" s="97" t="s">
        <v>459</v>
      </c>
    </row>
    <row r="125" spans="1:5" x14ac:dyDescent="0.25">
      <c r="A125" s="94" t="s">
        <v>180</v>
      </c>
      <c r="B125" s="94" t="s">
        <v>3</v>
      </c>
      <c r="C125" s="96" t="s">
        <v>460</v>
      </c>
      <c r="D125" s="97" t="s">
        <v>461</v>
      </c>
    </row>
    <row r="126" spans="1:5" x14ac:dyDescent="0.25">
      <c r="A126" s="94" t="s">
        <v>181</v>
      </c>
      <c r="B126" s="94" t="s">
        <v>3</v>
      </c>
      <c r="C126" s="96" t="s">
        <v>462</v>
      </c>
      <c r="D126" s="97" t="s">
        <v>463</v>
      </c>
    </row>
    <row r="127" spans="1:5" x14ac:dyDescent="0.25">
      <c r="A127" s="94" t="s">
        <v>182</v>
      </c>
      <c r="B127" s="94" t="s">
        <v>3</v>
      </c>
      <c r="C127" s="96" t="s">
        <v>464</v>
      </c>
      <c r="D127" s="97" t="s">
        <v>465</v>
      </c>
    </row>
    <row r="128" spans="1:5" x14ac:dyDescent="0.25">
      <c r="A128" s="94" t="s">
        <v>183</v>
      </c>
      <c r="B128" s="94" t="s">
        <v>3</v>
      </c>
      <c r="C128" s="96" t="s">
        <v>466</v>
      </c>
      <c r="D128" s="97" t="s">
        <v>467</v>
      </c>
    </row>
    <row r="129" spans="1:5" x14ac:dyDescent="0.25">
      <c r="A129" s="94" t="s">
        <v>184</v>
      </c>
      <c r="B129" s="94" t="s">
        <v>3</v>
      </c>
      <c r="C129" s="96" t="s">
        <v>468</v>
      </c>
      <c r="D129" s="97" t="s">
        <v>469</v>
      </c>
    </row>
    <row r="130" spans="1:5" customFormat="1" x14ac:dyDescent="0.25">
      <c r="A130" t="s">
        <v>185</v>
      </c>
      <c r="B130" t="s">
        <v>243</v>
      </c>
      <c r="C130" s="1" t="s">
        <v>470</v>
      </c>
      <c r="D130" s="95" t="s">
        <v>471</v>
      </c>
      <c r="E130" t="s">
        <v>246</v>
      </c>
    </row>
    <row r="131" spans="1:5" customFormat="1" x14ac:dyDescent="0.25">
      <c r="A131" t="s">
        <v>186</v>
      </c>
      <c r="B131" t="s">
        <v>5</v>
      </c>
      <c r="C131" s="1" t="s">
        <v>472</v>
      </c>
      <c r="D131" s="95" t="s">
        <v>473</v>
      </c>
    </row>
    <row r="132" spans="1:5" x14ac:dyDescent="0.25">
      <c r="A132" s="94" t="s">
        <v>187</v>
      </c>
      <c r="B132" s="94" t="s">
        <v>3</v>
      </c>
      <c r="C132" s="96" t="s">
        <v>474</v>
      </c>
      <c r="D132" s="97" t="s">
        <v>475</v>
      </c>
    </row>
    <row r="133" spans="1:5" x14ac:dyDescent="0.25">
      <c r="A133" s="94" t="s">
        <v>188</v>
      </c>
      <c r="B133" s="94" t="s">
        <v>3</v>
      </c>
      <c r="C133" s="96" t="s">
        <v>476</v>
      </c>
      <c r="D133" s="97" t="s">
        <v>477</v>
      </c>
    </row>
    <row r="134" spans="1:5" x14ac:dyDescent="0.25">
      <c r="A134" s="94" t="s">
        <v>189</v>
      </c>
      <c r="B134" s="94" t="s">
        <v>3</v>
      </c>
      <c r="C134" s="96" t="s">
        <v>478</v>
      </c>
      <c r="D134" s="97" t="s">
        <v>479</v>
      </c>
    </row>
    <row r="135" spans="1:5" x14ac:dyDescent="0.25">
      <c r="A135" s="94" t="s">
        <v>190</v>
      </c>
      <c r="B135" s="94" t="s">
        <v>3</v>
      </c>
      <c r="C135" s="96" t="s">
        <v>480</v>
      </c>
      <c r="D135" s="97" t="s">
        <v>481</v>
      </c>
    </row>
    <row r="136" spans="1:5" x14ac:dyDescent="0.25">
      <c r="A136" s="94" t="s">
        <v>191</v>
      </c>
      <c r="B136" s="94" t="s">
        <v>3</v>
      </c>
      <c r="C136" s="96" t="s">
        <v>482</v>
      </c>
      <c r="D136" s="97" t="s">
        <v>483</v>
      </c>
    </row>
    <row r="137" spans="1:5" x14ac:dyDescent="0.25">
      <c r="A137" s="94" t="s">
        <v>192</v>
      </c>
      <c r="B137" s="94" t="s">
        <v>3</v>
      </c>
      <c r="C137" s="96" t="s">
        <v>484</v>
      </c>
      <c r="D137" s="97" t="s">
        <v>485</v>
      </c>
    </row>
    <row r="138" spans="1:5" customFormat="1" x14ac:dyDescent="0.25">
      <c r="A138" t="s">
        <v>486</v>
      </c>
      <c r="B138" t="s">
        <v>243</v>
      </c>
      <c r="C138" s="1" t="s">
        <v>487</v>
      </c>
      <c r="D138" s="95" t="s">
        <v>488</v>
      </c>
      <c r="E138" t="s">
        <v>246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489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0</v>
      </c>
      <c r="E10" s="4">
        <f>COUNTIF(Resp4[4.25],B10)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COUNTIFS(Resp4[Vínculo],"tecnico",Resp4[4.25],B12)</f>
        <v>0</v>
      </c>
      <c r="D12" s="4">
        <f>COUNTIFS(Resp4[Vínculo],"docente",Resp4[4.25],B12)</f>
        <v>0</v>
      </c>
      <c r="E12" s="4">
        <f>COUNTIF(Resp4[4.25],B12)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489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COUNTIFS(Resp4[Vínculo],"tecnico",Resp4[4.26],B7)</f>
        <v>0</v>
      </c>
      <c r="D7" s="4">
        <f>COUNTIFS(Resp4[Vínculo],"docente",Resp4[4.26],B7)</f>
        <v>0</v>
      </c>
      <c r="E7" s="4">
        <f>COUNTIF(Resp4[4.26],B7)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COUNTIFS(Resp4[Vínculo],"tecnico",Resp4[4.26],B9)</f>
        <v>0</v>
      </c>
      <c r="D9" s="4">
        <f>COUNTIFS(Resp4[Vínculo],"docente",Resp4[4.26],B9)</f>
        <v>0</v>
      </c>
      <c r="E9" s="4">
        <f>COUNTIF(Resp4[4.26],B9)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0</v>
      </c>
      <c r="E10" s="4">
        <f>COUNTIF(Resp4[4.26],B10)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COUNTIFS(Resp4[Vínculo],"tecnico",Resp4[4.26],B12)</f>
        <v>0</v>
      </c>
      <c r="D12" s="4">
        <f>COUNTIFS(Resp4[Vínculo],"docente",Resp4[4.26],B12)</f>
        <v>0</v>
      </c>
      <c r="E12" s="4">
        <f>COUNTIF(Resp4[4.26],B12)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489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COUNTIFS(Resp4[Vínculo],"tecnico",Resp4[4.27],B11)</f>
        <v>0</v>
      </c>
      <c r="D11" s="4">
        <f>COUNTIFS(Resp4[Vínculo],"docente",Resp4[4.27],B11)</f>
        <v>0</v>
      </c>
      <c r="E11" s="4">
        <f>COUNTIF(Resp4[4.27],B11)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489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0</v>
      </c>
      <c r="E10" s="4">
        <f>COUNTIF(Resp4[4.28],B10)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COUNTIFS(Resp4[Vínculo],"tecnico",Resp4[4.28],B11)</f>
        <v>0</v>
      </c>
      <c r="D11" s="4">
        <f>COUNTIFS(Resp4[Vínculo],"docente",Resp4[4.28],B11)</f>
        <v>0</v>
      </c>
      <c r="E11" s="4">
        <f>COUNTIF(Resp4[4.28],B11)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COUNTIFS(Resp4[Vínculo],"tecnico",Resp4[4.28],B12)</f>
        <v>0</v>
      </c>
      <c r="D12" s="4">
        <f>COUNTIFS(Resp4[Vínculo],"docente",Resp4[4.28],B12)</f>
        <v>0</v>
      </c>
      <c r="E12" s="4">
        <f>COUNTIF(Resp4[4.28],B12)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489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489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489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489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0</v>
      </c>
      <c r="D7" s="4">
        <f>COUNTIFS(Resp4[Vínculo],"docente",Resp4[4.33],B7)</f>
        <v>0</v>
      </c>
      <c r="E7" s="2">
        <f>COUNTIF(Resp4[4.33],B7)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7</v>
      </c>
      <c r="D8" s="4">
        <f>COUNTIFS(Resp4[Vínculo],"docente",Resp4[4.33],B8)</f>
        <v>0</v>
      </c>
      <c r="E8" s="2">
        <f>COUNTIF(Resp4[4.33],B8)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489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0</v>
      </c>
      <c r="E10" s="4">
        <f>COUNTIF(Resp4[4.34],B10)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COUNTIFS(Resp4[Vínculo],"tecnico",Resp4[4.34],B11)</f>
        <v>0</v>
      </c>
      <c r="D11" s="4">
        <f>COUNTIFS(Resp4[Vínculo],"docente",Resp4[4.34],B11)</f>
        <v>0</v>
      </c>
      <c r="E11" s="4">
        <f>COUNTIF(Resp4[4.34],B11)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COUNTIFS(Resp4[Vínculo],"tecnico",Resp4[4.34],B12)</f>
        <v>0</v>
      </c>
      <c r="D12" s="4">
        <f>COUNTIFS(Resp4[Vínculo],"docente",Resp4[4.34],B12)</f>
        <v>0</v>
      </c>
      <c r="E12" s="4">
        <f>COUNTIF(Resp4[4.34],B12)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489</v>
      </c>
      <c r="B3" s="2" t="str">
        <f>VLOOKUP(A$2,Eixo4[],4,FALSE)</f>
        <v>Eixo 4: Questão 2</v>
      </c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3">
        <f>ROUND($E6/E$13*100,2)</f>
        <v>85.71</v>
      </c>
      <c r="G6" s="3"/>
    </row>
    <row r="7" spans="1:7" x14ac:dyDescent="0.25">
      <c r="B7" s="2" t="s">
        <v>497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COUNTIFS(Resp4[Vínculo],"tecnico",Resp4[4.02],B$12)</f>
        <v>1</v>
      </c>
      <c r="D12" s="4">
        <f>COUNTIFS(Resp4[Vínculo],"docente",Resp4[4.02],B12)</f>
        <v>0</v>
      </c>
      <c r="E12" s="4">
        <f>COUNTIF(Resp4[4.02],B12)</f>
        <v>1</v>
      </c>
      <c r="F12" s="24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500</v>
      </c>
      <c r="C17" s="21" t="s">
        <v>501</v>
      </c>
      <c r="D17" s="5" t="s">
        <v>491</v>
      </c>
      <c r="E17" s="6" t="s">
        <v>494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5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5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5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489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0</v>
      </c>
      <c r="E10" s="4">
        <f>COUNTIF(Resp4[4.35],B10)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COUNTIFS(Resp4[Vínculo],"tecnico",Resp4[4.35],B11)</f>
        <v>0</v>
      </c>
      <c r="D11" s="4">
        <f>COUNTIFS(Resp4[Vínculo],"docente",Resp4[4.35],B11)</f>
        <v>0</v>
      </c>
      <c r="E11" s="4">
        <f>COUNTIF(Resp4[4.35],B11)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COUNTIFS(Resp4[Vínculo],"tecnico",Resp4[4.35],B12)</f>
        <v>0</v>
      </c>
      <c r="D12" s="4">
        <f>COUNTIFS(Resp4[Vínculo],"docente",Resp4[4.35],B12)</f>
        <v>0</v>
      </c>
      <c r="E12" s="4">
        <f>COUNTIF(Resp4[4.35],B12)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489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0</v>
      </c>
      <c r="E10" s="4">
        <f>COUNTIF(Resp4[4.36],B10)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COUNTIFS(Resp4[Vínculo],"tecnico",Resp4[4.36],B11)</f>
        <v>0</v>
      </c>
      <c r="D11" s="4">
        <f>COUNTIFS(Resp4[Vínculo],"docente",Resp4[4.36],B11)</f>
        <v>0</v>
      </c>
      <c r="E11" s="4">
        <f>COUNTIF(Resp4[4.36],B11)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COUNTIFS(Resp4[Vínculo],"tecnico",Resp4[4.36],B12)</f>
        <v>0</v>
      </c>
      <c r="D12" s="4">
        <f>COUNTIFS(Resp4[Vínculo],"docente",Resp4[4.36],B12)</f>
        <v>0</v>
      </c>
      <c r="E12" s="4">
        <f>COUNTIF(Resp4[4.36],B12)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0</v>
      </c>
      <c r="D7" s="4">
        <f>COUNTIFS(Resp4[Vínculo],"docente",Resp4[4.38],B7)</f>
        <v>0</v>
      </c>
      <c r="E7" s="2">
        <f>COUNTIF(Resp4[4.38],B7)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7</v>
      </c>
      <c r="D8" s="4">
        <f>COUNTIFS(Resp4[Vínculo],"docente",Resp4[4.38],B8)</f>
        <v>0</v>
      </c>
      <c r="E8" s="2">
        <f>COUNTIF(Resp4[4.38],B8)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489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0</v>
      </c>
      <c r="E10" s="4">
        <f>COUNTIF(Resp4[4.39],B10)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COUNTIFS(Resp4[Vínculo],"tecnico",Resp4[4.39],B11)</f>
        <v>0</v>
      </c>
      <c r="D11" s="4">
        <f>COUNTIFS(Resp4[Vínculo],"docente",Resp4[4.39],B11)</f>
        <v>0</v>
      </c>
      <c r="E11" s="4">
        <f>COUNTIF(Resp4[4.39],B11)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COUNTIFS(Resp4[Vínculo],"tecnico",Resp4[4.39],B12)</f>
        <v>0</v>
      </c>
      <c r="D12" s="4">
        <f>COUNTIFS(Resp4[Vínculo],"docente",Resp4[4.39],B12)</f>
        <v>0</v>
      </c>
      <c r="E12" s="4">
        <f>COUNTIF(Resp4[4.39],B12)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489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15">
        <f>ROUND($E6/E$13*100,2)</f>
        <v>100</v>
      </c>
    </row>
    <row r="7" spans="1:7" x14ac:dyDescent="0.25">
      <c r="B7" s="2" t="s">
        <v>497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0</v>
      </c>
      <c r="E10" s="4">
        <f>COUNTIF(Resp4[4.40],B10)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COUNTIFS(Resp4[Vínculo],"tecnico",Resp4[4.40],B11)</f>
        <v>0</v>
      </c>
      <c r="D11" s="4">
        <f>COUNTIFS(Resp4[Vínculo],"docente",Resp4[4.40],B11)</f>
        <v>0</v>
      </c>
      <c r="E11" s="4">
        <f>COUNTIF(Resp4[4.40],B11)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COUNTIFS(Resp4[Vínculo],"tecnico",Resp4[4.40],B12)</f>
        <v>0</v>
      </c>
      <c r="D12" s="4">
        <f>COUNTIFS(Resp4[Vínculo],"docente",Resp4[4.40],B12)</f>
        <v>0</v>
      </c>
      <c r="E12" s="4">
        <f>COUNTIF(Resp4[4.40],B12)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489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0</v>
      </c>
      <c r="E10" s="4">
        <f>COUNTIF(Resp4[4.41],B10)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COUNTIFS(Resp4[Vínculo],"tecnico",Resp4[4.41],B11)</f>
        <v>0</v>
      </c>
      <c r="D11" s="4">
        <f>COUNTIFS(Resp4[Vínculo],"docente",Resp4[4.41],B11)</f>
        <v>0</v>
      </c>
      <c r="E11" s="4">
        <f>COUNTIF(Resp4[4.41],B11)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489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COUNTIFS(Resp4[Vínculo],"tecnico",Resp4[4.42],B11)</f>
        <v>0</v>
      </c>
      <c r="D11" s="4">
        <f>COUNTIFS(Resp4[Vínculo],"docente",Resp4[4.42],B11)</f>
        <v>0</v>
      </c>
      <c r="E11" s="4">
        <f>COUNTIF(Resp4[4.42],B11)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COUNTIFS(Resp4[Vínculo],"tecnico",Resp4[4.42],B12)</f>
        <v>0</v>
      </c>
      <c r="D12" s="4">
        <f>COUNTIFS(Resp4[Vínculo],"docente",Resp4[4.42],B12)</f>
        <v>0</v>
      </c>
      <c r="E12" s="4">
        <f>COUNTIF(Resp4[4.42],B12)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489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0</v>
      </c>
      <c r="E10" s="4">
        <f>COUNTIF(Resp4[4.43],B10)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COUNTIFS(Resp4[Vínculo],"tecnico",Resp4[4.43],B11)</f>
        <v>0</v>
      </c>
      <c r="D11" s="4">
        <f>COUNTIFS(Resp4[Vínculo],"docente",Resp4[4.43],B11)</f>
        <v>0</v>
      </c>
      <c r="E11" s="4">
        <f>COUNTIF(Resp4[4.43],B11)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489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COUNTIFS(Resp4[Vínculo],"tecnico",Resp4[4.44],B11)</f>
        <v>0</v>
      </c>
      <c r="D11" s="4">
        <f>COUNTIFS(Resp4[Vínculo],"docente",Resp4[4.44],B11)</f>
        <v>0</v>
      </c>
      <c r="E11" s="4">
        <f>COUNTIF(Resp4[4.44],B11)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COUNTIFS(Resp4[Vínculo],"tecnico",Resp4[4.44],B12)</f>
        <v>0</v>
      </c>
      <c r="D12" s="4">
        <f>COUNTIFS(Resp4[Vínculo],"docente",Resp4[4.44],B12)</f>
        <v>0</v>
      </c>
      <c r="E12" s="4">
        <f>COUNTIF(Resp4[4.44],B12)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489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0</v>
      </c>
      <c r="E10" s="4">
        <f>COUNTIF(Resp4[4.45],B10)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COUNTIFS(Resp4[Vínculo],"tecnico",Resp4[4.45],B11)</f>
        <v>0</v>
      </c>
      <c r="D11" s="4">
        <f>COUNTIFS(Resp4[Vínculo],"docente",Resp4[4.45],B11)</f>
        <v>0</v>
      </c>
      <c r="E11" s="4">
        <f>COUNTIF(Resp4[4.45],B11)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1</v>
      </c>
      <c r="D7" s="4">
        <f>COUNTIFS(Resp4[Vínculo],"docente",Resp4[4.01],B7)</f>
        <v>0</v>
      </c>
      <c r="E7" s="2">
        <f>COUNTIF(Resp4[4.01],B7)</f>
        <v>1</v>
      </c>
      <c r="F7" s="3">
        <f t="shared" ref="F7:F8" si="0">ROUND($E7/E$9*100,2)</f>
        <v>14.29</v>
      </c>
      <c r="G7" s="4">
        <f>ROUND($E7/SUM($E$7:$E$8)*100,2)</f>
        <v>14.29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6</v>
      </c>
      <c r="D8" s="4">
        <f>COUNTIFS(Resp4[Vínculo],"docente",Resp4[4.01],B8)</f>
        <v>0</v>
      </c>
      <c r="E8" s="2">
        <f>COUNTIF(Resp4[4.01],B8)</f>
        <v>6</v>
      </c>
      <c r="F8" s="24">
        <f t="shared" si="0"/>
        <v>85.71</v>
      </c>
      <c r="G8" s="4">
        <f>ROUND($E8/SUM($E$7:$E$8)*100,2)</f>
        <v>85.71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489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0</v>
      </c>
      <c r="E10" s="4">
        <f>COUNTIF(Resp4[4.46],B10)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COUNTIFS(Resp4[Vínculo],"tecnico",Resp4[4.46],B11)</f>
        <v>0</v>
      </c>
      <c r="D11" s="4">
        <f>COUNTIFS(Resp4[Vínculo],"docente",Resp4[4.46],B11)</f>
        <v>0</v>
      </c>
      <c r="E11" s="4">
        <f>COUNTIF(Resp4[4.46],B11)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COUNTIFS(Resp4[Vínculo],"tecnico",Resp4[4.46],B12)</f>
        <v>0</v>
      </c>
      <c r="D12" s="4">
        <f>COUNTIFS(Resp4[Vínculo],"docente",Resp4[4.46],B12)</f>
        <v>0</v>
      </c>
      <c r="E12" s="4">
        <f>COUNTIF(Resp4[4.46],B12)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489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0</v>
      </c>
      <c r="E10" s="4">
        <f>COUNTIF(Resp4[4.47],B10)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COUNTIFS(Resp4[Vínculo],"tecnico",Resp4[4.47],B11)</f>
        <v>0</v>
      </c>
      <c r="D11" s="4">
        <f>COUNTIFS(Resp4[Vínculo],"docente",Resp4[4.47],B11)</f>
        <v>0</v>
      </c>
      <c r="E11" s="4">
        <f>COUNTIF(Resp4[4.47],B11)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COUNTIFS(Resp4[Vínculo],"tecnico",Resp4[4.47],B12)</f>
        <v>0</v>
      </c>
      <c r="D12" s="4">
        <f>COUNTIFS(Resp4[Vínculo],"docente",Resp4[4.47],B12)</f>
        <v>0</v>
      </c>
      <c r="E12" s="4">
        <f>COUNTIF(Resp4[4.47],B12)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489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0</v>
      </c>
      <c r="E10" s="4">
        <f>COUNTIF(Resp4[4.48],B10)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COUNTIFS(Resp4[Vínculo],"tecnico",Resp4[4.48],B11)</f>
        <v>0</v>
      </c>
      <c r="D11" s="4">
        <f>COUNTIFS(Resp4[Vínculo],"docente",Resp4[4.48],B11)</f>
        <v>0</v>
      </c>
      <c r="E11" s="4">
        <f>COUNTIF(Resp4[4.48],B11)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COUNTIFS(Resp4[Vínculo],"tecnico",Resp4[4.48],B12)</f>
        <v>0</v>
      </c>
      <c r="D12" s="4">
        <f>COUNTIFS(Resp4[Vínculo],"docente",Resp4[4.48],B12)</f>
        <v>0</v>
      </c>
      <c r="E12" s="4">
        <f>COUNTIF(Resp4[4.48],B12)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1</v>
      </c>
      <c r="D7" s="4">
        <f>COUNTIFS(Resp4[Vínculo],"docente",Resp4[4.50],B7)</f>
        <v>0</v>
      </c>
      <c r="E7" s="2">
        <f>COUNTIF(Resp4[4.50],B7)</f>
        <v>1</v>
      </c>
      <c r="F7" s="4">
        <f t="shared" ref="F7:F9" si="0">ROUND($E7/E$9*100,2)</f>
        <v>14.29</v>
      </c>
      <c r="G7" s="4">
        <f>ROUND($E7/SUM($E$7:$E$8)*100,2)</f>
        <v>14.29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6</v>
      </c>
      <c r="D8" s="4">
        <f>COUNTIFS(Resp4[Vínculo],"docente",Resp4[4.50],B8)</f>
        <v>0</v>
      </c>
      <c r="E8" s="2">
        <f>COUNTIF(Resp4[4.50],B8)</f>
        <v>6</v>
      </c>
      <c r="F8" s="22">
        <f t="shared" si="0"/>
        <v>85.71</v>
      </c>
      <c r="G8" s="4">
        <f>ROUND($E8/SUM($E$7:$E$8)*100,2)</f>
        <v>85.71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0</v>
      </c>
      <c r="D7" s="4">
        <f>COUNTIFS(Resp4[Vínculo],"docente",Resp4[4.51],B7)</f>
        <v>0</v>
      </c>
      <c r="E7" s="2">
        <f>COUNTIF(Resp4[4.51],B7)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7</v>
      </c>
      <c r="D8" s="4">
        <f>COUNTIFS(Resp4[Vínculo],"docente",Resp4[4.51],B8)</f>
        <v>0</v>
      </c>
      <c r="E8" s="2">
        <f>COUNTIF(Resp4[4.51],B8)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489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COUNTIFS(Resp4[Vínculo],"tecnico",Resp4[4.52],B11)</f>
        <v>0</v>
      </c>
      <c r="D11" s="4">
        <f>COUNTIFS(Resp4[Vínculo],"docente",Resp4[4.52],B11)</f>
        <v>0</v>
      </c>
      <c r="E11" s="4">
        <f>COUNTIF(Resp4[4.52],B11)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COUNTIFS(Resp4[Vínculo],"tecnico",Resp4[4.52],B12)</f>
        <v>0</v>
      </c>
      <c r="D12" s="4">
        <f>COUNTIFS(Resp4[Vínculo],"docente",Resp4[4.52],B12)</f>
        <v>0</v>
      </c>
      <c r="E12" s="4">
        <f>COUNTIF(Resp4[4.52],B12)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489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0</v>
      </c>
      <c r="E10" s="4">
        <f>COUNTIF(Resp4[4.53],B10)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COUNTIFS(Resp4[Vínculo],"tecnico",Resp4[4.53],B11)</f>
        <v>0</v>
      </c>
      <c r="D11" s="4">
        <f>COUNTIFS(Resp4[Vínculo],"docente",Resp4[4.53],B11)</f>
        <v>0</v>
      </c>
      <c r="E11" s="4">
        <f>COUNTIF(Resp4[4.53],B11)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COUNTIFS(Resp4[Vínculo],"tecnico",Resp4[4.53],B12)</f>
        <v>1</v>
      </c>
      <c r="D12" s="4">
        <f>COUNTIFS(Resp4[Vínculo],"docente",Resp4[4.53],B12)</f>
        <v>0</v>
      </c>
      <c r="E12" s="4">
        <f>COUNTIF(Resp4[4.53],B12)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489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0</v>
      </c>
      <c r="E10" s="4">
        <f>COUNTIF(Resp4[4.54],B10)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COUNTIFS(Resp4[Vínculo],"tecnico",Resp4[4.02],B$8)</f>
        <v>0</v>
      </c>
      <c r="D11" s="4">
        <f>COUNTIFS(Resp4[Vínculo],"docente",Resp4[4.02],B11)</f>
        <v>0</v>
      </c>
      <c r="E11" s="4">
        <f>COUNTIF(Resp4[4.54],B11)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COUNTIFS(Resp4[Vínculo],"tecnico",Resp4[4.02],B$8)</f>
        <v>0</v>
      </c>
      <c r="D12" s="4">
        <f>COUNTIFS(Resp4[Vínculo],"docente",Resp4[4.02],B12)</f>
        <v>0</v>
      </c>
      <c r="E12" s="4">
        <f>COUNTIF(Resp4[4.54],B12)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489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0</v>
      </c>
      <c r="E10" s="4">
        <f>COUNTIF(Resp4[4.55],B10)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COUNTIFS(Resp4[Vínculo],"tecnico",Resp4[4.55],B11)</f>
        <v>1</v>
      </c>
      <c r="D11" s="4">
        <f>COUNTIFS(Resp4[Vínculo],"docente",Resp4[4.55],B11)</f>
        <v>0</v>
      </c>
      <c r="E11" s="4">
        <f>COUNTIF(Resp4[4.55],B11)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COUNTIFS(Resp4[Vínculo],"tecnico",Resp4[4.55],B12)</f>
        <v>0</v>
      </c>
      <c r="D12" s="4">
        <f>COUNTIFS(Resp4[Vínculo],"docente",Resp4[4.55],B12)</f>
        <v>0</v>
      </c>
      <c r="E12" s="4">
        <f>COUNTIF(Resp4[4.55],B12)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489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COUNTIFS(Resp4[Vínculo],"tecnico",Resp4[4.56],B9)</f>
        <v>0</v>
      </c>
      <c r="D9" s="4">
        <f>COUNTIFS(Resp4[Vínculo],"docente",Resp4[4.56],B9)</f>
        <v>0</v>
      </c>
      <c r="E9" s="4">
        <f>COUNTIF(Resp4[4.56],B9)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0</v>
      </c>
      <c r="E10" s="4">
        <f>COUNTIF(Resp4[4.56],B10)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COUNTIFS(Resp4[Vínculo],"tecnico",Resp4[4.56],B11)</f>
        <v>0</v>
      </c>
      <c r="D11" s="4">
        <f>COUNTIFS(Resp4[Vínculo],"docente",Resp4[4.56],B11)</f>
        <v>0</v>
      </c>
      <c r="E11" s="4">
        <f>COUNTIF(Resp4[4.56],B11)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COUNTIFS(Resp4[Vínculo],"tecnico",Resp4[4.56],B12)</f>
        <v>1</v>
      </c>
      <c r="D12" s="4">
        <f>COUNTIFS(Resp4[Vínculo],"docente",Resp4[4.56],B12)</f>
        <v>0</v>
      </c>
      <c r="E12" s="4">
        <f>COUNTIF(Resp4[4.56],B12)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489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28.57</v>
      </c>
    </row>
    <row r="7" spans="1:7" x14ac:dyDescent="0.25">
      <c r="B7" t="s">
        <v>504</v>
      </c>
      <c r="C7" s="4">
        <f>COUNTIFS(Resp4[Vínculo],"tecnico",Resp4[4.71],B7)</f>
        <v>0</v>
      </c>
      <c r="D7" s="4">
        <f>COUNTIFS(Resp4[Vínculo],"docente",Resp4[4.71],B7)</f>
        <v>0</v>
      </c>
      <c r="E7" s="4">
        <f>COUNTIF(Resp4[4.71],B7)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14.29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COUNTIFS(Resp4[Vínculo],"tecnico",Resp4[4.71],B11)</f>
        <v>1</v>
      </c>
      <c r="D11" s="4">
        <f>COUNTIFS(Resp4[Vínculo],"docente",Resp4[4.71],B11)</f>
        <v>0</v>
      </c>
      <c r="E11" s="4">
        <f>COUNTIF(Resp4[4.71],B11)</f>
        <v>1</v>
      </c>
      <c r="F11" s="4">
        <f t="shared" si="0"/>
        <v>14.29</v>
      </c>
      <c r="G11" s="3">
        <f t="shared" si="1"/>
        <v>20</v>
      </c>
    </row>
    <row r="12" spans="1:7" x14ac:dyDescent="0.25">
      <c r="B12" s="7" t="s">
        <v>201</v>
      </c>
      <c r="C12" s="4">
        <f>COUNTIFS(Resp4[Vínculo],"tecnico",Resp4[4.71],B12)</f>
        <v>3</v>
      </c>
      <c r="D12" s="4">
        <f>COUNTIFS(Resp4[Vínculo],"docente",Resp4[4.71],B12)</f>
        <v>0</v>
      </c>
      <c r="E12" s="4">
        <f>COUNTIF(Resp4[4.71],B12)</f>
        <v>3</v>
      </c>
      <c r="F12" s="22">
        <f t="shared" si="0"/>
        <v>42.86</v>
      </c>
      <c r="G12" s="3">
        <f t="shared" si="1"/>
        <v>60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489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COUNTIFS(Resp4[Vínculo],"tecnico",Resp4[4.57],B7)</f>
        <v>0</v>
      </c>
      <c r="D7" s="4">
        <f>COUNTIFS(Resp4[Vínculo],"docente",Resp4[4.57],B7)</f>
        <v>0</v>
      </c>
      <c r="E7" s="4">
        <f>COUNTIF(Resp4[4.57],B7)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0</v>
      </c>
      <c r="E10" s="4">
        <f>COUNTIF(Resp4[4.57],B10)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COUNTIFS(Resp4[Vínculo],"tecnico",Resp4[4.57],B11)</f>
        <v>1</v>
      </c>
      <c r="D11" s="4">
        <f>COUNTIFS(Resp4[Vínculo],"docente",Resp4[4.57],B11)</f>
        <v>0</v>
      </c>
      <c r="E11" s="4">
        <f>COUNTIF(Resp4[4.57],B11)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COUNTIFS(Resp4[Vínculo],"tecnico",Resp4[4.57],B12)</f>
        <v>0</v>
      </c>
      <c r="D12" s="4">
        <f>COUNTIFS(Resp4[Vínculo],"docente",Resp4[4.57],B12)</f>
        <v>0</v>
      </c>
      <c r="E12" s="4">
        <f>COUNTIF(Resp4[4.57],B12)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489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COUNTIFS(Resp4[Vínculo],"tecnico",Resp4[4.58],B7)</f>
        <v>0</v>
      </c>
      <c r="D7" s="4">
        <f>COUNTIFS(Resp4[Vínculo],"docente",Resp4[4.58],B7)</f>
        <v>0</v>
      </c>
      <c r="E7" s="4">
        <f>COUNTIF(Resp4[4.58],B7)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COUNTIFS(Resp4[Vínculo],"tecnico",Resp4[4.58],B9)</f>
        <v>0</v>
      </c>
      <c r="D9" s="4">
        <f>COUNTIFS(Resp4[Vínculo],"docente",Resp4[4.58],B9)</f>
        <v>0</v>
      </c>
      <c r="E9" s="4">
        <f>COUNTIF(Resp4[4.58],B9)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0</v>
      </c>
      <c r="E10" s="4">
        <f>COUNTIF(Resp4[4.58],B10)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COUNTIFS(Resp4[Vínculo],"tecnico",Resp4[4.58],B11)</f>
        <v>1</v>
      </c>
      <c r="D11" s="4">
        <f>COUNTIFS(Resp4[Vínculo],"docente",Resp4[4.58],B11)</f>
        <v>0</v>
      </c>
      <c r="E11" s="4">
        <f>COUNTIF(Resp4[4.58],B11)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COUNTIFS(Resp4[Vínculo],"tecnico",Resp4[4.58],B12)</f>
        <v>0</v>
      </c>
      <c r="D12" s="4">
        <f>COUNTIFS(Resp4[Vínculo],"docente",Resp4[4.58],B12)</f>
        <v>0</v>
      </c>
      <c r="E12" s="4">
        <f>COUNTIF(Resp4[4.58],B12)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489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COUNTIFS(Resp4[Vínculo],"tecnico",Resp4[4.59],B7)</f>
        <v>0</v>
      </c>
      <c r="D7" s="4">
        <f>COUNTIFS(Resp4[Vínculo],"docente",Resp4[4.59],B7)</f>
        <v>0</v>
      </c>
      <c r="E7" s="4">
        <f>COUNTIF(Resp4[4.59],B7)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COUNTIFS(Resp4[Vínculo],"tecnico",Resp4[4.59],B11)</f>
        <v>1</v>
      </c>
      <c r="D11" s="4">
        <f>COUNTIFS(Resp4[Vínculo],"docente",Resp4[4.59],B11)</f>
        <v>0</v>
      </c>
      <c r="E11" s="4">
        <f>COUNTIF(Resp4[4.59],B11)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COUNTIFS(Resp4[Vínculo],"tecnico",Resp4[4.59],B12)</f>
        <v>0</v>
      </c>
      <c r="D12" s="4">
        <f>COUNTIFS(Resp4[Vínculo],"docente",Resp4[4.59],B12)</f>
        <v>0</v>
      </c>
      <c r="E12" s="4">
        <f>COUNTIF(Resp4[4.59],B12)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489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COUNTIFS(Resp4[Vínculo],"tecnico",Resp4[4.60],B9)</f>
        <v>0</v>
      </c>
      <c r="D9" s="4">
        <f>COUNTIFS(Resp4[Vínculo],"docente",Resp4[4.60],B9)</f>
        <v>0</v>
      </c>
      <c r="E9" s="4">
        <f>COUNTIF(Resp4[4.60],B9)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0</v>
      </c>
      <c r="E10" s="4">
        <f>COUNTIF(Resp4[4.60],B10)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COUNTIFS(Resp4[Vínculo],"tecnico",Resp4[4.60],B11)</f>
        <v>1</v>
      </c>
      <c r="D11" s="4">
        <f>COUNTIFS(Resp4[Vínculo],"docente",Resp4[4.60],B11)</f>
        <v>0</v>
      </c>
      <c r="E11" s="4">
        <f>COUNTIF(Resp4[4.60],B11)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489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COUNTIFS(Resp4[Vínculo],"tecnico",Resp4[4.61],B7)</f>
        <v>0</v>
      </c>
      <c r="D7" s="4">
        <f>COUNTIFS(Resp4[Vínculo],"docente",Resp4[4.61],B7)</f>
        <v>0</v>
      </c>
      <c r="E7" s="4">
        <f>COUNTIF(Resp4[4.61],B7)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0</v>
      </c>
      <c r="E10" s="4">
        <f>COUNTIF(Resp4[4.61],B10)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COUNTIFS(Resp4[Vínculo],"tecnico",Resp4[4.61],B11)</f>
        <v>1</v>
      </c>
      <c r="D11" s="4">
        <f>COUNTIFS(Resp4[Vínculo],"docente",Resp4[4.61],B11)</f>
        <v>0</v>
      </c>
      <c r="E11" s="4">
        <f>COUNTIF(Resp4[4.61],B11)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COUNTIFS(Resp4[Vínculo],"tecnico",Resp4[4.61],B12)</f>
        <v>0</v>
      </c>
      <c r="D12" s="4">
        <f>COUNTIFS(Resp4[Vínculo],"docente",Resp4[4.61],B12)</f>
        <v>0</v>
      </c>
      <c r="E12" s="4">
        <f>COUNTIF(Resp4[4.61],B12)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489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COUNTIFS(Resp4[Vínculo],"tecnico",Resp4[4.62],B11)</f>
        <v>0</v>
      </c>
      <c r="D11" s="4">
        <f>COUNTIFS(Resp4[Vínculo],"docente",Resp4[4.62],B11)</f>
        <v>0</v>
      </c>
      <c r="E11" s="4">
        <f>COUNTIF(Resp4[4.62],B11)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COUNTIFS(Resp4[Vínculo],"tecnico",Resp4[4.62],B12)</f>
        <v>1</v>
      </c>
      <c r="D12" s="4">
        <f>COUNTIFS(Resp4[Vínculo],"docente",Resp4[4.62],B12)</f>
        <v>0</v>
      </c>
      <c r="E12" s="4">
        <f>COUNTIF(Resp4[4.62],B12)</f>
        <v>1</v>
      </c>
      <c r="F12" s="22">
        <f>ROUND($E12/E$13*100,2)</f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489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COUNTIFS(Resp4[Vínculo],"tecnico",Resp4[4.63],B11)</f>
        <v>0</v>
      </c>
      <c r="D11" s="4">
        <f>COUNTIFS(Resp4[Vínculo],"docente",Resp4[4.63],B11)</f>
        <v>0</v>
      </c>
      <c r="E11" s="4">
        <f>COUNTIF(Resp4[4.63],B11)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COUNTIFS(Resp4[Vínculo],"tecnico",Resp4[4.63],B12)</f>
        <v>1</v>
      </c>
      <c r="D12" s="4">
        <f>COUNTIFS(Resp4[Vínculo],"docente",Resp4[4.63],B12)</f>
        <v>0</v>
      </c>
      <c r="E12" s="4">
        <f>COUNTIF(Resp4[4.63],B12)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489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COUNTIFS(Resp4[Vínculo],"tecnico",Resp4[4.64],B7)</f>
        <v>0</v>
      </c>
      <c r="D7" s="4">
        <f>COUNTIFS(Resp4[Vínculo],"docente",Resp4[4.64],B7)</f>
        <v>0</v>
      </c>
      <c r="E7" s="4">
        <f>COUNTIF(Resp4[4.64],B7)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COUNTIFS(Resp4[Vínculo],"tecnico",Resp4[4.64],B9)</f>
        <v>0</v>
      </c>
      <c r="D9" s="4">
        <f>COUNTIFS(Resp4[Vínculo],"docente",Resp4[4.64],B9)</f>
        <v>0</v>
      </c>
      <c r="E9" s="4">
        <f>COUNTIF(Resp4[4.64],B9)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0</v>
      </c>
      <c r="E10" s="4">
        <f>COUNTIF(Resp4[4.64],B10)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COUNTIFS(Resp4[Vínculo],"tecnico",Resp4[4.64],B11)</f>
        <v>1</v>
      </c>
      <c r="D11" s="4">
        <f>COUNTIFS(Resp4[Vínculo],"docente",Resp4[4.64],B11)</f>
        <v>0</v>
      </c>
      <c r="E11" s="4">
        <f>COUNTIF(Resp4[4.64],B11)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489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COUNTIFS(Resp4[Vínculo],"tecnico",Resp4[4.65],B7)</f>
        <v>0</v>
      </c>
      <c r="D7" s="4">
        <f>COUNTIFS(Resp4[Vínculo],"docente",Resp4[4.65],B7)</f>
        <v>0</v>
      </c>
      <c r="E7" s="4">
        <f>COUNTIF(Resp4[4.65],B7)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COUNTIFS(Resp4[Vínculo],"tecnico",Resp4[4.65],B9)</f>
        <v>0</v>
      </c>
      <c r="D9" s="4">
        <f>COUNTIFS(Resp4[Vínculo],"docente",Resp4[4.65],B9)</f>
        <v>0</v>
      </c>
      <c r="E9" s="4">
        <f>COUNTIF(Resp4[4.65],B9)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0</v>
      </c>
      <c r="E10" s="4">
        <f>COUNTIF(Resp4[4.65],B10)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COUNTIFS(Resp4[Vínculo],"tecnico",Resp4[4.65],B11)</f>
        <v>1</v>
      </c>
      <c r="D11" s="4">
        <f>COUNTIFS(Resp4[Vínculo],"docente",Resp4[4.65],B11)</f>
        <v>0</v>
      </c>
      <c r="E11" s="4">
        <f>COUNTIF(Resp4[4.65],B11)</f>
        <v>1</v>
      </c>
      <c r="F11" s="4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489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0</v>
      </c>
      <c r="E10" s="4">
        <f>COUNTIF(Resp4[4.66],B10)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COUNTIFS(Resp4[Vínculo],"tecnico",Resp4[4.66],B11)</f>
        <v>0</v>
      </c>
      <c r="D11" s="4">
        <f>COUNTIFS(Resp4[Vínculo],"docente",Resp4[4.66],B11)</f>
        <v>0</v>
      </c>
      <c r="E11" s="4">
        <f>COUNTIF(Resp4[4.66],B11)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COUNTIFS(Resp4[Vínculo],"tecnico",Resp4[4.66],B12)</f>
        <v>1</v>
      </c>
      <c r="D12" s="4">
        <f>COUNTIFS(Resp4[Vínculo],"docente",Resp4[4.66],B12)</f>
        <v>0</v>
      </c>
      <c r="E12" s="4">
        <f>COUNTIF(Resp4[4.66],B12)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1</v>
      </c>
      <c r="D7" s="4">
        <f>COUNTIFS(Resp4[Vínculo],"docente",Resp4[4.01],B7)</f>
        <v>0</v>
      </c>
      <c r="E7" s="2">
        <f>COUNTIF(Resp4[4.01],B7)</f>
        <v>1</v>
      </c>
      <c r="F7" s="3">
        <f t="shared" ref="F7:F9" si="0">ROUND($E7/E$9*100,2)</f>
        <v>14.29</v>
      </c>
      <c r="G7" s="4">
        <f>ROUND($E7/SUM($E$7:$E$8)*100,2)</f>
        <v>14.29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6</v>
      </c>
      <c r="D8" s="4">
        <f>COUNTIFS(Resp4[Vínculo],"docente",Resp4[4.01],B8)</f>
        <v>0</v>
      </c>
      <c r="E8" s="2">
        <f>COUNTIF(Resp4[4.01],B8)</f>
        <v>6</v>
      </c>
      <c r="F8" s="24">
        <f t="shared" si="0"/>
        <v>85.71</v>
      </c>
      <c r="G8" s="4">
        <f>ROUND($E8/SUM($E$7:$E$8)*100,2)</f>
        <v>85.71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489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15">
        <f>ROUND($E6/E$13*100,2)</f>
        <v>85.71</v>
      </c>
    </row>
    <row r="7" spans="1:7" x14ac:dyDescent="0.25">
      <c r="B7" s="2" t="s">
        <v>497</v>
      </c>
      <c r="C7" s="4">
        <f>COUNTIFS(Resp4[Vínculo],"tecnico",Resp4[4.67],B7)</f>
        <v>0</v>
      </c>
      <c r="D7" s="4">
        <f>COUNTIFS(Resp4[Vínculo],"docente",Resp4[4.67],B7)</f>
        <v>0</v>
      </c>
      <c r="E7" s="4">
        <f>COUNTIF(Resp4[4.67],B7)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COUNTIFS(Resp4[Vínculo],"tecnico",Resp4[4.67],B9)</f>
        <v>0</v>
      </c>
      <c r="D9" s="4">
        <f>COUNTIFS(Resp4[Vínculo],"docente",Resp4[4.67],B9)</f>
        <v>0</v>
      </c>
      <c r="E9" s="4">
        <f>COUNTIF(Resp4[4.67],B9)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0</v>
      </c>
      <c r="E10" s="4">
        <f>COUNTIF(Resp4[4.67],B10)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COUNTIFS(Resp4[Vínculo],"tecnico",Resp4[4.67],B11)</f>
        <v>1</v>
      </c>
      <c r="D11" s="4">
        <f>COUNTIFS(Resp4[Vínculo],"docente",Resp4[4.67],B11)</f>
        <v>0</v>
      </c>
      <c r="E11" s="4">
        <f>COUNTIF(Resp4[4.67],B11)</f>
        <v>1</v>
      </c>
      <c r="F11" s="15">
        <f t="shared" si="0"/>
        <v>14.29</v>
      </c>
      <c r="G11" s="3">
        <f t="shared" si="1"/>
        <v>100</v>
      </c>
    </row>
    <row r="12" spans="1:7" x14ac:dyDescent="0.25">
      <c r="B12" s="7" t="s">
        <v>201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489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COUNTIFS(Resp4[Vínculo],"tecnico",Resp4[4.68],B7)</f>
        <v>0</v>
      </c>
      <c r="D7" s="4">
        <f>COUNTIFS(Resp4[Vínculo],"docente",Resp4[4.68],B7)</f>
        <v>0</v>
      </c>
      <c r="E7" s="4">
        <f>COUNTIF(Resp4[4.68],B7)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0</v>
      </c>
      <c r="E10" s="4">
        <f>COUNTIF(Resp4[4.68],B10)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COUNTIFS(Resp4[Vínculo],"tecnico",Resp4[4.68],B11)</f>
        <v>0</v>
      </c>
      <c r="D11" s="4">
        <f>COUNTIFS(Resp4[Vínculo],"docente",Resp4[4.68],B11)</f>
        <v>0</v>
      </c>
      <c r="E11" s="4">
        <f>COUNTIF(Resp4[4.68],B11)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COUNTIFS(Resp4[Vínculo],"tecnico",Resp4[4.68],B12)</f>
        <v>1</v>
      </c>
      <c r="D12" s="4">
        <f>COUNTIFS(Resp4[Vínculo],"docente",Resp4[4.68],B12)</f>
        <v>0</v>
      </c>
      <c r="E12" s="4">
        <f>COUNTIF(Resp4[4.68],B12)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489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85.71</v>
      </c>
    </row>
    <row r="7" spans="1:7" x14ac:dyDescent="0.25">
      <c r="B7" s="2" t="s">
        <v>497</v>
      </c>
      <c r="C7" s="4">
        <f>COUNTIFS(Resp4[Vínculo],"tecnico",Resp4[4.69],B7)</f>
        <v>0</v>
      </c>
      <c r="D7" s="4">
        <f>COUNTIFS(Resp4[Vínculo],"docente",Resp4[4.69],B7)</f>
        <v>0</v>
      </c>
      <c r="E7" s="4">
        <f>COUNTIF(Resp4[4.69],B7)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0</v>
      </c>
      <c r="E10" s="4">
        <f>COUNTIF(Resp4[4.69],B10)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COUNTIFS(Resp4[Vínculo],"tecnico",Resp4[4.69],B11)</f>
        <v>0</v>
      </c>
      <c r="D11" s="4">
        <f>COUNTIFS(Resp4[Vínculo],"docente",Resp4[4.69],B11)</f>
        <v>0</v>
      </c>
      <c r="E11" s="4">
        <f>COUNTIF(Resp4[4.69],B11)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COUNTIFS(Resp4[Vínculo],"tecnico",Resp4[4.69],B12)</f>
        <v>1</v>
      </c>
      <c r="D12" s="4">
        <f>COUNTIFS(Resp4[Vínculo],"docente",Resp4[4.69],B12)</f>
        <v>0</v>
      </c>
      <c r="E12" s="4">
        <f>COUNTIF(Resp4[4.69],B12)</f>
        <v>1</v>
      </c>
      <c r="F12" s="22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489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28.57</v>
      </c>
    </row>
    <row r="7" spans="1:7" x14ac:dyDescent="0.25">
      <c r="B7" t="s">
        <v>504</v>
      </c>
      <c r="C7" s="4">
        <f>COUNTIFS(Resp4[Vínculo],"tecnico",Resp4[4.71],B7)</f>
        <v>0</v>
      </c>
      <c r="D7" s="4">
        <f>COUNTIFS(Resp4[Vínculo],"docente",Resp4[4.71],B7)</f>
        <v>0</v>
      </c>
      <c r="E7" s="4">
        <f>COUNTIF(Resp4[4.71],B7)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14.29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COUNTIFS(Resp4[Vínculo],"tecnico",Resp4[4.71],B11)</f>
        <v>1</v>
      </c>
      <c r="D11" s="4">
        <f>COUNTIFS(Resp4[Vínculo],"docente",Resp4[4.71],B11)</f>
        <v>0</v>
      </c>
      <c r="E11" s="4">
        <f>COUNTIF(Resp4[4.71],B11)</f>
        <v>1</v>
      </c>
      <c r="F11" s="4">
        <f t="shared" si="0"/>
        <v>14.29</v>
      </c>
      <c r="G11" s="3">
        <f t="shared" si="1"/>
        <v>20</v>
      </c>
    </row>
    <row r="12" spans="1:7" x14ac:dyDescent="0.25">
      <c r="B12" s="7" t="s">
        <v>201</v>
      </c>
      <c r="C12" s="4">
        <f>COUNTIFS(Resp4[Vínculo],"tecnico",Resp4[4.71],B12)</f>
        <v>3</v>
      </c>
      <c r="D12" s="4">
        <f>COUNTIFS(Resp4[Vínculo],"docente",Resp4[4.71],B12)</f>
        <v>0</v>
      </c>
      <c r="E12" s="4">
        <f>COUNTIF(Resp4[4.71],B12)</f>
        <v>3</v>
      </c>
      <c r="F12" s="22">
        <f t="shared" si="0"/>
        <v>42.86</v>
      </c>
      <c r="G12" s="3">
        <f t="shared" si="1"/>
        <v>60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489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28.57</v>
      </c>
    </row>
    <row r="7" spans="1:7" x14ac:dyDescent="0.25">
      <c r="B7" s="90" t="s">
        <v>504</v>
      </c>
      <c r="C7" s="4">
        <f>COUNTIFS(Resp4[Vínculo],"tecnico",Resp4[4.72],B7)</f>
        <v>0</v>
      </c>
      <c r="D7" s="4">
        <f>COUNTIFS(Resp4[Vínculo],"docente",Resp4[4.72],B7)</f>
        <v>0</v>
      </c>
      <c r="E7" s="4">
        <f>COUNTIF(Resp4[4.72],B7)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COUNTIFS(Resp4[Vínculo],"tecnico",Resp4[4.72],B9)</f>
        <v>1</v>
      </c>
      <c r="D9" s="4">
        <f>COUNTIFS(Resp4[Vínculo],"docente",Resp4[4.72],B9)</f>
        <v>0</v>
      </c>
      <c r="E9" s="4">
        <f>COUNTIF(Resp4[4.72],B9)</f>
        <v>1</v>
      </c>
      <c r="F9" s="4">
        <f t="shared" si="0"/>
        <v>14.29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COUNTIFS(Resp4[Vínculo],"tecnico",Resp4[4.72],B10)</f>
        <v>0</v>
      </c>
      <c r="D10" s="4">
        <f>COUNTIFS(Resp4[Vínculo],"docente",Resp4[4.72],B10)</f>
        <v>0</v>
      </c>
      <c r="E10" s="4">
        <f>COUNTIF(Resp4[4.72],B10)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COUNTIFS(Resp4[Vínculo],"tecnico",Resp4[4.72],B11)</f>
        <v>2</v>
      </c>
      <c r="D11" s="4">
        <f>COUNTIFS(Resp4[Vínculo],"docente",Resp4[4.72],B11)</f>
        <v>0</v>
      </c>
      <c r="E11" s="4">
        <f>COUNTIF(Resp4[4.72],B11)</f>
        <v>2</v>
      </c>
      <c r="F11" s="4">
        <f t="shared" si="0"/>
        <v>28.57</v>
      </c>
      <c r="G11" s="3">
        <f t="shared" si="1"/>
        <v>40</v>
      </c>
    </row>
    <row r="12" spans="1:7" x14ac:dyDescent="0.25">
      <c r="B12" s="7" t="s">
        <v>201</v>
      </c>
      <c r="C12" s="4">
        <f>COUNTIFS(Resp4[Vínculo],"tecnico",Resp4[4.72],B12)</f>
        <v>2</v>
      </c>
      <c r="D12" s="4">
        <f>COUNTIFS(Resp4[Vínculo],"docente",Resp4[4.72],B12)</f>
        <v>0</v>
      </c>
      <c r="E12" s="4">
        <f>COUNTIF(Resp4[4.72],B12)</f>
        <v>2</v>
      </c>
      <c r="F12" s="22">
        <f t="shared" si="0"/>
        <v>28.57</v>
      </c>
      <c r="G12" s="3">
        <f t="shared" si="1"/>
        <v>40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489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28.57</v>
      </c>
    </row>
    <row r="7" spans="1:7" x14ac:dyDescent="0.25">
      <c r="B7" s="90" t="s">
        <v>504</v>
      </c>
      <c r="C7" s="4">
        <f>COUNTIFS(Resp4[Vínculo],"tecnico",Resp4[4.73],B7)</f>
        <v>0</v>
      </c>
      <c r="D7" s="4">
        <f>COUNTIFS(Resp4[Vínculo],"docente",Resp4[4.73],B7)</f>
        <v>0</v>
      </c>
      <c r="E7" s="4">
        <f>COUNTIF(Resp4[4.73],B7)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COUNTIFS(Resp4[Vínculo],"tecnico",Resp4[4.73],B9)</f>
        <v>1</v>
      </c>
      <c r="D9" s="4">
        <f>COUNTIFS(Resp4[Vínculo],"docente",Resp4[4.73],B9)</f>
        <v>0</v>
      </c>
      <c r="E9" s="4">
        <f>COUNTIF(Resp4[4.73],B9)</f>
        <v>1</v>
      </c>
      <c r="F9" s="4">
        <f t="shared" si="0"/>
        <v>14.29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COUNTIFS(Resp4[Vínculo],"tecnico",Resp4[4.73],B10)</f>
        <v>0</v>
      </c>
      <c r="D10" s="4">
        <f>COUNTIFS(Resp4[Vínculo],"docente",Resp4[4.73],B10)</f>
        <v>0</v>
      </c>
      <c r="E10" s="4">
        <f>COUNTIF(Resp4[4.73],B10)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COUNTIFS(Resp4[Vínculo],"tecnico",Resp4[4.73],B11)</f>
        <v>1</v>
      </c>
      <c r="D11" s="4">
        <f>COUNTIFS(Resp4[Vínculo],"docente",Resp4[4.73],B11)</f>
        <v>0</v>
      </c>
      <c r="E11" s="4">
        <f>COUNTIF(Resp4[4.73],B11)</f>
        <v>1</v>
      </c>
      <c r="F11" s="4">
        <f t="shared" si="0"/>
        <v>14.29</v>
      </c>
      <c r="G11" s="3">
        <f t="shared" si="1"/>
        <v>20</v>
      </c>
    </row>
    <row r="12" spans="1:7" x14ac:dyDescent="0.25">
      <c r="B12" s="7" t="s">
        <v>201</v>
      </c>
      <c r="C12" s="4">
        <f>COUNTIFS(Resp4[Vínculo],"tecnico",Resp4[4.73],B12)</f>
        <v>3</v>
      </c>
      <c r="D12" s="4">
        <f>COUNTIFS(Resp4[Vínculo],"docente",Resp4[4.73],B12)</f>
        <v>0</v>
      </c>
      <c r="E12" s="4">
        <f>COUNTIF(Resp4[4.73],B12)</f>
        <v>3</v>
      </c>
      <c r="F12" s="22">
        <f t="shared" si="0"/>
        <v>42.86</v>
      </c>
      <c r="G12" s="3">
        <f t="shared" si="1"/>
        <v>60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489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42.86</v>
      </c>
    </row>
    <row r="7" spans="1:7" x14ac:dyDescent="0.25">
      <c r="B7" t="s">
        <v>504</v>
      </c>
      <c r="C7" s="4">
        <f>COUNTIFS(Resp4[Vínculo],"tecnico",Resp4[4.74],B7)</f>
        <v>0</v>
      </c>
      <c r="D7" s="4">
        <f>COUNTIFS(Resp4[Vínculo],"docente",Resp4[4.74],B7)</f>
        <v>0</v>
      </c>
      <c r="E7" s="4">
        <f>COUNTIF(Resp4[4.74],B7)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0</v>
      </c>
      <c r="E10" s="4">
        <f>COUNTIF(Resp4[4.74],B10)</f>
        <v>1</v>
      </c>
      <c r="F10" s="4">
        <f t="shared" si="0"/>
        <v>14.29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COUNTIFS(Resp4[Vínculo],"tecnico",Resp4[4.74],B11)</f>
        <v>0</v>
      </c>
      <c r="D11" s="4">
        <f>COUNTIFS(Resp4[Vínculo],"docente",Resp4[4.74],B11)</f>
        <v>0</v>
      </c>
      <c r="E11" s="4">
        <f>COUNTIF(Resp4[4.74],B11)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COUNTIFS(Resp4[Vínculo],"tecnico",Resp4[4.74],B12)</f>
        <v>3</v>
      </c>
      <c r="D12" s="4">
        <f>COUNTIFS(Resp4[Vínculo],"docente",Resp4[4.74],B12)</f>
        <v>0</v>
      </c>
      <c r="E12" s="4">
        <f>COUNTIF(Resp4[4.74],B12)</f>
        <v>3</v>
      </c>
      <c r="F12" s="22">
        <f t="shared" si="0"/>
        <v>42.86</v>
      </c>
      <c r="G12" s="3">
        <f t="shared" si="1"/>
        <v>75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489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42.86</v>
      </c>
    </row>
    <row r="7" spans="1:7" x14ac:dyDescent="0.25">
      <c r="B7" t="s">
        <v>504</v>
      </c>
      <c r="C7" s="4">
        <f>COUNTIFS(Resp4[Vínculo],"tecnico",Resp4[4.75],B7)</f>
        <v>0</v>
      </c>
      <c r="D7" s="4">
        <f>COUNTIFS(Resp4[Vínculo],"docente",Resp4[4.75],B7)</f>
        <v>0</v>
      </c>
      <c r="E7" s="4">
        <f>COUNTIF(Resp4[4.75],B7)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1</v>
      </c>
      <c r="D10" s="4">
        <f>COUNTIFS(Resp4[Vínculo],"docente",Resp4[4.75],B10)</f>
        <v>0</v>
      </c>
      <c r="E10" s="4">
        <f>COUNTIF(Resp4[4.75],B10)</f>
        <v>1</v>
      </c>
      <c r="F10" s="4">
        <f t="shared" si="0"/>
        <v>14.29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COUNTIFS(Resp4[Vínculo],"tecnico",Resp4[4.75],B11)</f>
        <v>0</v>
      </c>
      <c r="D11" s="4">
        <f>COUNTIFS(Resp4[Vínculo],"docente",Resp4[4.75],B11)</f>
        <v>0</v>
      </c>
      <c r="E11" s="4">
        <f>COUNTIF(Resp4[4.75],B11)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COUNTIFS(Resp4[Vínculo],"tecnico",Resp4[4.75],B12)</f>
        <v>3</v>
      </c>
      <c r="D12" s="4">
        <f>COUNTIFS(Resp4[Vínculo],"docente",Resp4[4.75],B12)</f>
        <v>0</v>
      </c>
      <c r="E12" s="4">
        <f>COUNTIF(Resp4[4.75],B12)</f>
        <v>3</v>
      </c>
      <c r="F12" s="22">
        <f t="shared" si="0"/>
        <v>42.86</v>
      </c>
      <c r="G12" s="3">
        <f t="shared" si="1"/>
        <v>75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489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42.86</v>
      </c>
    </row>
    <row r="7" spans="1:7" x14ac:dyDescent="0.25">
      <c r="B7" t="s">
        <v>504</v>
      </c>
      <c r="C7" s="4">
        <f>COUNTIFS(Resp4[Vínculo],"tecnico",Resp4[4.76],B7)</f>
        <v>0</v>
      </c>
      <c r="D7" s="4">
        <f>COUNTIFS(Resp4[Vínculo],"docente",Resp4[4.76],B7)</f>
        <v>0</v>
      </c>
      <c r="E7" s="4">
        <f>COUNTIF(Resp4[4.76],B7)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1</v>
      </c>
      <c r="D10" s="4">
        <f>COUNTIFS(Resp4[Vínculo],"docente",Resp4[4.76],B10)</f>
        <v>0</v>
      </c>
      <c r="E10" s="4">
        <f>COUNTIF(Resp4[4.76],B10)</f>
        <v>1</v>
      </c>
      <c r="F10" s="4">
        <f t="shared" si="0"/>
        <v>14.29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COUNTIFS(Resp4[Vínculo],"tecnico",Resp4[4.76],B11)</f>
        <v>0</v>
      </c>
      <c r="D11" s="4">
        <f>COUNTIFS(Resp4[Vínculo],"docente",Resp4[4.76],B11)</f>
        <v>0</v>
      </c>
      <c r="E11" s="4">
        <f>COUNTIF(Resp4[4.76],B11)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COUNTIFS(Resp4[Vínculo],"tecnico",Resp4[4.76],B12)</f>
        <v>3</v>
      </c>
      <c r="D12" s="4">
        <f>COUNTIFS(Resp4[Vínculo],"docente",Resp4[4.76],B12)</f>
        <v>0</v>
      </c>
      <c r="E12" s="4">
        <f>COUNTIF(Resp4[4.76],B12)</f>
        <v>3</v>
      </c>
      <c r="F12" s="4">
        <f t="shared" si="0"/>
        <v>42.86</v>
      </c>
      <c r="G12" s="3">
        <f t="shared" si="1"/>
        <v>75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88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489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42.86</v>
      </c>
    </row>
    <row r="7" spans="1:7" x14ac:dyDescent="0.25">
      <c r="B7" t="s">
        <v>504</v>
      </c>
      <c r="C7" s="4">
        <f>COUNTIFS(Resp4[Vínculo],"tecnico",Resp4[4.77],B7)</f>
        <v>0</v>
      </c>
      <c r="D7" s="4">
        <f>COUNTIFS(Resp4[Vínculo],"docente",Resp4[4.77],B7)</f>
        <v>0</v>
      </c>
      <c r="E7" s="4">
        <f>COUNTIF(Resp4[4.77],B7)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0</v>
      </c>
      <c r="E10" s="4">
        <f>COUNTIF(Resp4[4.74],B10)</f>
        <v>1</v>
      </c>
      <c r="F10" s="4">
        <f t="shared" si="0"/>
        <v>14.29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COUNTIFS(Resp4[Vínculo],"tecnico",Resp4[4.74],B11)</f>
        <v>0</v>
      </c>
      <c r="D11" s="4">
        <f>COUNTIFS(Resp4[Vínculo],"docente",Resp4[4.74],B11)</f>
        <v>0</v>
      </c>
      <c r="E11" s="4">
        <f>COUNTIF(Resp4[4.74],B11)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COUNTIFS(Resp4[Vínculo],"tecnico",Resp4[4.74],B12)</f>
        <v>3</v>
      </c>
      <c r="D12" s="4">
        <f>COUNTIFS(Resp4[Vínculo],"docente",Resp4[4.74],B12)</f>
        <v>0</v>
      </c>
      <c r="E12" s="4">
        <f>COUNTIF(Resp4[4.74],B12)</f>
        <v>3</v>
      </c>
      <c r="F12" s="22">
        <f t="shared" si="0"/>
        <v>42.86</v>
      </c>
      <c r="G12" s="3">
        <f t="shared" si="1"/>
        <v>75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89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489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3">
        <f>ROUND($E6/E$13*100,2)</f>
        <v>85.71</v>
      </c>
    </row>
    <row r="7" spans="1:7" x14ac:dyDescent="0.25">
      <c r="B7" s="2" t="s">
        <v>497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COUNTIFS(Resp4[Vínculo],"tecnico",Resp4[4.02],B$12)</f>
        <v>1</v>
      </c>
      <c r="D12" s="4">
        <f>COUNTIFS(Resp4[Vínculo],"docente",Resp4[4.02],B12)</f>
        <v>0</v>
      </c>
      <c r="E12" s="4">
        <f>COUNTIF(Resp4[4.02],B12)</f>
        <v>1</v>
      </c>
      <c r="F12" s="24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489</v>
      </c>
      <c r="B3" s="2" t="str">
        <f>VLOOKUP(A$2,Eixo4[],4,FALSE)</f>
        <v>Eixo 4: Questão 79</v>
      </c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t="s">
        <v>503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506</v>
      </c>
      <c r="C7" s="4">
        <f>COUNTIFS(Resp4[Vínculo],"tecnico",Resp4[4.79],C14)</f>
        <v>2</v>
      </c>
      <c r="D7" s="4">
        <f>COUNTIFS(Resp4[Vínculo],"docente",Resp4[4.79],C14)</f>
        <v>0</v>
      </c>
      <c r="E7" s="4">
        <f>COUNTIF(Resp4[4.79],C14)</f>
        <v>2</v>
      </c>
      <c r="F7" s="4">
        <f t="shared" ref="F7:F11" si="0">ROUND($E7/E$11*100,2)</f>
        <v>28.57</v>
      </c>
      <c r="G7" s="3">
        <f>ROUND($E7/SUM($E$7:$E$10)*100,3)</f>
        <v>28.571000000000002</v>
      </c>
    </row>
    <row r="8" spans="1:7" x14ac:dyDescent="0.25">
      <c r="B8" t="s">
        <v>507</v>
      </c>
      <c r="C8" s="4">
        <f>COUNTIFS(Resp4[Vínculo],"tecnico",Resp4[4.79],C15)</f>
        <v>1</v>
      </c>
      <c r="D8" s="4">
        <f>COUNTIFS(Resp4[Vínculo],"docente",Resp4[4.79],C15)</f>
        <v>0</v>
      </c>
      <c r="E8" s="4">
        <f>COUNTIF(Resp4[4.79],C15)</f>
        <v>1</v>
      </c>
      <c r="F8" s="4">
        <f t="shared" si="0"/>
        <v>14.29</v>
      </c>
      <c r="G8" s="3">
        <f>ROUND($E8/SUM($E$7:$E$10)*100,3)</f>
        <v>14.286</v>
      </c>
    </row>
    <row r="9" spans="1:7" x14ac:dyDescent="0.25">
      <c r="B9" t="s">
        <v>508</v>
      </c>
      <c r="C9" s="4">
        <f>COUNTIFS(Resp4[Vínculo],"tecnico",Resp4[4.79],C16)</f>
        <v>4</v>
      </c>
      <c r="D9" s="4">
        <f>COUNTIFS(Resp4[Vínculo],"docente",Resp4[4.79],C16)</f>
        <v>0</v>
      </c>
      <c r="E9" s="4">
        <f>COUNTIF(Resp4[4.79],C16)</f>
        <v>4</v>
      </c>
      <c r="F9" s="4">
        <f t="shared" si="0"/>
        <v>57.14</v>
      </c>
      <c r="G9" s="3">
        <f>ROUND($E9/SUM($E$7:$E$10)*100,3)</f>
        <v>57.143000000000001</v>
      </c>
    </row>
    <row r="10" spans="1:7" x14ac:dyDescent="0.25">
      <c r="B10" s="23" t="s">
        <v>509</v>
      </c>
      <c r="C10" s="22">
        <f>COUNTIFS(Resp4[Vínculo],"tecnico",Resp4[4.79],B10)</f>
        <v>0</v>
      </c>
      <c r="D10" s="22">
        <f>COUNTIFS(Resp4[Vínculo],"docente",Resp4[4.79],B10)</f>
        <v>0</v>
      </c>
      <c r="E10" s="22">
        <f>COUNTIF(Resp4[4.79],B10)</f>
        <v>0</v>
      </c>
      <c r="F10" s="22">
        <f t="shared" si="0"/>
        <v>0</v>
      </c>
      <c r="G10" s="24">
        <f>ROUND($E10/SUM($E$7:$E$10)*100,3)</f>
        <v>0</v>
      </c>
    </row>
    <row r="11" spans="1:7" x14ac:dyDescent="0.25">
      <c r="B11" t="s">
        <v>499</v>
      </c>
      <c r="C11">
        <f>SUM(C6:C10)</f>
        <v>7</v>
      </c>
      <c r="D11">
        <f>SUM(D6:D10)</f>
        <v>0</v>
      </c>
      <c r="E11">
        <f>SUM(C11:D11)</f>
        <v>7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506</v>
      </c>
      <c r="C14" t="s">
        <v>200</v>
      </c>
    </row>
    <row r="15" spans="1:7" x14ac:dyDescent="0.25">
      <c r="B15" t="s">
        <v>507</v>
      </c>
      <c r="C15" t="s">
        <v>203</v>
      </c>
    </row>
    <row r="16" spans="1:7" x14ac:dyDescent="0.25">
      <c r="B16" t="s">
        <v>508</v>
      </c>
      <c r="C16" t="s">
        <v>198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7</v>
      </c>
      <c r="D7" s="4">
        <f>COUNTIFS(Resp4[Vínculo],"docente",Resp4[4.81],B7)</f>
        <v>0</v>
      </c>
      <c r="E7" s="2">
        <f>COUNTIF(Resp4[4.81],B7)</f>
        <v>7</v>
      </c>
      <c r="F7" s="15">
        <f t="shared" ref="F7:F9" si="0">ROUND($E7/E$9*100,2)</f>
        <v>100</v>
      </c>
      <c r="G7" s="4">
        <f>ROUND($E7/SUM($E$7:$E$8)*100,2)</f>
        <v>100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0</v>
      </c>
      <c r="D8" s="4">
        <f>COUNTIFS(Resp4[Vínculo],"docente",Resp4[4.81],B8)</f>
        <v>0</v>
      </c>
      <c r="E8" s="2">
        <f>COUNTIF(Resp4[4.81],B8)</f>
        <v>0</v>
      </c>
      <c r="F8" s="19">
        <f t="shared" si="0"/>
        <v>0</v>
      </c>
      <c r="G8" s="4">
        <f>ROUND($E8/SUM($E$7:$E$8)*100,2)</f>
        <v>0</v>
      </c>
      <c r="H8" s="2"/>
    </row>
    <row r="9" spans="1:8" s="30" customFormat="1" ht="14.25" customHeight="1" x14ac:dyDescent="0.25">
      <c r="A9" s="29"/>
      <c r="B9" s="28" t="s">
        <v>499</v>
      </c>
      <c r="C9" s="28">
        <f>SUM(C6:C8)</f>
        <v>7</v>
      </c>
      <c r="D9" s="28">
        <f>SUM(D6:D8)</f>
        <v>0</v>
      </c>
      <c r="E9" s="28">
        <f>SUM(C9:D9)</f>
        <v>7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489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490</v>
      </c>
      <c r="C5" s="5" t="s">
        <v>196</v>
      </c>
      <c r="D5" s="5" t="s">
        <v>492</v>
      </c>
      <c r="E5" s="5" t="s">
        <v>493</v>
      </c>
      <c r="F5" s="6" t="s">
        <v>494</v>
      </c>
      <c r="G5" s="5" t="s">
        <v>495</v>
      </c>
      <c r="H5" s="2"/>
    </row>
    <row r="6" spans="1:8" x14ac:dyDescent="0.25">
      <c r="A6" s="2"/>
      <c r="B6" s="2" t="s">
        <v>503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0</v>
      </c>
      <c r="D7" s="4">
        <f>COUNTIFS(Resp4[Vínculo],"docente",Resp4[4.85],B7)</f>
        <v>0</v>
      </c>
      <c r="E7" s="2">
        <f>COUNTIF(Resp4[4.85],B7)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7</v>
      </c>
      <c r="D8" s="4">
        <f>COUNTIFS(Resp4[Vínculo],"docente",Resp4[4.85],B8)</f>
        <v>0</v>
      </c>
      <c r="E8" s="2">
        <f>COUNTIF(Resp4[4.85],B8)</f>
        <v>7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499</v>
      </c>
      <c r="C9" s="8">
        <f>SUM(C6:C8)</f>
        <v>7</v>
      </c>
      <c r="D9" s="8">
        <f>SUM(D6:D8)</f>
        <v>0</v>
      </c>
      <c r="E9" s="8">
        <f>SUM(C9:D9)</f>
        <v>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489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0</v>
      </c>
      <c r="E10" s="4">
        <f>COUNTIF(Resp4[4.86],B10)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COUNTIFS(Resp4[Vínculo],"tecnico",Resp4[4.86],B11)</f>
        <v>0</v>
      </c>
      <c r="D11" s="4">
        <f>COUNTIFS(Resp4[Vínculo],"docente",Resp4[4.86],B11)</f>
        <v>0</v>
      </c>
      <c r="E11" s="4">
        <f>COUNTIF(Resp4[4.86],B11)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COUNTIFS(Resp4[Vínculo],"tecnico",Resp4[4.86],B12)</f>
        <v>0</v>
      </c>
      <c r="D12" s="4">
        <f>COUNTIFS(Resp4[Vínculo],"docente",Resp4[4.86],B12)</f>
        <v>0</v>
      </c>
      <c r="E12" s="4">
        <f>COUNTIF(Resp4[4.86],B12)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489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 t="e">
        <f t="shared" ref="G7:G12" si="0">ROUND($E7/SUM($E$7:$E$12)*100,3)</f>
        <v>#DIV/0!</v>
      </c>
    </row>
    <row r="8" spans="1:7" x14ac:dyDescent="0.25">
      <c r="B8" s="2" t="s">
        <v>498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 t="e">
        <f t="shared" si="0"/>
        <v>#DIV/0!</v>
      </c>
    </row>
    <row r="9" spans="1:7" x14ac:dyDescent="0.25">
      <c r="B9" s="2" t="s">
        <v>202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 t="e">
        <f t="shared" si="0"/>
        <v>#DIV/0!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0</v>
      </c>
      <c r="E10" s="4">
        <f>COUNTIF(Resp4[4.87],B10)</f>
        <v>0</v>
      </c>
      <c r="F10" s="4">
        <f>ROUND($E10/E$13*100,2)</f>
        <v>0</v>
      </c>
      <c r="G10" s="3" t="e">
        <f t="shared" si="0"/>
        <v>#DIV/0!</v>
      </c>
    </row>
    <row r="11" spans="1:7" x14ac:dyDescent="0.25">
      <c r="B11" s="2" t="s">
        <v>197</v>
      </c>
      <c r="C11" s="4">
        <f>COUNTIFS(Resp4[Vínculo],"tecnico",Resp4[4.87],B11)</f>
        <v>0</v>
      </c>
      <c r="D11" s="4">
        <f>COUNTIFS(Resp4[Vínculo],"docente",Resp4[4.87],B11)</f>
        <v>0</v>
      </c>
      <c r="E11" s="4">
        <f>COUNTIF(Resp4[4.87],B11)</f>
        <v>0</v>
      </c>
      <c r="F11" s="4">
        <f>ROUND($E11/E$13*100,2)</f>
        <v>0</v>
      </c>
      <c r="G11" s="3" t="e">
        <f t="shared" si="0"/>
        <v>#DIV/0!</v>
      </c>
    </row>
    <row r="12" spans="1:7" x14ac:dyDescent="0.25">
      <c r="B12" s="7" t="s">
        <v>201</v>
      </c>
      <c r="C12" s="4">
        <f>COUNTIFS(Resp4[Vínculo],"tecnico",Resp4[4.87],B12)</f>
        <v>0</v>
      </c>
      <c r="D12" s="4">
        <f>COUNTIFS(Resp4[Vínculo],"docente",Resp4[4.87],B12)</f>
        <v>0</v>
      </c>
      <c r="E12" s="4">
        <f>COUNTIF(Resp4[4.87],B12)</f>
        <v>0</v>
      </c>
      <c r="F12" s="22">
        <f>ROUND($E12/E$13*100,2)</f>
        <v>0</v>
      </c>
      <c r="G12" s="3" t="e">
        <f t="shared" si="0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1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489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15">
        <f>ROUND($E6/E$13*100,2)</f>
        <v>100</v>
      </c>
    </row>
    <row r="7" spans="1:7" x14ac:dyDescent="0.25">
      <c r="B7" s="2" t="s">
        <v>497</v>
      </c>
      <c r="C7" s="4">
        <f>COUNTIFS(Resp4[Vínculo],"tecnico",Resp4[4.88],B7)</f>
        <v>0</v>
      </c>
      <c r="D7" s="4">
        <f>COUNTIFS(Resp4[Vínculo],"docente",Resp4[4.88],B7)</f>
        <v>0</v>
      </c>
      <c r="E7" s="4">
        <f>COUNTIF(Resp4[4.88],B7)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COUNTIFS(Resp4[Vínculo],"tecnico",Resp4[4.88],B11)</f>
        <v>0</v>
      </c>
      <c r="D11" s="4">
        <f>COUNTIFS(Resp4[Vínculo],"docente",Resp4[4.88],B11)</f>
        <v>0</v>
      </c>
      <c r="E11" s="4">
        <f>COUNTIF(Resp4[4.88],B11)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COUNTIFS(Resp4[Vínculo],"tecnico",Resp4[4.88],B12)</f>
        <v>0</v>
      </c>
      <c r="D12" s="4">
        <f>COUNTIFS(Resp4[Vínculo],"docente",Resp4[4.88],B12)</f>
        <v>0</v>
      </c>
      <c r="E12" s="4">
        <f>COUNTIF(Resp4[4.88],B12)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489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COUNTIFS(Resp4[Vínculo],"tecnico",Resp4[4.89],B7)</f>
        <v>0</v>
      </c>
      <c r="D7" s="4">
        <f>COUNTIFS(Resp4[Vínculo],"docente",Resp4[4.89],B7)</f>
        <v>0</v>
      </c>
      <c r="E7" s="4">
        <f>COUNTIF(Resp4[4.89],B7)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0</v>
      </c>
      <c r="E10" s="4">
        <f>COUNTIF(Resp4[4.89],B10)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COUNTIFS(Resp4[Vínculo],"tecnico",Resp4[4.89],B11)</f>
        <v>0</v>
      </c>
      <c r="D11" s="4">
        <f>COUNTIFS(Resp4[Vínculo],"docente",Resp4[4.89],B11)</f>
        <v>0</v>
      </c>
      <c r="E11" s="4">
        <f>COUNTIF(Resp4[4.89],B11)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COUNTIFS(Resp4[Vínculo],"tecnico",Resp4[4.89],B12)</f>
        <v>0</v>
      </c>
      <c r="D12" s="4">
        <f>COUNTIFS(Resp4[Vínculo],"docente",Resp4[4.89],B12)</f>
        <v>0</v>
      </c>
      <c r="E12" s="4">
        <f>COUNTIF(Resp4[4.89],B12)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489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COUNTIFS(Resp4[Vínculo],"tecnico",Resp4[4.90],B7)</f>
        <v>0</v>
      </c>
      <c r="D7" s="4">
        <f>COUNTIFS(Resp4[Vínculo],"docente",Resp4[4.90],B7)</f>
        <v>0</v>
      </c>
      <c r="E7" s="4">
        <f>COUNTIF(Resp4[4.90],B7)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COUNTIFS(Resp4[Vínculo],"tecnico",Resp4[4.90],B9)</f>
        <v>0</v>
      </c>
      <c r="D9" s="4">
        <f>COUNTIFS(Resp4[Vínculo],"docente",Resp4[4.90],B9)</f>
        <v>0</v>
      </c>
      <c r="E9" s="4">
        <f>COUNTIF(Resp4[4.90],B9)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COUNTIFS(Resp4[Vínculo],"tecnico",Resp4[4.90],B11)</f>
        <v>0</v>
      </c>
      <c r="D11" s="4">
        <f>COUNTIFS(Resp4[Vínculo],"docente",Resp4[4.90],B11)</f>
        <v>0</v>
      </c>
      <c r="E11" s="4">
        <f>COUNTIF(Resp4[4.90],B11)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COUNTIFS(Resp4[Vínculo],"tecnico",Resp4[4.90],B12)</f>
        <v>0</v>
      </c>
      <c r="D12" s="4">
        <f>COUNTIFS(Resp4[Vínculo],"docente",Resp4[4.90],B12)</f>
        <v>0</v>
      </c>
      <c r="E12" s="4">
        <f>COUNTIF(Resp4[4.90],B12)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489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COUNTIFS(Resp4[Vínculo],"tecnico",Resp4[4.91],B9)</f>
        <v>0</v>
      </c>
      <c r="D9" s="4">
        <f>COUNTIFS(Resp4[Vínculo],"docente",Resp4[4.91],B9)</f>
        <v>0</v>
      </c>
      <c r="E9" s="4">
        <f>COUNTIF(Resp4[4.91],B9)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0</v>
      </c>
      <c r="E10" s="4">
        <f>COUNTIF(Resp4[4.91],B10)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COUNTIFS(Resp4[Vínculo],"tecnico",Resp4[4.91],B11)</f>
        <v>0</v>
      </c>
      <c r="D11" s="4">
        <f>COUNTIFS(Resp4[Vínculo],"docente",Resp4[4.91],B11)</f>
        <v>0</v>
      </c>
      <c r="E11" s="4">
        <f>COUNTIF(Resp4[4.91],B11)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COUNTIFS(Resp4[Vínculo],"tecnico",Resp4[4.91],B12)</f>
        <v>0</v>
      </c>
      <c r="D12" s="4">
        <f>COUNTIFS(Resp4[Vínculo],"docente",Resp4[4.91],B12)</f>
        <v>0</v>
      </c>
      <c r="E12" s="4">
        <f>COUNTIF(Resp4[4.91],B12)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489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0</v>
      </c>
      <c r="E10" s="4">
        <f>COUNTIF(Resp4[4.92],B10)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COUNTIFS(Resp4[Vínculo],"tecnico",Resp4[4.92],B11)</f>
        <v>0</v>
      </c>
      <c r="D11" s="4">
        <f>COUNTIFS(Resp4[Vínculo],"docente",Resp4[4.92],B11)</f>
        <v>0</v>
      </c>
      <c r="E11" s="4">
        <f>COUNTIF(Resp4[4.92],B11)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COUNTIFS(Resp4[Vínculo],"tecnico",Resp4[4.92],B12)</f>
        <v>0</v>
      </c>
      <c r="D12" s="4">
        <f>COUNTIFS(Resp4[Vínculo],"docente",Resp4[4.92],B12)</f>
        <v>0</v>
      </c>
      <c r="E12" s="4">
        <f>COUNTIF(Resp4[4.92],B12)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489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103">
        <f t="shared" ref="F6:F13" si="0">ROUND($E6/E$13*100,2)</f>
        <v>85.71</v>
      </c>
    </row>
    <row r="7" spans="1:7" x14ac:dyDescent="0.25">
      <c r="B7" s="2" t="s">
        <v>497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498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10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0</v>
      </c>
      <c r="E10" s="4">
        <f>COUNTIF(Resp4[4.03],B10)</f>
        <v>0</v>
      </c>
      <c r="F10" s="103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COUNTIFS(Resp4[Vínculo],"tecnico",Resp4[4.03],B11)</f>
        <v>0</v>
      </c>
      <c r="D11" s="4">
        <f>COUNTIFS(Resp4[Vínculo],"docente",Resp4[4.03],B11)</f>
        <v>0</v>
      </c>
      <c r="E11" s="4">
        <f>COUNTIF(Resp4[4.03],B11)</f>
        <v>0</v>
      </c>
      <c r="F11" s="103">
        <f t="shared" si="0"/>
        <v>0</v>
      </c>
      <c r="G11" s="3">
        <f t="shared" si="1"/>
        <v>0</v>
      </c>
    </row>
    <row r="12" spans="1:7" x14ac:dyDescent="0.25">
      <c r="B12" s="7" t="s">
        <v>201</v>
      </c>
      <c r="C12" s="4">
        <f>COUNTIFS(Resp4[Vínculo],"tecnico",Resp4[4.03],B12)</f>
        <v>1</v>
      </c>
      <c r="D12" s="4">
        <f>COUNTIFS(Resp4[Vínculo],"docente",Resp4[4.03],B12)</f>
        <v>0</v>
      </c>
      <c r="E12" s="4">
        <f>COUNTIF(Resp4[4.03],B12)</f>
        <v>1</v>
      </c>
      <c r="F12" s="104">
        <f t="shared" si="0"/>
        <v>14.29</v>
      </c>
      <c r="G12" s="3">
        <f t="shared" si="1"/>
        <v>100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502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489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COUNTIFS(Resp4[Vínculo],"tecnico",Resp4[4.93],B7)</f>
        <v>0</v>
      </c>
      <c r="D7" s="4">
        <f>COUNTIFS(Resp4[Vínculo],"docente",Resp4[4.93],B7)</f>
        <v>0</v>
      </c>
      <c r="E7" s="4">
        <f>COUNTIF(Resp4[4.93],B7)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0</v>
      </c>
      <c r="E10" s="4">
        <f>COUNTIF(Resp4[4.93],B10)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COUNTIFS(Resp4[Vínculo],"tecnico",Resp4[4.93],B11)</f>
        <v>0</v>
      </c>
      <c r="D11" s="4">
        <f>COUNTIFS(Resp4[Vínculo],"docente",Resp4[4.93],B11)</f>
        <v>0</v>
      </c>
      <c r="E11" s="4">
        <f>COUNTIF(Resp4[4.93],B11)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COUNTIFS(Resp4[Vínculo],"tecnico",Resp4[4.93],B12)</f>
        <v>0</v>
      </c>
      <c r="D12" s="4">
        <f>COUNTIFS(Resp4[Vínculo],"docente",Resp4[4.93],B12)</f>
        <v>0</v>
      </c>
      <c r="E12" s="4">
        <f>COUNTIF(Resp4[4.93],B12)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489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COUNTIFS(Resp4[Vínculo],"tecnico",Resp4[4.94],B8)</f>
        <v>0</v>
      </c>
      <c r="D8" s="4">
        <f>COUNTIFS(Resp4[Vínculo],"docente",Resp4[4.94],B8)</f>
        <v>0</v>
      </c>
      <c r="E8" s="4">
        <f>COUNTIF(Resp4[4.94],B8)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COUNTIFS(Resp4[Vínculo],"tecnico",Resp4[4.94],B9)</f>
        <v>0</v>
      </c>
      <c r="D9" s="4">
        <f>COUNTIFS(Resp4[Vínculo],"docente",Resp4[4.94],B9)</f>
        <v>0</v>
      </c>
      <c r="E9" s="4">
        <f>COUNTIF(Resp4[4.94],B9)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COUNTIFS(Resp4[Vínculo],"tecnico",Resp4[4.94],B10)</f>
        <v>0</v>
      </c>
      <c r="D10" s="4">
        <f>COUNTIFS(Resp4[Vínculo],"docente",Resp4[4.94],B10)</f>
        <v>0</v>
      </c>
      <c r="E10" s="4">
        <f>COUNTIF(Resp4[4.94],B10)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COUNTIFS(Resp4[Vínculo],"tecnico",Resp4[4.94],B11)</f>
        <v>0</v>
      </c>
      <c r="D11" s="4">
        <f>COUNTIFS(Resp4[Vínculo],"docente",Resp4[4.94],B11)</f>
        <v>0</v>
      </c>
      <c r="E11" s="4">
        <f>COUNTIF(Resp4[4.94],B11)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489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0</v>
      </c>
      <c r="E10" s="4">
        <f>COUNTIF(Resp4[4.95],B10)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COUNTIFS(Resp4[Vínculo],"tecnico",Resp4[4.95],B11)</f>
        <v>0</v>
      </c>
      <c r="D11" s="4">
        <f>COUNTIFS(Resp4[Vínculo],"docente",Resp4[4.95],B11)</f>
        <v>0</v>
      </c>
      <c r="E11" s="4">
        <f>COUNTIF(Resp4[4.95],B11)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COUNTIFS(Resp4[Vínculo],"tecnico",Resp4[4.95],B12)</f>
        <v>0</v>
      </c>
      <c r="D12" s="4">
        <f>COUNTIFS(Resp4[Vínculo],"docente",Resp4[4.95],B12)</f>
        <v>0</v>
      </c>
      <c r="E12" s="4">
        <f>COUNTIF(Resp4[4.95],B12)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489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0</v>
      </c>
      <c r="E10" s="4">
        <f>COUNTIF(Resp4[4.96],B10)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COUNTIFS(Resp4[Vínculo],"tecnico",Resp4[4.96],B11)</f>
        <v>0</v>
      </c>
      <c r="D11" s="4">
        <f>COUNTIFS(Resp4[Vínculo],"docente",Resp4[4.96],B11)</f>
        <v>0</v>
      </c>
      <c r="E11" s="4">
        <f>COUNTIF(Resp4[4.96],B11)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COUNTIFS(Resp4[Vínculo],"tecnico",Resp4[4.96],B12)</f>
        <v>0</v>
      </c>
      <c r="D12" s="4">
        <f>COUNTIFS(Resp4[Vínculo],"docente",Resp4[4.96],B12)</f>
        <v>0</v>
      </c>
      <c r="E12" s="4">
        <f>COUNTIF(Resp4[4.96],B12)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489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COUNTIFS(Resp4[Vínculo],"tecnico",Resp4[4.97],B11)</f>
        <v>0</v>
      </c>
      <c r="D11" s="4">
        <f>COUNTIFS(Resp4[Vínculo],"docente",Resp4[4.97],B11)</f>
        <v>0</v>
      </c>
      <c r="E11" s="4">
        <f>COUNTIF(Resp4[4.97],B11)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COUNTIFS(Resp4[Vínculo],"tecnico",Resp4[4.97],B12)</f>
        <v>0</v>
      </c>
      <c r="D12" s="4">
        <f>COUNTIFS(Resp4[Vínculo],"docente",Resp4[4.97],B12)</f>
        <v>0</v>
      </c>
      <c r="E12" s="4">
        <f>COUNTIF(Resp4[4.97],B12)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489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COUNTIFS(Resp4[Vínculo],"tecnico",Resp4[4.98],B7)</f>
        <v>0</v>
      </c>
      <c r="D7" s="4">
        <f>COUNTIFS(Resp4[Vínculo],"docente",Resp4[4.98],B7)</f>
        <v>0</v>
      </c>
      <c r="E7" s="4">
        <f>COUNTIF(Resp4[4.98],B7)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COUNTIFS(Resp4[Vínculo],"tecnico",Resp4[4.98],B9)</f>
        <v>0</v>
      </c>
      <c r="D9" s="4">
        <f>COUNTIFS(Resp4[Vínculo],"docente",Resp4[4.98],B9)</f>
        <v>0</v>
      </c>
      <c r="E9" s="4">
        <f>COUNTIF(Resp4[4.98],B9)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0</v>
      </c>
      <c r="E10" s="4">
        <f>COUNTIF(Resp4[4.98],B10)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COUNTIFS(Resp4[Vínculo],"tecnico",Resp4[4.98],B11)</f>
        <v>0</v>
      </c>
      <c r="D11" s="4">
        <f>COUNTIFS(Resp4[Vínculo],"docente",Resp4[4.98],B11)</f>
        <v>0</v>
      </c>
      <c r="E11" s="4">
        <f>COUNTIF(Resp4[4.98],B11)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COUNTIFS(Resp4[Vínculo],"tecnico",Resp4[4.98],B12)</f>
        <v>0</v>
      </c>
      <c r="D12" s="4">
        <f>COUNTIFS(Resp4[Vínculo],"docente",Resp4[4.98],B12)</f>
        <v>0</v>
      </c>
      <c r="E12" s="4">
        <f>COUNTIF(Resp4[4.98],B12)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489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COUNTIFS(Resp4[Vínculo],"tecnico",Resp4[4.99],B11)</f>
        <v>0</v>
      </c>
      <c r="D11" s="4">
        <f>COUNTIFS(Resp4[Vínculo],"docente",Resp4[4.99],B11)</f>
        <v>0</v>
      </c>
      <c r="E11" s="4">
        <f>COUNTIF(Resp4[4.99],B11)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COUNTIFS(Resp4[Vínculo],"tecnico",Resp4[4.99],B12)</f>
        <v>0</v>
      </c>
      <c r="D12" s="4">
        <f>COUNTIFS(Resp4[Vínculo],"docente",Resp4[4.99],B12)</f>
        <v>0</v>
      </c>
      <c r="E12" s="4">
        <f>COUNTIF(Resp4[4.99],B12)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489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COUNTIFS(Resp4[Vínculo],"tecnico",Resp4[4.100],B7)</f>
        <v>0</v>
      </c>
      <c r="D7" s="4">
        <f>COUNTIFS(Resp4[Vínculo],"docente",Resp4[4.100],B7)</f>
        <v>0</v>
      </c>
      <c r="E7" s="4">
        <f>COUNTIF(Resp4[4.100],B7)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0</v>
      </c>
      <c r="E10" s="4">
        <f>COUNTIF(Resp4[4.100],B10)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COUNTIFS(Resp4[Vínculo],"tecnico",Resp4[4.100],B11)</f>
        <v>0</v>
      </c>
      <c r="D11" s="4">
        <f>COUNTIFS(Resp4[Vínculo],"docente",Resp4[4.100],B11)</f>
        <v>0</v>
      </c>
      <c r="E11" s="4">
        <f>COUNTIF(Resp4[4.100],B11)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COUNTIFS(Resp4[Vínculo],"tecnico",Resp4[4.100],B12)</f>
        <v>0</v>
      </c>
      <c r="D12" s="4">
        <f>COUNTIFS(Resp4[Vínculo],"docente",Resp4[4.100],B12)</f>
        <v>0</v>
      </c>
      <c r="E12" s="4">
        <f>COUNTIF(Resp4[4.100],B12)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489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0</v>
      </c>
      <c r="E10" s="4">
        <f>COUNTIF(Resp4[4.101],B10)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COUNTIFS(Resp4[Vínculo],"tecnico",Resp4[4.101],B11)</f>
        <v>0</v>
      </c>
      <c r="D11" s="4">
        <f>COUNTIFS(Resp4[Vínculo],"docente",Resp4[4.101],B11)</f>
        <v>0</v>
      </c>
      <c r="E11" s="4">
        <f>COUNTIF(Resp4[4.101],B11)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COUNTIFS(Resp4[Vínculo],"tecnico",Resp4[4.101],B12)</f>
        <v>0</v>
      </c>
      <c r="D12" s="4">
        <f>COUNTIFS(Resp4[Vínculo],"docente",Resp4[4.101],B12)</f>
        <v>0</v>
      </c>
      <c r="E12" s="4">
        <f>COUNTIF(Resp4[4.101],B12)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489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490</v>
      </c>
      <c r="C5" s="5" t="s">
        <v>491</v>
      </c>
      <c r="D5" s="5" t="s">
        <v>492</v>
      </c>
      <c r="E5" s="5" t="s">
        <v>493</v>
      </c>
      <c r="F5" s="6" t="s">
        <v>494</v>
      </c>
      <c r="G5" s="6" t="s">
        <v>495</v>
      </c>
    </row>
    <row r="6" spans="1:7" x14ac:dyDescent="0.25">
      <c r="B6" s="2" t="s">
        <v>496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100</v>
      </c>
    </row>
    <row r="7" spans="1:7" x14ac:dyDescent="0.25">
      <c r="B7" s="2" t="s">
        <v>497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498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0</v>
      </c>
      <c r="E10" s="4">
        <f>COUNTIF(Resp4[4.102],B10)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197</v>
      </c>
      <c r="C11" s="4">
        <f>COUNTIFS(Resp4[Vínculo],"tecnico",Resp4[4.102],B11)</f>
        <v>0</v>
      </c>
      <c r="D11" s="4">
        <f>COUNTIFS(Resp4[Vínculo],"docente",Resp4[4.102],B11)</f>
        <v>0</v>
      </c>
      <c r="E11" s="4">
        <f>COUNTIF(Resp4[4.102],B11)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201</v>
      </c>
      <c r="C12" s="4">
        <f>COUNTIFS(Resp4[Vínculo],"tecnico",Resp4[4.102],B12)</f>
        <v>0</v>
      </c>
      <c r="D12" s="4">
        <f>COUNTIFS(Resp4[Vínculo],"docente",Resp4[4.102],B12)</f>
        <v>0</v>
      </c>
      <c r="E12" s="4">
        <f>COUNTIF(Resp4[4.102],B12)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499</v>
      </c>
      <c r="C13" s="8">
        <f>SUM(C6:C12)</f>
        <v>7</v>
      </c>
      <c r="D13" s="8">
        <f>SUM(D6:D12)</f>
        <v>0</v>
      </c>
      <c r="E13" s="8">
        <f>SUM(C13:D13)</f>
        <v>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500</v>
      </c>
      <c r="C17" s="21" t="s">
        <v>501</v>
      </c>
      <c r="D17" s="5" t="s">
        <v>491</v>
      </c>
      <c r="E17" s="6" t="s">
        <v>494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497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500</v>
      </c>
      <c r="C24" s="21" t="s">
        <v>501</v>
      </c>
      <c r="D24" s="5" t="s">
        <v>492</v>
      </c>
      <c r="E24" s="6" t="s">
        <v>494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2022-02-04T14:50:19Z</dcterms:modified>
  <cp:category/>
  <cp:contentStatus/>
</cp:coreProperties>
</file>