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6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7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8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9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0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2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3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14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15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16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17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8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19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20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21.xml" ContentType="application/vnd.openxmlformats-officedocument.drawing+xml"/>
  <Override PartName="/xl/charts/chart57.xml" ContentType="application/vnd.openxmlformats-officedocument.drawingml.chart+xml"/>
  <Override PartName="/xl/drawings/drawing22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23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24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25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26.xml" ContentType="application/vnd.openxmlformats-officedocument.drawing+xml"/>
  <Override PartName="/xl/charts/chart70.xml" ContentType="application/vnd.openxmlformats-officedocument.drawingml.chart+xml"/>
  <Override PartName="/xl/drawings/drawing27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28.xml" ContentType="application/vnd.openxmlformats-officedocument.drawing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29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drawings/drawing30.xml" ContentType="application/vnd.openxmlformats-officedocument.drawing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31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32.xml" ContentType="application/vnd.openxmlformats-officedocument.drawing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33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drawings/drawing34.xml" ContentType="application/vnd.openxmlformats-officedocument.drawing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35.xml" ContentType="application/vnd.openxmlformats-officedocument.drawing+xml"/>
  <Override PartName="/xl/charts/chart95.xml" ContentType="application/vnd.openxmlformats-officedocument.drawingml.chart+xml"/>
  <Override PartName="/xl/drawings/drawing36.xml" ContentType="application/vnd.openxmlformats-officedocument.drawing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37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drawings/drawing38.xml" ContentType="application/vnd.openxmlformats-officedocument.drawing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drawings/drawing39.xml" ContentType="application/vnd.openxmlformats-officedocument.drawing+xml"/>
  <Override PartName="/xl/charts/chart105.xml" ContentType="application/vnd.openxmlformats-officedocument.drawingml.chart+xml"/>
  <Override PartName="/xl/drawings/drawing40.xml" ContentType="application/vnd.openxmlformats-officedocument.drawing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41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drawings/drawing42.xml" ContentType="application/vnd.openxmlformats-officedocument.drawing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43.xml" ContentType="application/vnd.openxmlformats-officedocument.drawing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44.xml" ContentType="application/vnd.openxmlformats-officedocument.drawing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45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drawings/drawing46.xml" ContentType="application/vnd.openxmlformats-officedocument.drawing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47.xml" ContentType="application/vnd.openxmlformats-officedocument.drawing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drawings/drawing48.xml" ContentType="application/vnd.openxmlformats-officedocument.drawing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49.xml" ContentType="application/vnd.openxmlformats-officedocument.drawing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drawings/drawing50.xml" ContentType="application/vnd.openxmlformats-officedocument.drawing+xml"/>
  <Override PartName="/xl/charts/chart136.xml" ContentType="application/vnd.openxmlformats-officedocument.drawingml.chart+xml"/>
  <Override PartName="/xl/drawings/drawing51.xml" ContentType="application/vnd.openxmlformats-officedocument.drawing+xml"/>
  <Override PartName="/xl/charts/chart137.xml" ContentType="application/vnd.openxmlformats-officedocument.drawingml.chart+xml"/>
  <Override PartName="/xl/drawings/drawing52.xml" ContentType="application/vnd.openxmlformats-officedocument.drawing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53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drawings/drawing54.xml" ContentType="application/vnd.openxmlformats-officedocument.drawing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drawings/drawing55.xml" ContentType="application/vnd.openxmlformats-officedocument.drawing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drawings/drawing56.xml" ContentType="application/vnd.openxmlformats-officedocument.drawing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drawings/drawing57.xml" ContentType="application/vnd.openxmlformats-officedocument.drawing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drawings/drawing58.xml" ContentType="application/vnd.openxmlformats-officedocument.drawing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drawings/drawing59.xml" ContentType="application/vnd.openxmlformats-officedocument.drawing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drawings/drawing60.xml" ContentType="application/vnd.openxmlformats-officedocument.drawing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drawings/drawing61.xml" ContentType="application/vnd.openxmlformats-officedocument.drawing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drawings/drawing62.xml" ContentType="application/vnd.openxmlformats-officedocument.drawing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drawings/drawing63.xml" ContentType="application/vnd.openxmlformats-officedocument.drawing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drawings/drawing64.xml" ContentType="application/vnd.openxmlformats-officedocument.drawing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drawings/drawing65.xml" ContentType="application/vnd.openxmlformats-officedocument.drawing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drawings/drawing66.xml" ContentType="application/vnd.openxmlformats-officedocument.drawing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drawings/drawing67.xml" ContentType="application/vnd.openxmlformats-officedocument.drawing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drawings/drawing68.xml" ContentType="application/vnd.openxmlformats-officedocument.drawing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drawings/drawing69.xml" ContentType="application/vnd.openxmlformats-officedocument.drawing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drawings/drawing70.xml" ContentType="application/vnd.openxmlformats-officedocument.drawing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drawings/drawing71.xml" ContentType="application/vnd.openxmlformats-officedocument.drawing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drawings/drawing72.xml" ContentType="application/vnd.openxmlformats-officedocument.drawing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drawings/drawing73.xml" ContentType="application/vnd.openxmlformats-officedocument.drawing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drawings/drawing74.xml" ContentType="application/vnd.openxmlformats-officedocument.drawing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drawings/drawing75.xml" ContentType="application/vnd.openxmlformats-officedocument.drawing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drawings/drawing76.xml" ContentType="application/vnd.openxmlformats-officedocument.drawing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drawings/drawing77.xml" ContentType="application/vnd.openxmlformats-officedocument.drawing+xml"/>
  <Override PartName="/xl/charts/chart213.xml" ContentType="application/vnd.openxmlformats-officedocument.drawingml.chart+xml"/>
  <Override PartName="/xl/drawings/drawing78.xml" ContentType="application/vnd.openxmlformats-officedocument.drawing+xml"/>
  <Override PartName="/xl/charts/chart214.xml" ContentType="application/vnd.openxmlformats-officedocument.drawingml.chart+xml"/>
  <Override PartName="/xl/drawings/drawing79.xml" ContentType="application/vnd.openxmlformats-officedocument.drawing+xml"/>
  <Override PartName="/xl/charts/chart215.xml" ContentType="application/vnd.openxmlformats-officedocument.drawingml.chart+xml"/>
  <Override PartName="/xl/drawings/drawing80.xml" ContentType="application/vnd.openxmlformats-officedocument.drawing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drawings/drawing81.xml" ContentType="application/vnd.openxmlformats-officedocument.drawing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drawings/drawing82.xml" ContentType="application/vnd.openxmlformats-officedocument.drawing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drawings/drawing83.xml" ContentType="application/vnd.openxmlformats-officedocument.drawing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drawings/drawing84.xml" ContentType="application/vnd.openxmlformats-officedocument.drawing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drawings/drawing85.xml" ContentType="application/vnd.openxmlformats-officedocument.drawing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drawings/drawing86.xml" ContentType="application/vnd.openxmlformats-officedocument.drawing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drawings/drawing87.xml" ContentType="application/vnd.openxmlformats-officedocument.drawing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drawings/drawing88.xml" ContentType="application/vnd.openxmlformats-officedocument.drawing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drawings/drawing89.xml" ContentType="application/vnd.openxmlformats-officedocument.drawing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drawings/drawing90.xml" ContentType="application/vnd.openxmlformats-officedocument.drawing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drawings/drawing91.xml" ContentType="application/vnd.openxmlformats-officedocument.drawing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drawings/drawing92.xml" ContentType="application/vnd.openxmlformats-officedocument.drawing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drawings/drawing93.xml" ContentType="application/vnd.openxmlformats-officedocument.drawing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drawings/drawing94.xml" ContentType="application/vnd.openxmlformats-officedocument.drawing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drawings/drawing95.xml" ContentType="application/vnd.openxmlformats-officedocument.drawing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drawings/drawing96.xml" ContentType="application/vnd.openxmlformats-officedocument.drawing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drawings/drawing97.xml" ContentType="application/vnd.openxmlformats-officedocument.drawing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drawings/drawing98.xml" ContentType="application/vnd.openxmlformats-officedocument.drawing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drawings/drawing99.xml" ContentType="application/vnd.openxmlformats-officedocument.drawing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drawings/drawing100.xml" ContentType="application/vnd.openxmlformats-officedocument.drawing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drawings/drawing101.xml" ContentType="application/vnd.openxmlformats-officedocument.drawing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drawings/drawing102.xml" ContentType="application/vnd.openxmlformats-officedocument.drawing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drawings/drawing103.xml" ContentType="application/vnd.openxmlformats-officedocument.drawing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drawings/drawing104.xml" ContentType="application/vnd.openxmlformats-officedocument.drawing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drawings/drawing105.xml" ContentType="application/vnd.openxmlformats-officedocument.drawing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drawings/drawing106.xml" ContentType="application/vnd.openxmlformats-officedocument.drawing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drawings/drawing107.xml" ContentType="application/vnd.openxmlformats-officedocument.drawing+xml"/>
  <Override PartName="/xl/charts/chart297.xml" ContentType="application/vnd.openxmlformats-officedocument.drawingml.chart+xml"/>
  <Override PartName="/xl/drawings/drawing108.xml" ContentType="application/vnd.openxmlformats-officedocument.drawing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drawings/drawing109.xml" ContentType="application/vnd.openxmlformats-officedocument.drawing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drawings/drawing110.xml" ContentType="application/vnd.openxmlformats-officedocument.drawing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drawings/drawing111.xml" ContentType="application/vnd.openxmlformats-officedocument.drawing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drawings/drawing112.xml" ContentType="application/vnd.openxmlformats-officedocument.drawing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drawings/drawing113.xml" ContentType="application/vnd.openxmlformats-officedocument.drawing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drawings/drawing114.xml" ContentType="application/vnd.openxmlformats-officedocument.drawing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drawings/drawing115.xml" ContentType="application/vnd.openxmlformats-officedocument.drawing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drawings/drawing116.xml" ContentType="application/vnd.openxmlformats-officedocument.drawing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drawings/drawing117.xml" ContentType="application/vnd.openxmlformats-officedocument.drawing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drawings/drawing118.xml" ContentType="application/vnd.openxmlformats-officedocument.drawing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drawings/drawing119.xml" ContentType="application/vnd.openxmlformats-officedocument.drawing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drawings/drawing120.xml" ContentType="application/vnd.openxmlformats-officedocument.drawing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drawings/drawing121.xml" ContentType="application/vnd.openxmlformats-officedocument.drawing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drawings/drawing122.xml" ContentType="application/vnd.openxmlformats-officedocument.drawing+xml"/>
  <Override PartName="/xl/charts/chart340.xml" ContentType="application/vnd.openxmlformats-officedocument.drawingml.chart+xml"/>
  <Override PartName="/xl/drawings/drawing123.xml" ContentType="application/vnd.openxmlformats-officedocument.drawing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drawings/drawing124.xml" ContentType="application/vnd.openxmlformats-officedocument.drawing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drawings/drawing125.xml" ContentType="application/vnd.openxmlformats-officedocument.drawing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drawings/drawing126.xml" ContentType="application/vnd.openxmlformats-officedocument.drawing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drawings/drawing127.xml" ContentType="application/vnd.openxmlformats-officedocument.drawing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drawings/drawing128.xml" ContentType="application/vnd.openxmlformats-officedocument.drawing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  <Override PartName="/xl/charts/colors3.xml" ContentType="application/vnd.ms-office.chartcolorstyle+xml"/>
  <Override PartName="/xl/charts/style3.xml" ContentType="application/vnd.ms-office.chartstyle+xml"/>
  <Override PartName="/xl/charts/colors4.xml" ContentType="application/vnd.ms-office.chartcolorstyle+xml"/>
  <Override PartName="/xl/charts/style4.xml" ContentType="application/vnd.ms-office.chartstyle+xml"/>
  <Override PartName="/xl/charts/colors5.xml" ContentType="application/vnd.ms-office.chartcolorstyle+xml"/>
  <Override PartName="/xl/charts/style5.xml" ContentType="application/vnd.ms-office.chartstyle+xml"/>
  <Override PartName="/xl/charts/colors6.xml" ContentType="application/vnd.ms-office.chartcolorstyle+xml"/>
  <Override PartName="/xl/charts/style6.xml" ContentType="application/vnd.ms-office.chartstyle+xml"/>
  <Override PartName="/xl/charts/colors7.xml" ContentType="application/vnd.ms-office.chartcolorstyle+xml"/>
  <Override PartName="/xl/charts/style7.xml" ContentType="application/vnd.ms-office.chartstyle+xml"/>
  <Override PartName="/xl/charts/colors8.xml" ContentType="application/vnd.ms-office.chartcolorstyle+xml"/>
  <Override PartName="/xl/charts/style8.xml" ContentType="application/vnd.ms-office.chartstyle+xml"/>
  <Override PartName="/xl/charts/colors9.xml" ContentType="application/vnd.ms-office.chartcolorstyle+xml"/>
  <Override PartName="/xl/charts/style9.xml" ContentType="application/vnd.ms-office.chartstyle+xml"/>
  <Override PartName="/xl/charts/colors10.xml" ContentType="application/vnd.ms-office.chartcolorstyle+xml"/>
  <Override PartName="/xl/charts/style10.xml" ContentType="application/vnd.ms-office.chartstyle+xml"/>
  <Override PartName="/xl/charts/colors11.xml" ContentType="application/vnd.ms-office.chartcolorstyle+xml"/>
  <Override PartName="/xl/charts/style11.xml" ContentType="application/vnd.ms-office.chartstyle+xml"/>
  <Override PartName="/xl/charts/colors12.xml" ContentType="application/vnd.ms-office.chartcolorstyle+xml"/>
  <Override PartName="/xl/charts/style12.xml" ContentType="application/vnd.ms-office.chartstyle+xml"/>
  <Override PartName="/xl/charts/colors13.xml" ContentType="application/vnd.ms-office.chartcolorstyle+xml"/>
  <Override PartName="/xl/charts/style13.xml" ContentType="application/vnd.ms-office.chartstyle+xml"/>
  <Override PartName="/xl/charts/colors14.xml" ContentType="application/vnd.ms-office.chartcolorstyle+xml"/>
  <Override PartName="/xl/charts/style14.xml" ContentType="application/vnd.ms-office.chartstyle+xml"/>
  <Override PartName="/xl/charts/colors15.xml" ContentType="application/vnd.ms-office.chartcolorstyle+xml"/>
  <Override PartName="/xl/charts/style15.xml" ContentType="application/vnd.ms-office.chartstyle+xml"/>
  <Override PartName="/xl/charts/colors16.xml" ContentType="application/vnd.ms-office.chartcolorstyle+xml"/>
  <Override PartName="/xl/charts/style16.xml" ContentType="application/vnd.ms-office.chartstyle+xml"/>
  <Override PartName="/xl/charts/colors17.xml" ContentType="application/vnd.ms-office.chartcolorstyle+xml"/>
  <Override PartName="/xl/charts/style17.xml" ContentType="application/vnd.ms-office.chartstyle+xml"/>
  <Override PartName="/xl/charts/colors18.xml" ContentType="application/vnd.ms-office.chartcolorstyle+xml"/>
  <Override PartName="/xl/charts/style18.xml" ContentType="application/vnd.ms-office.chartstyle+xml"/>
  <Override PartName="/xl/charts/colors19.xml" ContentType="application/vnd.ms-office.chartcolorstyle+xml"/>
  <Override PartName="/xl/charts/style19.xml" ContentType="application/vnd.ms-office.chartstyle+xml"/>
  <Override PartName="/xl/charts/colors20.xml" ContentType="application/vnd.ms-office.chartcolorstyle+xml"/>
  <Override PartName="/xl/charts/style20.xml" ContentType="application/vnd.ms-office.chartstyle+xml"/>
  <Override PartName="/xl/charts/colors21.xml" ContentType="application/vnd.ms-office.chartcolorstyle+xml"/>
  <Override PartName="/xl/charts/style21.xml" ContentType="application/vnd.ms-office.chartstyle+xml"/>
  <Override PartName="/xl/charts/colors22.xml" ContentType="application/vnd.ms-office.chartcolorstyle+xml"/>
  <Override PartName="/xl/charts/style22.xml" ContentType="application/vnd.ms-office.chartstyle+xml"/>
  <Override PartName="/xl/charts/colors23.xml" ContentType="application/vnd.ms-office.chartcolorstyle+xml"/>
  <Override PartName="/xl/charts/style23.xml" ContentType="application/vnd.ms-office.chartstyle+xml"/>
  <Override PartName="/xl/charts/colors24.xml" ContentType="application/vnd.ms-office.chartcolorstyle+xml"/>
  <Override PartName="/xl/charts/style24.xml" ContentType="application/vnd.ms-office.chartstyle+xml"/>
  <Override PartName="/xl/charts/colors25.xml" ContentType="application/vnd.ms-office.chartcolorstyle+xml"/>
  <Override PartName="/xl/charts/style25.xml" ContentType="application/vnd.ms-office.chartstyle+xml"/>
  <Override PartName="/xl/charts/colors26.xml" ContentType="application/vnd.ms-office.chartcolorstyle+xml"/>
  <Override PartName="/xl/charts/style26.xml" ContentType="application/vnd.ms-office.chartstyle+xml"/>
  <Override PartName="/xl/charts/colors27.xml" ContentType="application/vnd.ms-office.chartcolorstyle+xml"/>
  <Override PartName="/xl/charts/style27.xml" ContentType="application/vnd.ms-office.chartstyle+xml"/>
  <Override PartName="/xl/charts/colors28.xml" ContentType="application/vnd.ms-office.chartcolorstyle+xml"/>
  <Override PartName="/xl/charts/style28.xml" ContentType="application/vnd.ms-office.chartstyle+xml"/>
  <Override PartName="/xl/charts/colors29.xml" ContentType="application/vnd.ms-office.chartcolorstyle+xml"/>
  <Override PartName="/xl/charts/style29.xml" ContentType="application/vnd.ms-office.chartstyle+xml"/>
  <Override PartName="/xl/charts/colors30.xml" ContentType="application/vnd.ms-office.chartcolorstyle+xml"/>
  <Override PartName="/xl/charts/style30.xml" ContentType="application/vnd.ms-office.chartstyle+xml"/>
  <Override PartName="/xl/charts/colors31.xml" ContentType="application/vnd.ms-office.chartcolorstyle+xml"/>
  <Override PartName="/xl/charts/style31.xml" ContentType="application/vnd.ms-office.chartstyle+xml"/>
  <Override PartName="/xl/charts/colors32.xml" ContentType="application/vnd.ms-office.chartcolorstyle+xml"/>
  <Override PartName="/xl/charts/style32.xml" ContentType="application/vnd.ms-office.chartstyle+xml"/>
  <Override PartName="/xl/charts/colors33.xml" ContentType="application/vnd.ms-office.chartcolorstyle+xml"/>
  <Override PartName="/xl/charts/style33.xml" ContentType="application/vnd.ms-office.chartstyle+xml"/>
  <Override PartName="/xl/charts/colors34.xml" ContentType="application/vnd.ms-office.chartcolorstyle+xml"/>
  <Override PartName="/xl/charts/style34.xml" ContentType="application/vnd.ms-office.chartstyle+xml"/>
  <Override PartName="/xl/charts/colors35.xml" ContentType="application/vnd.ms-office.chartcolorstyle+xml"/>
  <Override PartName="/xl/charts/style35.xml" ContentType="application/vnd.ms-office.chartstyle+xml"/>
  <Override PartName="/xl/charts/colors36.xml" ContentType="application/vnd.ms-office.chartcolorstyle+xml"/>
  <Override PartName="/xl/charts/style36.xml" ContentType="application/vnd.ms-office.chartstyle+xml"/>
  <Override PartName="/xl/charts/colors37.xml" ContentType="application/vnd.ms-office.chartcolorstyle+xml"/>
  <Override PartName="/xl/charts/style37.xml" ContentType="application/vnd.ms-office.chartstyle+xml"/>
  <Override PartName="/xl/charts/colors38.xml" ContentType="application/vnd.ms-office.chartcolorstyle+xml"/>
  <Override PartName="/xl/charts/style38.xml" ContentType="application/vnd.ms-office.chartstyle+xml"/>
  <Override PartName="/xl/charts/colors39.xml" ContentType="application/vnd.ms-office.chartcolorstyle+xml"/>
  <Override PartName="/xl/charts/style39.xml" ContentType="application/vnd.ms-office.chartstyle+xml"/>
  <Override PartName="/xl/charts/colors40.xml" ContentType="application/vnd.ms-office.chartcolorstyle+xml"/>
  <Override PartName="/xl/charts/style40.xml" ContentType="application/vnd.ms-office.chartstyle+xml"/>
  <Override PartName="/xl/charts/colors41.xml" ContentType="application/vnd.ms-office.chartcolorstyle+xml"/>
  <Override PartName="/xl/charts/style41.xml" ContentType="application/vnd.ms-office.chartstyle+xml"/>
  <Override PartName="/xl/charts/colors42.xml" ContentType="application/vnd.ms-office.chartcolorstyle+xml"/>
  <Override PartName="/xl/charts/style42.xml" ContentType="application/vnd.ms-office.chartstyle+xml"/>
  <Override PartName="/xl/charts/colors43.xml" ContentType="application/vnd.ms-office.chartcolorstyle+xml"/>
  <Override PartName="/xl/charts/style43.xml" ContentType="application/vnd.ms-office.chartstyle+xml"/>
  <Override PartName="/xl/charts/colors44.xml" ContentType="application/vnd.ms-office.chartcolorstyle+xml"/>
  <Override PartName="/xl/charts/style44.xml" ContentType="application/vnd.ms-office.chartstyle+xml"/>
  <Override PartName="/xl/charts/colors45.xml" ContentType="application/vnd.ms-office.chartcolorstyle+xml"/>
  <Override PartName="/xl/charts/style45.xml" ContentType="application/vnd.ms-office.chartstyle+xml"/>
  <Override PartName="/xl/charts/colors46.xml" ContentType="application/vnd.ms-office.chartcolorstyle+xml"/>
  <Override PartName="/xl/charts/style46.xml" ContentType="application/vnd.ms-office.chartstyle+xml"/>
  <Override PartName="/xl/charts/colors47.xml" ContentType="application/vnd.ms-office.chartcolorstyle+xml"/>
  <Override PartName="/xl/charts/style47.xml" ContentType="application/vnd.ms-office.chartstyle+xml"/>
  <Override PartName="/xl/charts/colors48.xml" ContentType="application/vnd.ms-office.chartcolorstyle+xml"/>
  <Override PartName="/xl/charts/style48.xml" ContentType="application/vnd.ms-office.chartstyle+xml"/>
  <Override PartName="/xl/charts/colors49.xml" ContentType="application/vnd.ms-office.chartcolorstyle+xml"/>
  <Override PartName="/xl/charts/style49.xml" ContentType="application/vnd.ms-office.chartstyle+xml"/>
  <Override PartName="/xl/charts/colors50.xml" ContentType="application/vnd.ms-office.chartcolorstyle+xml"/>
  <Override PartName="/xl/charts/style50.xml" ContentType="application/vnd.ms-office.chartstyle+xml"/>
  <Override PartName="/xl/charts/colors51.xml" ContentType="application/vnd.ms-office.chartcolorstyle+xml"/>
  <Override PartName="/xl/charts/style51.xml" ContentType="application/vnd.ms-office.chartstyle+xml"/>
  <Override PartName="/xl/charts/colors52.xml" ContentType="application/vnd.ms-office.chartcolorstyle+xml"/>
  <Override PartName="/xl/charts/style52.xml" ContentType="application/vnd.ms-office.chartstyle+xml"/>
  <Override PartName="/xl/charts/colors53.xml" ContentType="application/vnd.ms-office.chartcolorstyle+xml"/>
  <Override PartName="/xl/charts/style53.xml" ContentType="application/vnd.ms-office.chartstyle+xml"/>
  <Override PartName="/xl/charts/colors54.xml" ContentType="application/vnd.ms-office.chartcolorstyle+xml"/>
  <Override PartName="/xl/charts/style54.xml" ContentType="application/vnd.ms-office.chartstyle+xml"/>
  <Override PartName="/xl/charts/colors55.xml" ContentType="application/vnd.ms-office.chartcolorstyle+xml"/>
  <Override PartName="/xl/charts/style55.xml" ContentType="application/vnd.ms-office.chartstyle+xml"/>
  <Override PartName="/xl/charts/colors56.xml" ContentType="application/vnd.ms-office.chartcolorstyle+xml"/>
  <Override PartName="/xl/charts/style56.xml" ContentType="application/vnd.ms-office.chartstyle+xml"/>
  <Override PartName="/xl/charts/colors57.xml" ContentType="application/vnd.ms-office.chartcolorstyle+xml"/>
  <Override PartName="/xl/charts/style57.xml" ContentType="application/vnd.ms-office.chartstyle+xml"/>
  <Override PartName="/xl/charts/colors58.xml" ContentType="application/vnd.ms-office.chartcolorstyle+xml"/>
  <Override PartName="/xl/charts/style58.xml" ContentType="application/vnd.ms-office.chartstyle+xml"/>
  <Override PartName="/xl/charts/colors59.xml" ContentType="application/vnd.ms-office.chartcolorstyle+xml"/>
  <Override PartName="/xl/charts/style59.xml" ContentType="application/vnd.ms-office.chartstyle+xml"/>
  <Override PartName="/xl/charts/colors60.xml" ContentType="application/vnd.ms-office.chartcolorstyle+xml"/>
  <Override PartName="/xl/charts/style60.xml" ContentType="application/vnd.ms-office.chartstyle+xml"/>
  <Override PartName="/xl/charts/colors61.xml" ContentType="application/vnd.ms-office.chartcolorstyle+xml"/>
  <Override PartName="/xl/charts/style61.xml" ContentType="application/vnd.ms-office.chartstyle+xml"/>
  <Override PartName="/xl/charts/colors62.xml" ContentType="application/vnd.ms-office.chartcolorstyle+xml"/>
  <Override PartName="/xl/charts/style62.xml" ContentType="application/vnd.ms-office.chartstyle+xml"/>
  <Override PartName="/xl/charts/colors63.xml" ContentType="application/vnd.ms-office.chartcolorstyle+xml"/>
  <Override PartName="/xl/charts/style63.xml" ContentType="application/vnd.ms-office.chartstyle+xml"/>
  <Override PartName="/xl/charts/colors64.xml" ContentType="application/vnd.ms-office.chartcolorstyle+xml"/>
  <Override PartName="/xl/charts/style64.xml" ContentType="application/vnd.ms-office.chartstyle+xml"/>
  <Override PartName="/xl/charts/colors65.xml" ContentType="application/vnd.ms-office.chartcolorstyle+xml"/>
  <Override PartName="/xl/charts/style65.xml" ContentType="application/vnd.ms-office.chartstyle+xml"/>
  <Override PartName="/xl/charts/colors66.xml" ContentType="application/vnd.ms-office.chartcolorstyle+xml"/>
  <Override PartName="/xl/charts/style66.xml" ContentType="application/vnd.ms-office.chartstyle+xml"/>
  <Override PartName="/xl/charts/colors67.xml" ContentType="application/vnd.ms-office.chartcolorstyle+xml"/>
  <Override PartName="/xl/charts/style67.xml" ContentType="application/vnd.ms-office.chartstyle+xml"/>
  <Override PartName="/xl/charts/colors68.xml" ContentType="application/vnd.ms-office.chartcolorstyle+xml"/>
  <Override PartName="/xl/charts/style68.xml" ContentType="application/vnd.ms-office.chartstyle+xml"/>
  <Override PartName="/xl/charts/colors69.xml" ContentType="application/vnd.ms-office.chartcolorstyle+xml"/>
  <Override PartName="/xl/charts/style69.xml" ContentType="application/vnd.ms-office.chartstyle+xml"/>
  <Override PartName="/xl/charts/colors70.xml" ContentType="application/vnd.ms-office.chartcolorstyle+xml"/>
  <Override PartName="/xl/charts/style70.xml" ContentType="application/vnd.ms-office.chartstyle+xml"/>
  <Override PartName="/xl/charts/colors71.xml" ContentType="application/vnd.ms-office.chartcolorstyle+xml"/>
  <Override PartName="/xl/charts/style71.xml" ContentType="application/vnd.ms-office.chartstyle+xml"/>
  <Override PartName="/xl/charts/colors72.xml" ContentType="application/vnd.ms-office.chartcolorstyle+xml"/>
  <Override PartName="/xl/charts/style72.xml" ContentType="application/vnd.ms-office.chartstyle+xml"/>
  <Override PartName="/xl/charts/colors73.xml" ContentType="application/vnd.ms-office.chartcolorstyle+xml"/>
  <Override PartName="/xl/charts/style73.xml" ContentType="application/vnd.ms-office.chartstyle+xml"/>
  <Override PartName="/xl/charts/colors74.xml" ContentType="application/vnd.ms-office.chartcolorstyle+xml"/>
  <Override PartName="/xl/charts/style74.xml" ContentType="application/vnd.ms-office.chartstyle+xml"/>
  <Override PartName="/xl/charts/colors75.xml" ContentType="application/vnd.ms-office.chartcolorstyle+xml"/>
  <Override PartName="/xl/charts/style75.xml" ContentType="application/vnd.ms-office.chartstyle+xml"/>
  <Override PartName="/xl/charts/colors76.xml" ContentType="application/vnd.ms-office.chartcolorstyle+xml"/>
  <Override PartName="/xl/charts/style76.xml" ContentType="application/vnd.ms-office.chartstyle+xml"/>
  <Override PartName="/xl/charts/colors77.xml" ContentType="application/vnd.ms-office.chartcolorstyle+xml"/>
  <Override PartName="/xl/charts/style77.xml" ContentType="application/vnd.ms-office.chartstyle+xml"/>
  <Override PartName="/xl/charts/colors78.xml" ContentType="application/vnd.ms-office.chartcolorstyle+xml"/>
  <Override PartName="/xl/charts/style78.xml" ContentType="application/vnd.ms-office.chartstyle+xml"/>
  <Override PartName="/xl/charts/colors79.xml" ContentType="application/vnd.ms-office.chartcolorstyle+xml"/>
  <Override PartName="/xl/charts/style79.xml" ContentType="application/vnd.ms-office.chartstyle+xml"/>
  <Override PartName="/xl/charts/colors80.xml" ContentType="application/vnd.ms-office.chartcolorstyle+xml"/>
  <Override PartName="/xl/charts/style80.xml" ContentType="application/vnd.ms-office.chartstyle+xml"/>
  <Override PartName="/xl/charts/colors81.xml" ContentType="application/vnd.ms-office.chartcolorstyle+xml"/>
  <Override PartName="/xl/charts/style81.xml" ContentType="application/vnd.ms-office.chartstyle+xml"/>
  <Override PartName="/xl/charts/colors82.xml" ContentType="application/vnd.ms-office.chartcolorstyle+xml"/>
  <Override PartName="/xl/charts/style82.xml" ContentType="application/vnd.ms-office.chartstyle+xml"/>
  <Override PartName="/xl/charts/colors83.xml" ContentType="application/vnd.ms-office.chartcolorstyle+xml"/>
  <Override PartName="/xl/charts/style83.xml" ContentType="application/vnd.ms-office.chartstyle+xml"/>
  <Override PartName="/xl/charts/colors84.xml" ContentType="application/vnd.ms-office.chartcolorstyle+xml"/>
  <Override PartName="/xl/charts/style84.xml" ContentType="application/vnd.ms-office.chartstyle+xml"/>
  <Override PartName="/xl/charts/colors85.xml" ContentType="application/vnd.ms-office.chartcolorstyle+xml"/>
  <Override PartName="/xl/charts/style85.xml" ContentType="application/vnd.ms-office.chartstyle+xml"/>
  <Override PartName="/xl/charts/colors86.xml" ContentType="application/vnd.ms-office.chartcolorstyle+xml"/>
  <Override PartName="/xl/charts/style86.xml" ContentType="application/vnd.ms-office.chartstyle+xml"/>
  <Override PartName="/xl/charts/colors87.xml" ContentType="application/vnd.ms-office.chartcolorstyle+xml"/>
  <Override PartName="/xl/charts/style87.xml" ContentType="application/vnd.ms-office.chartstyle+xml"/>
  <Override PartName="/xl/charts/colors88.xml" ContentType="application/vnd.ms-office.chartcolorstyle+xml"/>
  <Override PartName="/xl/charts/style88.xml" ContentType="application/vnd.ms-office.chartstyle+xml"/>
  <Override PartName="/xl/charts/colors89.xml" ContentType="application/vnd.ms-office.chartcolorstyle+xml"/>
  <Override PartName="/xl/charts/style89.xml" ContentType="application/vnd.ms-office.chartstyle+xml"/>
  <Override PartName="/xl/charts/colors90.xml" ContentType="application/vnd.ms-office.chartcolorstyle+xml"/>
  <Override PartName="/xl/charts/style90.xml" ContentType="application/vnd.ms-office.chartstyle+xml"/>
  <Override PartName="/xl/charts/colors91.xml" ContentType="application/vnd.ms-office.chartcolorstyle+xml"/>
  <Override PartName="/xl/charts/style91.xml" ContentType="application/vnd.ms-office.chartstyle+xml"/>
  <Override PartName="/xl/charts/colors92.xml" ContentType="application/vnd.ms-office.chartcolorstyle+xml"/>
  <Override PartName="/xl/charts/style92.xml" ContentType="application/vnd.ms-office.chartstyle+xml"/>
  <Override PartName="/xl/charts/colors93.xml" ContentType="application/vnd.ms-office.chartcolorstyle+xml"/>
  <Override PartName="/xl/charts/style93.xml" ContentType="application/vnd.ms-office.chartstyle+xml"/>
  <Override PartName="/xl/charts/colors94.xml" ContentType="application/vnd.ms-office.chartcolorstyle+xml"/>
  <Override PartName="/xl/charts/style94.xml" ContentType="application/vnd.ms-office.chartstyle+xml"/>
  <Override PartName="/xl/charts/colors95.xml" ContentType="application/vnd.ms-office.chartcolorstyle+xml"/>
  <Override PartName="/xl/charts/style95.xml" ContentType="application/vnd.ms-office.chartstyle+xml"/>
  <Override PartName="/xl/charts/colors96.xml" ContentType="application/vnd.ms-office.chartcolorstyle+xml"/>
  <Override PartName="/xl/charts/style96.xml" ContentType="application/vnd.ms-office.chartstyle+xml"/>
  <Override PartName="/xl/charts/colors97.xml" ContentType="application/vnd.ms-office.chartcolorstyle+xml"/>
  <Override PartName="/xl/charts/style97.xml" ContentType="application/vnd.ms-office.chartstyle+xml"/>
  <Override PartName="/xl/charts/colors98.xml" ContentType="application/vnd.ms-office.chartcolorstyle+xml"/>
  <Override PartName="/xl/charts/style98.xml" ContentType="application/vnd.ms-office.chartstyle+xml"/>
  <Override PartName="/xl/charts/colors99.xml" ContentType="application/vnd.ms-office.chartcolorstyle+xml"/>
  <Override PartName="/xl/charts/style99.xml" ContentType="application/vnd.ms-office.chartstyle+xml"/>
  <Override PartName="/xl/charts/colors100.xml" ContentType="application/vnd.ms-office.chartcolorstyle+xml"/>
  <Override PartName="/xl/charts/style100.xml" ContentType="application/vnd.ms-office.chartstyle+xml"/>
  <Override PartName="/xl/charts/colors101.xml" ContentType="application/vnd.ms-office.chartcolorstyle+xml"/>
  <Override PartName="/xl/charts/style101.xml" ContentType="application/vnd.ms-office.chartstyle+xml"/>
  <Override PartName="/xl/charts/colors102.xml" ContentType="application/vnd.ms-office.chartcolorstyle+xml"/>
  <Override PartName="/xl/charts/style102.xml" ContentType="application/vnd.ms-office.chartstyle+xml"/>
  <Override PartName="/xl/charts/colors103.xml" ContentType="application/vnd.ms-office.chartcolorstyle+xml"/>
  <Override PartName="/xl/charts/style103.xml" ContentType="application/vnd.ms-office.chartstyle+xml"/>
  <Override PartName="/xl/charts/colors104.xml" ContentType="application/vnd.ms-office.chartcolorstyle+xml"/>
  <Override PartName="/xl/charts/style104.xml" ContentType="application/vnd.ms-office.chartstyle+xml"/>
  <Override PartName="/xl/charts/colors105.xml" ContentType="application/vnd.ms-office.chartcolorstyle+xml"/>
  <Override PartName="/xl/charts/style105.xml" ContentType="application/vnd.ms-office.chartstyle+xml"/>
  <Override PartName="/xl/charts/colors106.xml" ContentType="application/vnd.ms-office.chartcolorstyle+xml"/>
  <Override PartName="/xl/charts/style106.xml" ContentType="application/vnd.ms-office.chartstyle+xml"/>
  <Override PartName="/xl/charts/colors107.xml" ContentType="application/vnd.ms-office.chartcolorstyle+xml"/>
  <Override PartName="/xl/charts/style107.xml" ContentType="application/vnd.ms-office.chartstyle+xml"/>
  <Override PartName="/xl/charts/colors108.xml" ContentType="application/vnd.ms-office.chartcolorstyle+xml"/>
  <Override PartName="/xl/charts/style108.xml" ContentType="application/vnd.ms-office.chartstyle+xml"/>
  <Override PartName="/xl/charts/colors109.xml" ContentType="application/vnd.ms-office.chartcolorstyle+xml"/>
  <Override PartName="/xl/charts/style109.xml" ContentType="application/vnd.ms-office.chartstyle+xml"/>
  <Override PartName="/xl/charts/colors110.xml" ContentType="application/vnd.ms-office.chartcolorstyle+xml"/>
  <Override PartName="/xl/charts/style110.xml" ContentType="application/vnd.ms-office.chartstyle+xml"/>
  <Override PartName="/xl/charts/colors111.xml" ContentType="application/vnd.ms-office.chartcolorstyle+xml"/>
  <Override PartName="/xl/charts/style111.xml" ContentType="application/vnd.ms-office.chartstyle+xml"/>
  <Override PartName="/xl/charts/colors112.xml" ContentType="application/vnd.ms-office.chartcolorstyle+xml"/>
  <Override PartName="/xl/charts/style112.xml" ContentType="application/vnd.ms-office.chartstyle+xml"/>
  <Override PartName="/xl/charts/colors113.xml" ContentType="application/vnd.ms-office.chartcolorstyle+xml"/>
  <Override PartName="/xl/charts/style113.xml" ContentType="application/vnd.ms-office.chartstyle+xml"/>
  <Override PartName="/xl/charts/colors114.xml" ContentType="application/vnd.ms-office.chartcolorstyle+xml"/>
  <Override PartName="/xl/charts/style114.xml" ContentType="application/vnd.ms-office.chartstyle+xml"/>
  <Override PartName="/xl/charts/colors115.xml" ContentType="application/vnd.ms-office.chartcolorstyle+xml"/>
  <Override PartName="/xl/charts/style115.xml" ContentType="application/vnd.ms-office.chartstyle+xml"/>
  <Override PartName="/xl/charts/colors116.xml" ContentType="application/vnd.ms-office.chartcolorstyle+xml"/>
  <Override PartName="/xl/charts/style116.xml" ContentType="application/vnd.ms-office.chartstyle+xml"/>
  <Override PartName="/xl/charts/colors117.xml" ContentType="application/vnd.ms-office.chartcolorstyle+xml"/>
  <Override PartName="/xl/charts/style117.xml" ContentType="application/vnd.ms-office.chartstyle+xml"/>
  <Override PartName="/xl/charts/colors118.xml" ContentType="application/vnd.ms-office.chartcolorstyle+xml"/>
  <Override PartName="/xl/charts/style118.xml" ContentType="application/vnd.ms-office.chartstyle+xml"/>
  <Override PartName="/xl/charts/colors119.xml" ContentType="application/vnd.ms-office.chartcolorstyle+xml"/>
  <Override PartName="/xl/charts/style119.xml" ContentType="application/vnd.ms-office.chartstyle+xml"/>
  <Override PartName="/xl/charts/colors120.xml" ContentType="application/vnd.ms-office.chartcolorstyle+xml"/>
  <Override PartName="/xl/charts/style120.xml" ContentType="application/vnd.ms-office.chartstyle+xml"/>
  <Override PartName="/xl/charts/colors121.xml" ContentType="application/vnd.ms-office.chartcolorstyle+xml"/>
  <Override PartName="/xl/charts/style121.xml" ContentType="application/vnd.ms-office.chartstyle+xml"/>
  <Override PartName="/xl/charts/colors122.xml" ContentType="application/vnd.ms-office.chartcolorstyle+xml"/>
  <Override PartName="/xl/charts/style122.xml" ContentType="application/vnd.ms-office.chartstyle+xml"/>
  <Override PartName="/xl/charts/colors123.xml" ContentType="application/vnd.ms-office.chartcolorstyle+xml"/>
  <Override PartName="/xl/charts/style123.xml" ContentType="application/vnd.ms-office.chartstyle+xml"/>
  <Override PartName="/xl/charts/colors124.xml" ContentType="application/vnd.ms-office.chartcolorstyle+xml"/>
  <Override PartName="/xl/charts/style124.xml" ContentType="application/vnd.ms-office.chartstyle+xml"/>
  <Override PartName="/xl/charts/colors125.xml" ContentType="application/vnd.ms-office.chartcolorstyle+xml"/>
  <Override PartName="/xl/charts/style125.xml" ContentType="application/vnd.ms-office.chartstyle+xml"/>
  <Override PartName="/xl/charts/colors126.xml" ContentType="application/vnd.ms-office.chartcolorstyle+xml"/>
  <Override PartName="/xl/charts/style126.xml" ContentType="application/vnd.ms-office.chartstyle+xml"/>
  <Override PartName="/xl/charts/colors127.xml" ContentType="application/vnd.ms-office.chartcolorstyle+xml"/>
  <Override PartName="/xl/charts/style127.xml" ContentType="application/vnd.ms-office.chartstyle+xml"/>
  <Override PartName="/xl/charts/colors128.xml" ContentType="application/vnd.ms-office.chartcolorstyle+xml"/>
  <Override PartName="/xl/charts/style128.xml" ContentType="application/vnd.ms-office.chartstyle+xml"/>
  <Override PartName="/xl/charts/colors129.xml" ContentType="application/vnd.ms-office.chartcolorstyle+xml"/>
  <Override PartName="/xl/charts/style129.xml" ContentType="application/vnd.ms-office.chartstyle+xml"/>
  <Override PartName="/xl/charts/colors130.xml" ContentType="application/vnd.ms-office.chartcolorstyle+xml"/>
  <Override PartName="/xl/charts/style130.xml" ContentType="application/vnd.ms-office.chartstyle+xml"/>
  <Override PartName="/xl/charts/colors131.xml" ContentType="application/vnd.ms-office.chartcolorstyle+xml"/>
  <Override PartName="/xl/charts/style131.xml" ContentType="application/vnd.ms-office.chartstyle+xml"/>
  <Override PartName="/xl/charts/colors132.xml" ContentType="application/vnd.ms-office.chartcolorstyle+xml"/>
  <Override PartName="/xl/charts/style132.xml" ContentType="application/vnd.ms-office.chartstyle+xml"/>
  <Override PartName="/xl/charts/colors133.xml" ContentType="application/vnd.ms-office.chartcolorstyle+xml"/>
  <Override PartName="/xl/charts/style133.xml" ContentType="application/vnd.ms-office.chartstyle+xml"/>
  <Override PartName="/xl/charts/colors134.xml" ContentType="application/vnd.ms-office.chartcolorstyle+xml"/>
  <Override PartName="/xl/charts/style134.xml" ContentType="application/vnd.ms-office.chartstyle+xml"/>
  <Override PartName="/xl/charts/colors135.xml" ContentType="application/vnd.ms-office.chartcolorstyle+xml"/>
  <Override PartName="/xl/charts/style135.xml" ContentType="application/vnd.ms-office.chartstyle+xml"/>
  <Override PartName="/xl/charts/colors136.xml" ContentType="application/vnd.ms-office.chartcolorstyle+xml"/>
  <Override PartName="/xl/charts/style136.xml" ContentType="application/vnd.ms-office.chartstyle+xml"/>
  <Override PartName="/xl/charts/colors137.xml" ContentType="application/vnd.ms-office.chartcolorstyle+xml"/>
  <Override PartName="/xl/charts/style137.xml" ContentType="application/vnd.ms-office.chartstyle+xml"/>
  <Override PartName="/xl/charts/colors138.xml" ContentType="application/vnd.ms-office.chartcolorstyle+xml"/>
  <Override PartName="/xl/charts/style138.xml" ContentType="application/vnd.ms-office.chartstyle+xml"/>
  <Override PartName="/xl/charts/colors139.xml" ContentType="application/vnd.ms-office.chartcolorstyle+xml"/>
  <Override PartName="/xl/charts/style139.xml" ContentType="application/vnd.ms-office.chartstyle+xml"/>
  <Override PartName="/xl/charts/colors140.xml" ContentType="application/vnd.ms-office.chartcolorstyle+xml"/>
  <Override PartName="/xl/charts/style140.xml" ContentType="application/vnd.ms-office.chartstyle+xml"/>
  <Override PartName="/xl/charts/colors141.xml" ContentType="application/vnd.ms-office.chartcolorstyle+xml"/>
  <Override PartName="/xl/charts/style141.xml" ContentType="application/vnd.ms-office.chartstyle+xml"/>
  <Override PartName="/xl/charts/colors142.xml" ContentType="application/vnd.ms-office.chartcolorstyle+xml"/>
  <Override PartName="/xl/charts/style142.xml" ContentType="application/vnd.ms-office.chartstyle+xml"/>
  <Override PartName="/xl/charts/colors143.xml" ContentType="application/vnd.ms-office.chartcolorstyle+xml"/>
  <Override PartName="/xl/charts/style143.xml" ContentType="application/vnd.ms-office.chartstyle+xml"/>
  <Override PartName="/xl/charts/colors144.xml" ContentType="application/vnd.ms-office.chartcolorstyle+xml"/>
  <Override PartName="/xl/charts/style144.xml" ContentType="application/vnd.ms-office.chartstyle+xml"/>
  <Override PartName="/xl/charts/colors145.xml" ContentType="application/vnd.ms-office.chartcolorstyle+xml"/>
  <Override PartName="/xl/charts/style145.xml" ContentType="application/vnd.ms-office.chartstyle+xml"/>
  <Override PartName="/xl/charts/colors146.xml" ContentType="application/vnd.ms-office.chartcolorstyle+xml"/>
  <Override PartName="/xl/charts/style146.xml" ContentType="application/vnd.ms-office.chartstyle+xml"/>
  <Override PartName="/xl/charts/colors147.xml" ContentType="application/vnd.ms-office.chartcolorstyle+xml"/>
  <Override PartName="/xl/charts/style147.xml" ContentType="application/vnd.ms-office.chartstyle+xml"/>
  <Override PartName="/xl/charts/colors148.xml" ContentType="application/vnd.ms-office.chartcolorstyle+xml"/>
  <Override PartName="/xl/charts/style148.xml" ContentType="application/vnd.ms-office.chartstyle+xml"/>
  <Override PartName="/xl/charts/colors149.xml" ContentType="application/vnd.ms-office.chartcolorstyle+xml"/>
  <Override PartName="/xl/charts/style149.xml" ContentType="application/vnd.ms-office.chartstyle+xml"/>
  <Override PartName="/xl/charts/colors150.xml" ContentType="application/vnd.ms-office.chartcolorstyle+xml"/>
  <Override PartName="/xl/charts/style150.xml" ContentType="application/vnd.ms-office.chartstyle+xml"/>
  <Override PartName="/xl/charts/colors151.xml" ContentType="application/vnd.ms-office.chartcolorstyle+xml"/>
  <Override PartName="/xl/charts/style151.xml" ContentType="application/vnd.ms-office.chartstyle+xml"/>
  <Override PartName="/xl/charts/colors152.xml" ContentType="application/vnd.ms-office.chartcolorstyle+xml"/>
  <Override PartName="/xl/charts/style152.xml" ContentType="application/vnd.ms-office.chartstyle+xml"/>
  <Override PartName="/xl/charts/colors153.xml" ContentType="application/vnd.ms-office.chartcolorstyle+xml"/>
  <Override PartName="/xl/charts/style153.xml" ContentType="application/vnd.ms-office.chartstyle+xml"/>
  <Override PartName="/xl/charts/colors154.xml" ContentType="application/vnd.ms-office.chartcolorstyle+xml"/>
  <Override PartName="/xl/charts/style154.xml" ContentType="application/vnd.ms-office.chartstyle+xml"/>
  <Override PartName="/xl/charts/colors155.xml" ContentType="application/vnd.ms-office.chartcolorstyle+xml"/>
  <Override PartName="/xl/charts/style155.xml" ContentType="application/vnd.ms-office.chartstyle+xml"/>
  <Override PartName="/xl/charts/colors156.xml" ContentType="application/vnd.ms-office.chartcolorstyle+xml"/>
  <Override PartName="/xl/charts/style156.xml" ContentType="application/vnd.ms-office.chartstyle+xml"/>
  <Override PartName="/xl/charts/colors157.xml" ContentType="application/vnd.ms-office.chartcolorstyle+xml"/>
  <Override PartName="/xl/charts/style157.xml" ContentType="application/vnd.ms-office.chartstyle+xml"/>
  <Override PartName="/xl/charts/colors158.xml" ContentType="application/vnd.ms-office.chartcolorstyle+xml"/>
  <Override PartName="/xl/charts/style158.xml" ContentType="application/vnd.ms-office.chartstyle+xml"/>
  <Override PartName="/xl/charts/colors159.xml" ContentType="application/vnd.ms-office.chartcolorstyle+xml"/>
  <Override PartName="/xl/charts/style159.xml" ContentType="application/vnd.ms-office.chartstyle+xml"/>
  <Override PartName="/xl/charts/colors160.xml" ContentType="application/vnd.ms-office.chartcolorstyle+xml"/>
  <Override PartName="/xl/charts/style160.xml" ContentType="application/vnd.ms-office.chartstyle+xml"/>
  <Override PartName="/xl/charts/colors161.xml" ContentType="application/vnd.ms-office.chartcolorstyle+xml"/>
  <Override PartName="/xl/charts/style161.xml" ContentType="application/vnd.ms-office.chartstyle+xml"/>
  <Override PartName="/xl/charts/colors162.xml" ContentType="application/vnd.ms-office.chartcolorstyle+xml"/>
  <Override PartName="/xl/charts/style162.xml" ContentType="application/vnd.ms-office.chartstyle+xml"/>
  <Override PartName="/xl/charts/colors163.xml" ContentType="application/vnd.ms-office.chartcolorstyle+xml"/>
  <Override PartName="/xl/charts/style163.xml" ContentType="application/vnd.ms-office.chartstyle+xml"/>
  <Override PartName="/xl/charts/colors164.xml" ContentType="application/vnd.ms-office.chartcolorstyle+xml"/>
  <Override PartName="/xl/charts/style164.xml" ContentType="application/vnd.ms-office.chartstyle+xml"/>
  <Override PartName="/xl/charts/colors165.xml" ContentType="application/vnd.ms-office.chartcolorstyle+xml"/>
  <Override PartName="/xl/charts/style165.xml" ContentType="application/vnd.ms-office.chartstyle+xml"/>
  <Override PartName="/xl/charts/colors166.xml" ContentType="application/vnd.ms-office.chartcolorstyle+xml"/>
  <Override PartName="/xl/charts/style166.xml" ContentType="application/vnd.ms-office.chartstyle+xml"/>
  <Override PartName="/xl/charts/colors167.xml" ContentType="application/vnd.ms-office.chartcolorstyle+xml"/>
  <Override PartName="/xl/charts/style167.xml" ContentType="application/vnd.ms-office.chartstyle+xml"/>
  <Override PartName="/xl/charts/colors168.xml" ContentType="application/vnd.ms-office.chartcolorstyle+xml"/>
  <Override PartName="/xl/charts/style168.xml" ContentType="application/vnd.ms-office.chartstyle+xml"/>
  <Override PartName="/xl/charts/colors169.xml" ContentType="application/vnd.ms-office.chartcolorstyle+xml"/>
  <Override PartName="/xl/charts/style169.xml" ContentType="application/vnd.ms-office.chartstyle+xml"/>
  <Override PartName="/xl/charts/colors170.xml" ContentType="application/vnd.ms-office.chartcolorstyle+xml"/>
  <Override PartName="/xl/charts/style170.xml" ContentType="application/vnd.ms-office.chartstyle+xml"/>
  <Override PartName="/xl/charts/colors171.xml" ContentType="application/vnd.ms-office.chartcolorstyle+xml"/>
  <Override PartName="/xl/charts/style171.xml" ContentType="application/vnd.ms-office.chartstyle+xml"/>
  <Override PartName="/xl/charts/colors172.xml" ContentType="application/vnd.ms-office.chartcolorstyle+xml"/>
  <Override PartName="/xl/charts/style172.xml" ContentType="application/vnd.ms-office.chartstyle+xml"/>
  <Override PartName="/xl/charts/colors173.xml" ContentType="application/vnd.ms-office.chartcolorstyle+xml"/>
  <Override PartName="/xl/charts/style173.xml" ContentType="application/vnd.ms-office.chartstyle+xml"/>
  <Override PartName="/xl/charts/colors174.xml" ContentType="application/vnd.ms-office.chartcolorstyle+xml"/>
  <Override PartName="/xl/charts/style174.xml" ContentType="application/vnd.ms-office.chartstyle+xml"/>
  <Override PartName="/xl/charts/colors175.xml" ContentType="application/vnd.ms-office.chartcolorstyle+xml"/>
  <Override PartName="/xl/charts/style175.xml" ContentType="application/vnd.ms-office.chartstyle+xml"/>
  <Override PartName="/xl/charts/colors176.xml" ContentType="application/vnd.ms-office.chartcolorstyle+xml"/>
  <Override PartName="/xl/charts/style176.xml" ContentType="application/vnd.ms-office.chartstyle+xml"/>
  <Override PartName="/xl/charts/colors177.xml" ContentType="application/vnd.ms-office.chartcolorstyle+xml"/>
  <Override PartName="/xl/charts/style177.xml" ContentType="application/vnd.ms-office.chartstyle+xml"/>
  <Override PartName="/xl/charts/colors178.xml" ContentType="application/vnd.ms-office.chartcolorstyle+xml"/>
  <Override PartName="/xl/charts/style178.xml" ContentType="application/vnd.ms-office.chartstyle+xml"/>
  <Override PartName="/xl/charts/colors179.xml" ContentType="application/vnd.ms-office.chartcolorstyle+xml"/>
  <Override PartName="/xl/charts/style179.xml" ContentType="application/vnd.ms-office.chartstyle+xml"/>
  <Override PartName="/xl/charts/colors180.xml" ContentType="application/vnd.ms-office.chartcolorstyle+xml"/>
  <Override PartName="/xl/charts/style180.xml" ContentType="application/vnd.ms-office.chartstyle+xml"/>
  <Override PartName="/xl/charts/colors181.xml" ContentType="application/vnd.ms-office.chartcolorstyle+xml"/>
  <Override PartName="/xl/charts/style181.xml" ContentType="application/vnd.ms-office.chartstyle+xml"/>
  <Override PartName="/xl/charts/colors182.xml" ContentType="application/vnd.ms-office.chartcolorstyle+xml"/>
  <Override PartName="/xl/charts/style182.xml" ContentType="application/vnd.ms-office.chartstyle+xml"/>
  <Override PartName="/xl/charts/colors183.xml" ContentType="application/vnd.ms-office.chartcolorstyle+xml"/>
  <Override PartName="/xl/charts/style183.xml" ContentType="application/vnd.ms-office.chartstyle+xml"/>
  <Override PartName="/xl/charts/colors184.xml" ContentType="application/vnd.ms-office.chartcolorstyle+xml"/>
  <Override PartName="/xl/charts/style184.xml" ContentType="application/vnd.ms-office.chartstyle+xml"/>
  <Override PartName="/xl/charts/colors185.xml" ContentType="application/vnd.ms-office.chartcolorstyle+xml"/>
  <Override PartName="/xl/charts/style185.xml" ContentType="application/vnd.ms-office.chartstyle+xml"/>
  <Override PartName="/xl/charts/colors186.xml" ContentType="application/vnd.ms-office.chartcolorstyle+xml"/>
  <Override PartName="/xl/charts/style186.xml" ContentType="application/vnd.ms-office.chartstyle+xml"/>
  <Override PartName="/xl/charts/colors187.xml" ContentType="application/vnd.ms-office.chartcolorstyle+xml"/>
  <Override PartName="/xl/charts/style187.xml" ContentType="application/vnd.ms-office.chartstyle+xml"/>
  <Override PartName="/xl/charts/colors188.xml" ContentType="application/vnd.ms-office.chartcolorstyle+xml"/>
  <Override PartName="/xl/charts/style188.xml" ContentType="application/vnd.ms-office.chartstyle+xml"/>
  <Override PartName="/xl/charts/colors189.xml" ContentType="application/vnd.ms-office.chartcolorstyle+xml"/>
  <Override PartName="/xl/charts/style189.xml" ContentType="application/vnd.ms-office.chartstyle+xml"/>
  <Override PartName="/xl/charts/colors190.xml" ContentType="application/vnd.ms-office.chartcolorstyle+xml"/>
  <Override PartName="/xl/charts/style190.xml" ContentType="application/vnd.ms-office.chartstyle+xml"/>
  <Override PartName="/xl/charts/colors191.xml" ContentType="application/vnd.ms-office.chartcolorstyle+xml"/>
  <Override PartName="/xl/charts/style191.xml" ContentType="application/vnd.ms-office.chartstyle+xml"/>
  <Override PartName="/xl/charts/colors192.xml" ContentType="application/vnd.ms-office.chartcolorstyle+xml"/>
  <Override PartName="/xl/charts/style192.xml" ContentType="application/vnd.ms-office.chartstyle+xml"/>
  <Override PartName="/xl/charts/colors193.xml" ContentType="application/vnd.ms-office.chartcolorstyle+xml"/>
  <Override PartName="/xl/charts/style193.xml" ContentType="application/vnd.ms-office.chartstyle+xml"/>
  <Override PartName="/xl/charts/colors194.xml" ContentType="application/vnd.ms-office.chartcolorstyle+xml"/>
  <Override PartName="/xl/charts/style194.xml" ContentType="application/vnd.ms-office.chartstyle+xml"/>
  <Override PartName="/xl/charts/colors195.xml" ContentType="application/vnd.ms-office.chartcolorstyle+xml"/>
  <Override PartName="/xl/charts/style195.xml" ContentType="application/vnd.ms-office.chartstyle+xml"/>
  <Override PartName="/xl/charts/colors196.xml" ContentType="application/vnd.ms-office.chartcolorstyle+xml"/>
  <Override PartName="/xl/charts/style196.xml" ContentType="application/vnd.ms-office.chartstyle+xml"/>
  <Override PartName="/xl/charts/colors197.xml" ContentType="application/vnd.ms-office.chartcolorstyle+xml"/>
  <Override PartName="/xl/charts/style197.xml" ContentType="application/vnd.ms-office.chartstyle+xml"/>
  <Override PartName="/xl/charts/colors198.xml" ContentType="application/vnd.ms-office.chartcolorstyle+xml"/>
  <Override PartName="/xl/charts/style198.xml" ContentType="application/vnd.ms-office.chartstyle+xml"/>
  <Override PartName="/xl/charts/colors199.xml" ContentType="application/vnd.ms-office.chartcolorstyle+xml"/>
  <Override PartName="/xl/charts/style199.xml" ContentType="application/vnd.ms-office.chartstyle+xml"/>
  <Override PartName="/xl/charts/colors200.xml" ContentType="application/vnd.ms-office.chartcolorstyle+xml"/>
  <Override PartName="/xl/charts/style200.xml" ContentType="application/vnd.ms-office.chartstyle+xml"/>
  <Override PartName="/xl/charts/colors201.xml" ContentType="application/vnd.ms-office.chartcolorstyle+xml"/>
  <Override PartName="/xl/charts/style201.xml" ContentType="application/vnd.ms-office.chartstyle+xml"/>
  <Override PartName="/xl/charts/colors202.xml" ContentType="application/vnd.ms-office.chartcolorstyle+xml"/>
  <Override PartName="/xl/charts/style202.xml" ContentType="application/vnd.ms-office.chartstyle+xml"/>
  <Override PartName="/xl/charts/colors203.xml" ContentType="application/vnd.ms-office.chartcolorstyle+xml"/>
  <Override PartName="/xl/charts/style203.xml" ContentType="application/vnd.ms-office.chartstyle+xml"/>
  <Override PartName="/xl/charts/colors204.xml" ContentType="application/vnd.ms-office.chartcolorstyle+xml"/>
  <Override PartName="/xl/charts/style204.xml" ContentType="application/vnd.ms-office.chartstyle+xml"/>
  <Override PartName="/xl/charts/colors205.xml" ContentType="application/vnd.ms-office.chartcolorstyle+xml"/>
  <Override PartName="/xl/charts/style205.xml" ContentType="application/vnd.ms-office.chartstyle+xml"/>
  <Override PartName="/xl/charts/colors206.xml" ContentType="application/vnd.ms-office.chartcolorstyle+xml"/>
  <Override PartName="/xl/charts/style206.xml" ContentType="application/vnd.ms-office.chartstyle+xml"/>
  <Override PartName="/xl/charts/colors207.xml" ContentType="application/vnd.ms-office.chartcolorstyle+xml"/>
  <Override PartName="/xl/charts/style207.xml" ContentType="application/vnd.ms-office.chartstyle+xml"/>
  <Override PartName="/xl/charts/colors208.xml" ContentType="application/vnd.ms-office.chartcolorstyle+xml"/>
  <Override PartName="/xl/charts/style208.xml" ContentType="application/vnd.ms-office.chartstyle+xml"/>
  <Override PartName="/xl/charts/colors209.xml" ContentType="application/vnd.ms-office.chartcolorstyle+xml"/>
  <Override PartName="/xl/charts/style209.xml" ContentType="application/vnd.ms-office.chartstyle+xml"/>
  <Override PartName="/xl/charts/colors210.xml" ContentType="application/vnd.ms-office.chartcolorstyle+xml"/>
  <Override PartName="/xl/charts/style210.xml" ContentType="application/vnd.ms-office.chartstyle+xml"/>
  <Override PartName="/xl/charts/colors211.xml" ContentType="application/vnd.ms-office.chartcolorstyle+xml"/>
  <Override PartName="/xl/charts/style211.xml" ContentType="application/vnd.ms-office.chartstyle+xml"/>
  <Override PartName="/xl/charts/colors212.xml" ContentType="application/vnd.ms-office.chartcolorstyle+xml"/>
  <Override PartName="/xl/charts/style212.xml" ContentType="application/vnd.ms-office.chartstyle+xml"/>
  <Override PartName="/xl/charts/colors213.xml" ContentType="application/vnd.ms-office.chartcolorstyle+xml"/>
  <Override PartName="/xl/charts/style213.xml" ContentType="application/vnd.ms-office.chartstyle+xml"/>
  <Override PartName="/xl/charts/colors214.xml" ContentType="application/vnd.ms-office.chartcolorstyle+xml"/>
  <Override PartName="/xl/charts/style214.xml" ContentType="application/vnd.ms-office.chartstyle+xml"/>
  <Override PartName="/xl/charts/colors215.xml" ContentType="application/vnd.ms-office.chartcolorstyle+xml"/>
  <Override PartName="/xl/charts/style215.xml" ContentType="application/vnd.ms-office.chartstyle+xml"/>
  <Override PartName="/xl/charts/colors216.xml" ContentType="application/vnd.ms-office.chartcolorstyle+xml"/>
  <Override PartName="/xl/charts/style216.xml" ContentType="application/vnd.ms-office.chartstyle+xml"/>
  <Override PartName="/xl/charts/colors217.xml" ContentType="application/vnd.ms-office.chartcolorstyle+xml"/>
  <Override PartName="/xl/charts/style217.xml" ContentType="application/vnd.ms-office.chartstyle+xml"/>
  <Override PartName="/xl/charts/colors218.xml" ContentType="application/vnd.ms-office.chartcolorstyle+xml"/>
  <Override PartName="/xl/charts/style218.xml" ContentType="application/vnd.ms-office.chartstyle+xml"/>
  <Override PartName="/xl/charts/colors219.xml" ContentType="application/vnd.ms-office.chartcolorstyle+xml"/>
  <Override PartName="/xl/charts/style219.xml" ContentType="application/vnd.ms-office.chartstyle+xml"/>
  <Override PartName="/xl/charts/colors220.xml" ContentType="application/vnd.ms-office.chartcolorstyle+xml"/>
  <Override PartName="/xl/charts/style220.xml" ContentType="application/vnd.ms-office.chartstyle+xml"/>
  <Override PartName="/xl/charts/colors221.xml" ContentType="application/vnd.ms-office.chartcolorstyle+xml"/>
  <Override PartName="/xl/charts/style221.xml" ContentType="application/vnd.ms-office.chartstyle+xml"/>
  <Override PartName="/xl/charts/colors222.xml" ContentType="application/vnd.ms-office.chartcolorstyle+xml"/>
  <Override PartName="/xl/charts/style222.xml" ContentType="application/vnd.ms-office.chartstyle+xml"/>
  <Override PartName="/xl/charts/colors223.xml" ContentType="application/vnd.ms-office.chartcolorstyle+xml"/>
  <Override PartName="/xl/charts/style223.xml" ContentType="application/vnd.ms-office.chartstyle+xml"/>
  <Override PartName="/xl/charts/colors224.xml" ContentType="application/vnd.ms-office.chartcolorstyle+xml"/>
  <Override PartName="/xl/charts/style224.xml" ContentType="application/vnd.ms-office.chartstyle+xml"/>
  <Override PartName="/xl/charts/colors225.xml" ContentType="application/vnd.ms-office.chartcolorstyle+xml"/>
  <Override PartName="/xl/charts/style225.xml" ContentType="application/vnd.ms-office.chartstyle+xml"/>
  <Override PartName="/xl/charts/colors226.xml" ContentType="application/vnd.ms-office.chartcolorstyle+xml"/>
  <Override PartName="/xl/charts/style226.xml" ContentType="application/vnd.ms-office.chartstyle+xml"/>
  <Override PartName="/xl/charts/colors227.xml" ContentType="application/vnd.ms-office.chartcolorstyle+xml"/>
  <Override PartName="/xl/charts/style227.xml" ContentType="application/vnd.ms-office.chartstyle+xml"/>
  <Override PartName="/xl/charts/colors228.xml" ContentType="application/vnd.ms-office.chartcolorstyle+xml"/>
  <Override PartName="/xl/charts/style228.xml" ContentType="application/vnd.ms-office.chartstyle+xml"/>
  <Override PartName="/xl/charts/colors229.xml" ContentType="application/vnd.ms-office.chartcolorstyle+xml"/>
  <Override PartName="/xl/charts/style229.xml" ContentType="application/vnd.ms-office.chartstyle+xml"/>
  <Override PartName="/xl/charts/colors230.xml" ContentType="application/vnd.ms-office.chartcolorstyle+xml"/>
  <Override PartName="/xl/charts/style230.xml" ContentType="application/vnd.ms-office.chartstyle+xml"/>
  <Override PartName="/xl/charts/colors231.xml" ContentType="application/vnd.ms-office.chartcolorstyle+xml"/>
  <Override PartName="/xl/charts/style231.xml" ContentType="application/vnd.ms-office.chartstyle+xml"/>
  <Override PartName="/xl/charts/colors232.xml" ContentType="application/vnd.ms-office.chartcolorstyle+xml"/>
  <Override PartName="/xl/charts/style232.xml" ContentType="application/vnd.ms-office.chartstyle+xml"/>
  <Override PartName="/xl/charts/colors233.xml" ContentType="application/vnd.ms-office.chartcolorstyle+xml"/>
  <Override PartName="/xl/charts/style233.xml" ContentType="application/vnd.ms-office.chartstyle+xml"/>
  <Override PartName="/xl/charts/colors234.xml" ContentType="application/vnd.ms-office.chartcolorstyle+xml"/>
  <Override PartName="/xl/charts/style234.xml" ContentType="application/vnd.ms-office.chartstyle+xml"/>
  <Override PartName="/xl/charts/colors235.xml" ContentType="application/vnd.ms-office.chartcolorstyle+xml"/>
  <Override PartName="/xl/charts/style235.xml" ContentType="application/vnd.ms-office.chartstyle+xml"/>
  <Override PartName="/xl/charts/colors236.xml" ContentType="application/vnd.ms-office.chartcolorstyle+xml"/>
  <Override PartName="/xl/charts/style236.xml" ContentType="application/vnd.ms-office.chartstyle+xml"/>
  <Override PartName="/xl/charts/colors237.xml" ContentType="application/vnd.ms-office.chartcolorstyle+xml"/>
  <Override PartName="/xl/charts/style237.xml" ContentType="application/vnd.ms-office.chartstyle+xml"/>
  <Override PartName="/xl/charts/colors238.xml" ContentType="application/vnd.ms-office.chartcolorstyle+xml"/>
  <Override PartName="/xl/charts/style238.xml" ContentType="application/vnd.ms-office.chartstyle+xml"/>
  <Override PartName="/xl/charts/colors239.xml" ContentType="application/vnd.ms-office.chartcolorstyle+xml"/>
  <Override PartName="/xl/charts/style239.xml" ContentType="application/vnd.ms-office.chartstyle+xml"/>
  <Override PartName="/xl/charts/colors240.xml" ContentType="application/vnd.ms-office.chartcolorstyle+xml"/>
  <Override PartName="/xl/charts/style240.xml" ContentType="application/vnd.ms-office.chartstyle+xml"/>
  <Override PartName="/xl/charts/colors241.xml" ContentType="application/vnd.ms-office.chartcolorstyle+xml"/>
  <Override PartName="/xl/charts/style241.xml" ContentType="application/vnd.ms-office.chartstyle+xml"/>
  <Override PartName="/xl/charts/colors242.xml" ContentType="application/vnd.ms-office.chartcolorstyle+xml"/>
  <Override PartName="/xl/charts/style242.xml" ContentType="application/vnd.ms-office.chartstyle+xml"/>
  <Override PartName="/xl/charts/colors243.xml" ContentType="application/vnd.ms-office.chartcolorstyle+xml"/>
  <Override PartName="/xl/charts/style243.xml" ContentType="application/vnd.ms-office.chartstyle+xml"/>
  <Override PartName="/xl/charts/colors244.xml" ContentType="application/vnd.ms-office.chartcolorstyle+xml"/>
  <Override PartName="/xl/charts/style244.xml" ContentType="application/vnd.ms-office.chartstyle+xml"/>
  <Override PartName="/xl/charts/colors245.xml" ContentType="application/vnd.ms-office.chartcolorstyle+xml"/>
  <Override PartName="/xl/charts/style245.xml" ContentType="application/vnd.ms-office.chartstyle+xml"/>
  <Override PartName="/xl/charts/colors246.xml" ContentType="application/vnd.ms-office.chartcolorstyle+xml"/>
  <Override PartName="/xl/charts/style246.xml" ContentType="application/vnd.ms-office.chartstyle+xml"/>
  <Override PartName="/xl/charts/colors247.xml" ContentType="application/vnd.ms-office.chartcolorstyle+xml"/>
  <Override PartName="/xl/charts/style247.xml" ContentType="application/vnd.ms-office.chartstyle+xml"/>
  <Override PartName="/xl/charts/colors248.xml" ContentType="application/vnd.ms-office.chartcolorstyle+xml"/>
  <Override PartName="/xl/charts/style248.xml" ContentType="application/vnd.ms-office.chartstyle+xml"/>
  <Override PartName="/xl/charts/colors249.xml" ContentType="application/vnd.ms-office.chartcolorstyle+xml"/>
  <Override PartName="/xl/charts/style249.xml" ContentType="application/vnd.ms-office.chartstyle+xml"/>
  <Override PartName="/xl/charts/colors250.xml" ContentType="application/vnd.ms-office.chartcolorstyle+xml"/>
  <Override PartName="/xl/charts/style250.xml" ContentType="application/vnd.ms-office.chartstyle+xml"/>
  <Override PartName="/xl/charts/colors251.xml" ContentType="application/vnd.ms-office.chartcolorstyle+xml"/>
  <Override PartName="/xl/charts/style251.xml" ContentType="application/vnd.ms-office.chartstyle+xml"/>
  <Override PartName="/xl/charts/colors252.xml" ContentType="application/vnd.ms-office.chartcolorstyle+xml"/>
  <Override PartName="/xl/charts/style252.xml" ContentType="application/vnd.ms-office.chartstyle+xml"/>
  <Override PartName="/xl/charts/colors253.xml" ContentType="application/vnd.ms-office.chartcolorstyle+xml"/>
  <Override PartName="/xl/charts/style253.xml" ContentType="application/vnd.ms-office.chartstyle+xml"/>
  <Override PartName="/xl/charts/colors254.xml" ContentType="application/vnd.ms-office.chartcolorstyle+xml"/>
  <Override PartName="/xl/charts/style254.xml" ContentType="application/vnd.ms-office.chartstyle+xml"/>
  <Override PartName="/xl/charts/colors255.xml" ContentType="application/vnd.ms-office.chartcolorstyle+xml"/>
  <Override PartName="/xl/charts/style255.xml" ContentType="application/vnd.ms-office.chartstyle+xml"/>
  <Override PartName="/xl/charts/colors256.xml" ContentType="application/vnd.ms-office.chartcolorstyle+xml"/>
  <Override PartName="/xl/charts/style256.xml" ContentType="application/vnd.ms-office.chartstyle+xml"/>
  <Override PartName="/xl/charts/colors257.xml" ContentType="application/vnd.ms-office.chartcolorstyle+xml"/>
  <Override PartName="/xl/charts/style257.xml" ContentType="application/vnd.ms-office.chartstyle+xml"/>
  <Override PartName="/xl/charts/colors258.xml" ContentType="application/vnd.ms-office.chartcolorstyle+xml"/>
  <Override PartName="/xl/charts/style258.xml" ContentType="application/vnd.ms-office.chartstyle+xml"/>
  <Override PartName="/xl/charts/colors259.xml" ContentType="application/vnd.ms-office.chartcolorstyle+xml"/>
  <Override PartName="/xl/charts/style259.xml" ContentType="application/vnd.ms-office.chartstyle+xml"/>
  <Override PartName="/xl/charts/colors260.xml" ContentType="application/vnd.ms-office.chartcolorstyle+xml"/>
  <Override PartName="/xl/charts/style260.xml" ContentType="application/vnd.ms-office.chartstyle+xml"/>
  <Override PartName="/xl/charts/colors261.xml" ContentType="application/vnd.ms-office.chartcolorstyle+xml"/>
  <Override PartName="/xl/charts/style261.xml" ContentType="application/vnd.ms-office.chartstyle+xml"/>
  <Override PartName="/xl/charts/colors262.xml" ContentType="application/vnd.ms-office.chartcolorstyle+xml"/>
  <Override PartName="/xl/charts/style262.xml" ContentType="application/vnd.ms-office.chartstyle+xml"/>
  <Override PartName="/xl/charts/colors263.xml" ContentType="application/vnd.ms-office.chartcolorstyle+xml"/>
  <Override PartName="/xl/charts/style263.xml" ContentType="application/vnd.ms-office.chartstyle+xml"/>
  <Override PartName="/xl/charts/colors264.xml" ContentType="application/vnd.ms-office.chartcolorstyle+xml"/>
  <Override PartName="/xl/charts/style264.xml" ContentType="application/vnd.ms-office.chartstyle+xml"/>
  <Override PartName="/xl/charts/colors265.xml" ContentType="application/vnd.ms-office.chartcolorstyle+xml"/>
  <Override PartName="/xl/charts/style265.xml" ContentType="application/vnd.ms-office.chartstyle+xml"/>
  <Override PartName="/xl/charts/colors266.xml" ContentType="application/vnd.ms-office.chartcolorstyle+xml"/>
  <Override PartName="/xl/charts/style266.xml" ContentType="application/vnd.ms-office.chartstyle+xml"/>
  <Override PartName="/xl/charts/colors267.xml" ContentType="application/vnd.ms-office.chartcolorstyle+xml"/>
  <Override PartName="/xl/charts/style267.xml" ContentType="application/vnd.ms-office.chartstyle+xml"/>
  <Override PartName="/xl/charts/colors268.xml" ContentType="application/vnd.ms-office.chartcolorstyle+xml"/>
  <Override PartName="/xl/charts/style268.xml" ContentType="application/vnd.ms-office.chartstyle+xml"/>
  <Override PartName="/xl/charts/colors269.xml" ContentType="application/vnd.ms-office.chartcolorstyle+xml"/>
  <Override PartName="/xl/charts/style269.xml" ContentType="application/vnd.ms-office.chartstyle+xml"/>
  <Override PartName="/xl/charts/colors270.xml" ContentType="application/vnd.ms-office.chartcolorstyle+xml"/>
  <Override PartName="/xl/charts/style270.xml" ContentType="application/vnd.ms-office.chartstyle+xml"/>
  <Override PartName="/xl/charts/colors271.xml" ContentType="application/vnd.ms-office.chartcolorstyle+xml"/>
  <Override PartName="/xl/charts/style271.xml" ContentType="application/vnd.ms-office.chartstyle+xml"/>
  <Override PartName="/xl/charts/colors272.xml" ContentType="application/vnd.ms-office.chartcolorstyle+xml"/>
  <Override PartName="/xl/charts/style272.xml" ContentType="application/vnd.ms-office.chartstyle+xml"/>
  <Override PartName="/xl/charts/colors273.xml" ContentType="application/vnd.ms-office.chartcolorstyle+xml"/>
  <Override PartName="/xl/charts/style273.xml" ContentType="application/vnd.ms-office.chartstyle+xml"/>
  <Override PartName="/xl/charts/colors274.xml" ContentType="application/vnd.ms-office.chartcolorstyle+xml"/>
  <Override PartName="/xl/charts/style274.xml" ContentType="application/vnd.ms-office.chartstyle+xml"/>
  <Override PartName="/xl/charts/colors275.xml" ContentType="application/vnd.ms-office.chartcolorstyle+xml"/>
  <Override PartName="/xl/charts/style275.xml" ContentType="application/vnd.ms-office.chartstyle+xml"/>
  <Override PartName="/xl/charts/colors276.xml" ContentType="application/vnd.ms-office.chartcolorstyle+xml"/>
  <Override PartName="/xl/charts/style276.xml" ContentType="application/vnd.ms-office.chartstyle+xml"/>
  <Override PartName="/xl/charts/colors277.xml" ContentType="application/vnd.ms-office.chartcolorstyle+xml"/>
  <Override PartName="/xl/charts/style277.xml" ContentType="application/vnd.ms-office.chartstyle+xml"/>
  <Override PartName="/xl/charts/colors278.xml" ContentType="application/vnd.ms-office.chartcolorstyle+xml"/>
  <Override PartName="/xl/charts/style278.xml" ContentType="application/vnd.ms-office.chartstyle+xml"/>
  <Override PartName="/xl/charts/colors279.xml" ContentType="application/vnd.ms-office.chartcolorstyle+xml"/>
  <Override PartName="/xl/charts/style279.xml" ContentType="application/vnd.ms-office.chartstyle+xml"/>
  <Override PartName="/xl/charts/colors280.xml" ContentType="application/vnd.ms-office.chartcolorstyle+xml"/>
  <Override PartName="/xl/charts/style280.xml" ContentType="application/vnd.ms-office.chartstyle+xml"/>
  <Override PartName="/xl/charts/colors281.xml" ContentType="application/vnd.ms-office.chartcolorstyle+xml"/>
  <Override PartName="/xl/charts/style281.xml" ContentType="application/vnd.ms-office.chartstyle+xml"/>
  <Override PartName="/xl/charts/colors282.xml" ContentType="application/vnd.ms-office.chartcolorstyle+xml"/>
  <Override PartName="/xl/charts/style282.xml" ContentType="application/vnd.ms-office.chartstyle+xml"/>
  <Override PartName="/xl/charts/colors283.xml" ContentType="application/vnd.ms-office.chartcolorstyle+xml"/>
  <Override PartName="/xl/charts/style283.xml" ContentType="application/vnd.ms-office.chartstyle+xml"/>
  <Override PartName="/xl/charts/colors284.xml" ContentType="application/vnd.ms-office.chartcolorstyle+xml"/>
  <Override PartName="/xl/charts/style284.xml" ContentType="application/vnd.ms-office.chartstyle+xml"/>
  <Override PartName="/xl/charts/colors285.xml" ContentType="application/vnd.ms-office.chartcolorstyle+xml"/>
  <Override PartName="/xl/charts/style285.xml" ContentType="application/vnd.ms-office.chartstyle+xml"/>
  <Override PartName="/xl/charts/colors286.xml" ContentType="application/vnd.ms-office.chartcolorstyle+xml"/>
  <Override PartName="/xl/charts/style286.xml" ContentType="application/vnd.ms-office.chartstyle+xml"/>
  <Override PartName="/xl/charts/colors287.xml" ContentType="application/vnd.ms-office.chartcolorstyle+xml"/>
  <Override PartName="/xl/charts/style287.xml" ContentType="application/vnd.ms-office.chartstyle+xml"/>
  <Override PartName="/xl/charts/colors288.xml" ContentType="application/vnd.ms-office.chartcolorstyle+xml"/>
  <Override PartName="/xl/charts/style288.xml" ContentType="application/vnd.ms-office.chartstyle+xml"/>
  <Override PartName="/xl/charts/colors289.xml" ContentType="application/vnd.ms-office.chartcolorstyle+xml"/>
  <Override PartName="/xl/charts/style289.xml" ContentType="application/vnd.ms-office.chartstyle+xml"/>
  <Override PartName="/xl/charts/colors290.xml" ContentType="application/vnd.ms-office.chartcolorstyle+xml"/>
  <Override PartName="/xl/charts/style290.xml" ContentType="application/vnd.ms-office.chartstyle+xml"/>
  <Override PartName="/xl/charts/colors291.xml" ContentType="application/vnd.ms-office.chartcolorstyle+xml"/>
  <Override PartName="/xl/charts/style291.xml" ContentType="application/vnd.ms-office.chartstyle+xml"/>
  <Override PartName="/xl/charts/colors292.xml" ContentType="application/vnd.ms-office.chartcolorstyle+xml"/>
  <Override PartName="/xl/charts/style292.xml" ContentType="application/vnd.ms-office.chartstyle+xml"/>
  <Override PartName="/xl/charts/colors293.xml" ContentType="application/vnd.ms-office.chartcolorstyle+xml"/>
  <Override PartName="/xl/charts/style293.xml" ContentType="application/vnd.ms-office.chartstyle+xml"/>
  <Override PartName="/xl/charts/colors294.xml" ContentType="application/vnd.ms-office.chartcolorstyle+xml"/>
  <Override PartName="/xl/charts/style294.xml" ContentType="application/vnd.ms-office.chartstyle+xml"/>
  <Override PartName="/xl/charts/colors295.xml" ContentType="application/vnd.ms-office.chartcolorstyle+xml"/>
  <Override PartName="/xl/charts/style295.xml" ContentType="application/vnd.ms-office.chartstyle+xml"/>
  <Override PartName="/xl/charts/colors296.xml" ContentType="application/vnd.ms-office.chartcolorstyle+xml"/>
  <Override PartName="/xl/charts/style296.xml" ContentType="application/vnd.ms-office.chartstyle+xml"/>
  <Override PartName="/xl/charts/colors297.xml" ContentType="application/vnd.ms-office.chartcolorstyle+xml"/>
  <Override PartName="/xl/charts/style297.xml" ContentType="application/vnd.ms-office.chartstyle+xml"/>
  <Override PartName="/xl/charts/colors298.xml" ContentType="application/vnd.ms-office.chartcolorstyle+xml"/>
  <Override PartName="/xl/charts/style298.xml" ContentType="application/vnd.ms-office.chartstyle+xml"/>
  <Override PartName="/xl/charts/colors299.xml" ContentType="application/vnd.ms-office.chartcolorstyle+xml"/>
  <Override PartName="/xl/charts/style299.xml" ContentType="application/vnd.ms-office.chartstyle+xml"/>
  <Override PartName="/xl/charts/colors300.xml" ContentType="application/vnd.ms-office.chartcolorstyle+xml"/>
  <Override PartName="/xl/charts/style300.xml" ContentType="application/vnd.ms-office.chartstyle+xml"/>
  <Override PartName="/xl/charts/colors301.xml" ContentType="application/vnd.ms-office.chartcolorstyle+xml"/>
  <Override PartName="/xl/charts/style301.xml" ContentType="application/vnd.ms-office.chartstyle+xml"/>
  <Override PartName="/xl/charts/colors302.xml" ContentType="application/vnd.ms-office.chartcolorstyle+xml"/>
  <Override PartName="/xl/charts/style302.xml" ContentType="application/vnd.ms-office.chartstyle+xml"/>
  <Override PartName="/xl/charts/colors303.xml" ContentType="application/vnd.ms-office.chartcolorstyle+xml"/>
  <Override PartName="/xl/charts/style303.xml" ContentType="application/vnd.ms-office.chartstyle+xml"/>
  <Override PartName="/xl/charts/colors304.xml" ContentType="application/vnd.ms-office.chartcolorstyle+xml"/>
  <Override PartName="/xl/charts/style304.xml" ContentType="application/vnd.ms-office.chartstyle+xml"/>
  <Override PartName="/xl/charts/colors305.xml" ContentType="application/vnd.ms-office.chartcolorstyle+xml"/>
  <Override PartName="/xl/charts/style305.xml" ContentType="application/vnd.ms-office.chartstyle+xml"/>
  <Override PartName="/xl/charts/colors306.xml" ContentType="application/vnd.ms-office.chartcolorstyle+xml"/>
  <Override PartName="/xl/charts/style306.xml" ContentType="application/vnd.ms-office.chartstyle+xml"/>
  <Override PartName="/xl/charts/colors307.xml" ContentType="application/vnd.ms-office.chartcolorstyle+xml"/>
  <Override PartName="/xl/charts/style307.xml" ContentType="application/vnd.ms-office.chartstyle+xml"/>
  <Override PartName="/xl/charts/colors308.xml" ContentType="application/vnd.ms-office.chartcolorstyle+xml"/>
  <Override PartName="/xl/charts/style308.xml" ContentType="application/vnd.ms-office.chartstyle+xml"/>
  <Override PartName="/xl/charts/colors309.xml" ContentType="application/vnd.ms-office.chartcolorstyle+xml"/>
  <Override PartName="/xl/charts/style309.xml" ContentType="application/vnd.ms-office.chartstyle+xml"/>
  <Override PartName="/xl/charts/colors310.xml" ContentType="application/vnd.ms-office.chartcolorstyle+xml"/>
  <Override PartName="/xl/charts/style310.xml" ContentType="application/vnd.ms-office.chartstyle+xml"/>
  <Override PartName="/xl/charts/colors311.xml" ContentType="application/vnd.ms-office.chartcolorstyle+xml"/>
  <Override PartName="/xl/charts/style311.xml" ContentType="application/vnd.ms-office.chartstyle+xml"/>
  <Override PartName="/xl/charts/colors312.xml" ContentType="application/vnd.ms-office.chartcolorstyle+xml"/>
  <Override PartName="/xl/charts/style312.xml" ContentType="application/vnd.ms-office.chartstyle+xml"/>
  <Override PartName="/xl/charts/colors313.xml" ContentType="application/vnd.ms-office.chartcolorstyle+xml"/>
  <Override PartName="/xl/charts/style313.xml" ContentType="application/vnd.ms-office.chartstyle+xml"/>
  <Override PartName="/xl/charts/colors314.xml" ContentType="application/vnd.ms-office.chartcolorstyle+xml"/>
  <Override PartName="/xl/charts/style314.xml" ContentType="application/vnd.ms-office.chartstyle+xml"/>
  <Override PartName="/xl/charts/colors315.xml" ContentType="application/vnd.ms-office.chartcolorstyle+xml"/>
  <Override PartName="/xl/charts/style315.xml" ContentType="application/vnd.ms-office.chartstyle+xml"/>
  <Override PartName="/xl/charts/colors316.xml" ContentType="application/vnd.ms-office.chartcolorstyle+xml"/>
  <Override PartName="/xl/charts/style316.xml" ContentType="application/vnd.ms-office.chartstyle+xml"/>
  <Override PartName="/xl/charts/colors317.xml" ContentType="application/vnd.ms-office.chartcolorstyle+xml"/>
  <Override PartName="/xl/charts/style317.xml" ContentType="application/vnd.ms-office.chartstyle+xml"/>
  <Override PartName="/xl/charts/colors318.xml" ContentType="application/vnd.ms-office.chartcolorstyle+xml"/>
  <Override PartName="/xl/charts/style318.xml" ContentType="application/vnd.ms-office.chartstyle+xml"/>
  <Override PartName="/xl/charts/colors319.xml" ContentType="application/vnd.ms-office.chartcolorstyle+xml"/>
  <Override PartName="/xl/charts/style319.xml" ContentType="application/vnd.ms-office.chartstyle+xml"/>
  <Override PartName="/xl/charts/colors320.xml" ContentType="application/vnd.ms-office.chartcolorstyle+xml"/>
  <Override PartName="/xl/charts/style320.xml" ContentType="application/vnd.ms-office.chartstyle+xml"/>
  <Override PartName="/xl/charts/colors321.xml" ContentType="application/vnd.ms-office.chartcolorstyle+xml"/>
  <Override PartName="/xl/charts/style321.xml" ContentType="application/vnd.ms-office.chartstyle+xml"/>
  <Override PartName="/xl/charts/colors322.xml" ContentType="application/vnd.ms-office.chartcolorstyle+xml"/>
  <Override PartName="/xl/charts/style322.xml" ContentType="application/vnd.ms-office.chartstyle+xml"/>
  <Override PartName="/xl/charts/colors323.xml" ContentType="application/vnd.ms-office.chartcolorstyle+xml"/>
  <Override PartName="/xl/charts/style323.xml" ContentType="application/vnd.ms-office.chartstyle+xml"/>
  <Override PartName="/xl/charts/colors324.xml" ContentType="application/vnd.ms-office.chartcolorstyle+xml"/>
  <Override PartName="/xl/charts/style324.xml" ContentType="application/vnd.ms-office.chartstyle+xml"/>
  <Override PartName="/xl/charts/colors325.xml" ContentType="application/vnd.ms-office.chartcolorstyle+xml"/>
  <Override PartName="/xl/charts/style325.xml" ContentType="application/vnd.ms-office.chartstyle+xml"/>
  <Override PartName="/xl/charts/colors326.xml" ContentType="application/vnd.ms-office.chartcolorstyle+xml"/>
  <Override PartName="/xl/charts/style326.xml" ContentType="application/vnd.ms-office.chartstyle+xml"/>
  <Override PartName="/xl/charts/colors327.xml" ContentType="application/vnd.ms-office.chartcolorstyle+xml"/>
  <Override PartName="/xl/charts/style327.xml" ContentType="application/vnd.ms-office.chartstyle+xml"/>
  <Override PartName="/xl/charts/colors328.xml" ContentType="application/vnd.ms-office.chartcolorstyle+xml"/>
  <Override PartName="/xl/charts/style328.xml" ContentType="application/vnd.ms-office.chartstyle+xml"/>
  <Override PartName="/xl/charts/colors329.xml" ContentType="application/vnd.ms-office.chartcolorstyle+xml"/>
  <Override PartName="/xl/charts/style329.xml" ContentType="application/vnd.ms-office.chartstyle+xml"/>
  <Override PartName="/xl/charts/colors330.xml" ContentType="application/vnd.ms-office.chartcolorstyle+xml"/>
  <Override PartName="/xl/charts/style330.xml" ContentType="application/vnd.ms-office.chartstyle+xml"/>
  <Override PartName="/xl/charts/colors331.xml" ContentType="application/vnd.ms-office.chartcolorstyle+xml"/>
  <Override PartName="/xl/charts/style331.xml" ContentType="application/vnd.ms-office.chartstyle+xml"/>
  <Override PartName="/xl/charts/colors332.xml" ContentType="application/vnd.ms-office.chartcolorstyle+xml"/>
  <Override PartName="/xl/charts/style332.xml" ContentType="application/vnd.ms-office.chartstyle+xml"/>
  <Override PartName="/xl/charts/colors333.xml" ContentType="application/vnd.ms-office.chartcolorstyle+xml"/>
  <Override PartName="/xl/charts/style333.xml" ContentType="application/vnd.ms-office.chartstyle+xml"/>
  <Override PartName="/xl/charts/colors334.xml" ContentType="application/vnd.ms-office.chartcolorstyle+xml"/>
  <Override PartName="/xl/charts/style334.xml" ContentType="application/vnd.ms-office.chartstyle+xml"/>
  <Override PartName="/xl/charts/colors335.xml" ContentType="application/vnd.ms-office.chartcolorstyle+xml"/>
  <Override PartName="/xl/charts/style335.xml" ContentType="application/vnd.ms-office.chartstyle+xml"/>
  <Override PartName="/xl/charts/colors336.xml" ContentType="application/vnd.ms-office.chartcolorstyle+xml"/>
  <Override PartName="/xl/charts/style336.xml" ContentType="application/vnd.ms-office.chartstyle+xml"/>
  <Override PartName="/xl/charts/colors337.xml" ContentType="application/vnd.ms-office.chartcolorstyle+xml"/>
  <Override PartName="/xl/charts/style337.xml" ContentType="application/vnd.ms-office.chartstyle+xml"/>
  <Override PartName="/xl/charts/colors338.xml" ContentType="application/vnd.ms-office.chartcolorstyle+xml"/>
  <Override PartName="/xl/charts/style338.xml" ContentType="application/vnd.ms-office.chartstyle+xml"/>
  <Override PartName="/xl/charts/colors339.xml" ContentType="application/vnd.ms-office.chartcolorstyle+xml"/>
  <Override PartName="/xl/charts/style339.xml" ContentType="application/vnd.ms-office.chartstyle+xml"/>
  <Override PartName="/xl/charts/colors340.xml" ContentType="application/vnd.ms-office.chartcolorstyle+xml"/>
  <Override PartName="/xl/charts/style340.xml" ContentType="application/vnd.ms-office.chartstyle+xml"/>
  <Override PartName="/xl/charts/colors341.xml" ContentType="application/vnd.ms-office.chartcolorstyle+xml"/>
  <Override PartName="/xl/charts/style341.xml" ContentType="application/vnd.ms-office.chartstyle+xml"/>
  <Override PartName="/xl/charts/colors342.xml" ContentType="application/vnd.ms-office.chartcolorstyle+xml"/>
  <Override PartName="/xl/charts/style342.xml" ContentType="application/vnd.ms-office.chartstyle+xml"/>
  <Override PartName="/xl/charts/colors343.xml" ContentType="application/vnd.ms-office.chartcolorstyle+xml"/>
  <Override PartName="/xl/charts/style343.xml" ContentType="application/vnd.ms-office.chartstyle+xml"/>
  <Override PartName="/xl/charts/colors344.xml" ContentType="application/vnd.ms-office.chartcolorstyle+xml"/>
  <Override PartName="/xl/charts/style344.xml" ContentType="application/vnd.ms-office.chartstyle+xml"/>
  <Override PartName="/xl/charts/colors345.xml" ContentType="application/vnd.ms-office.chartcolorstyle+xml"/>
  <Override PartName="/xl/charts/style345.xml" ContentType="application/vnd.ms-office.chartstyle+xml"/>
  <Override PartName="/xl/charts/colors346.xml" ContentType="application/vnd.ms-office.chartcolorstyle+xml"/>
  <Override PartName="/xl/charts/style346.xml" ContentType="application/vnd.ms-office.chartstyle+xml"/>
  <Override PartName="/xl/charts/colors347.xml" ContentType="application/vnd.ms-office.chartcolorstyle+xml"/>
  <Override PartName="/xl/charts/style347.xml" ContentType="application/vnd.ms-office.chartstyle+xml"/>
  <Override PartName="/xl/charts/colors348.xml" ContentType="application/vnd.ms-office.chartcolorstyle+xml"/>
  <Override PartName="/xl/charts/style348.xml" ContentType="application/vnd.ms-office.chartstyle+xml"/>
  <Override PartName="/xl/charts/colors349.xml" ContentType="application/vnd.ms-office.chartcolorstyle+xml"/>
  <Override PartName="/xl/charts/style349.xml" ContentType="application/vnd.ms-office.chartstyle+xml"/>
  <Override PartName="/xl/charts/colors350.xml" ContentType="application/vnd.ms-office.chartcolorstyle+xml"/>
  <Override PartName="/xl/charts/style350.xml" ContentType="application/vnd.ms-office.chartstyle+xml"/>
  <Override PartName="/xl/charts/colors351.xml" ContentType="application/vnd.ms-office.chartcolorstyle+xml"/>
  <Override PartName="/xl/charts/style351.xml" ContentType="application/vnd.ms-office.chartstyle+xml"/>
  <Override PartName="/xl/charts/colors352.xml" ContentType="application/vnd.ms-office.chartcolorstyle+xml"/>
  <Override PartName="/xl/charts/style352.xml" ContentType="application/vnd.ms-office.chartstyle+xml"/>
  <Override PartName="/xl/charts/colors353.xml" ContentType="application/vnd.ms-office.chartcolorstyle+xml"/>
  <Override PartName="/xl/charts/style353.xml" ContentType="application/vnd.ms-office.chartstyle+xml"/>
  <Override PartName="/xl/charts/colors354.xml" ContentType="application/vnd.ms-office.chartcolorstyle+xml"/>
  <Override PartName="/xl/charts/style354.xml" ContentType="application/vnd.ms-office.chartstyle+xml"/>
  <Override PartName="/xl/charts/colors355.xml" ContentType="application/vnd.ms-office.chartcolorstyle+xml"/>
  <Override PartName="/xl/charts/style355.xml" ContentType="application/vnd.ms-office.chartstyle+xml"/>
  <Override PartName="/xl/charts/colors356.xml" ContentType="application/vnd.ms-office.chartcolorstyle+xml"/>
  <Override PartName="/xl/charts/style356.xml" ContentType="application/vnd.ms-office.chartstyle+xml"/>
  <Override PartName="/xl/charts/colors357.xml" ContentType="application/vnd.ms-office.chartcolorstyle+xml"/>
  <Override PartName="/xl/charts/style357.xml" ContentType="application/vnd.ms-office.chartstyle+xml"/>
  <Override PartName="/xl/charts/colors358.xml" ContentType="application/vnd.ms-office.chartcolorstyle+xml"/>
  <Override PartName="/xl/charts/style358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/>
  <bookViews>
    <workbookView xWindow="24600" yWindow="375" windowWidth="20730" windowHeight="11760" tabRatio="905"/>
  </bookViews>
  <sheets>
    <sheet name="OrientaçõesInformações" sheetId="131" r:id="rId1"/>
    <sheet name="Eixo 4" sheetId="1" r:id="rId2"/>
    <sheet name="TítuloQuestões" sheetId="2" r:id="rId3"/>
    <sheet name="QTPA" sheetId="132" r:id="rId4"/>
    <sheet name="QTPB" sheetId="133" r:id="rId5"/>
    <sheet name="QTPC" sheetId="134" r:id="rId6"/>
    <sheet name="Q4.01" sheetId="6" r:id="rId7"/>
    <sheet name="Q4.02" sheetId="5" r:id="rId8"/>
    <sheet name="Q4.03" sheetId="7" r:id="rId9"/>
    <sheet name="Q4.04" sheetId="8" r:id="rId10"/>
    <sheet name="Q4.05" sheetId="9" r:id="rId11"/>
    <sheet name="Q4.06" sheetId="10" r:id="rId12"/>
    <sheet name="Q4.07" sheetId="11" r:id="rId13"/>
    <sheet name="Q4.08" sheetId="12" r:id="rId14"/>
    <sheet name="Q4.09" sheetId="13" r:id="rId15"/>
    <sheet name="Q4.10" sheetId="14" r:id="rId16"/>
    <sheet name="Q4.11" sheetId="15" r:id="rId17"/>
    <sheet name="Q4.12" sheetId="16" r:id="rId18"/>
    <sheet name="Q4.13" sheetId="17" r:id="rId19"/>
    <sheet name="Q4.14" sheetId="18" r:id="rId20"/>
    <sheet name="Q4.15" sheetId="19" r:id="rId21"/>
    <sheet name="Q4.16" sheetId="20" r:id="rId22"/>
    <sheet name="Q4.17" sheetId="21" r:id="rId23"/>
    <sheet name="Q4.19" sheetId="22" r:id="rId24"/>
    <sheet name="Q4.20" sheetId="23" r:id="rId25"/>
    <sheet name="Q4.21" sheetId="24" r:id="rId26"/>
    <sheet name="Q4.22" sheetId="25" r:id="rId27"/>
    <sheet name="Q4.23" sheetId="26" r:id="rId28"/>
    <sheet name="Q4.24" sheetId="27" r:id="rId29"/>
    <sheet name="Q4.25" sheetId="28" r:id="rId30"/>
    <sheet name="Q4.26" sheetId="29" r:id="rId31"/>
    <sheet name="Q4.27" sheetId="30" r:id="rId32"/>
    <sheet name="Q4.28" sheetId="31" r:id="rId33"/>
    <sheet name="Q4.29" sheetId="32" r:id="rId34"/>
    <sheet name="Q4.30" sheetId="33" r:id="rId35"/>
    <sheet name="Q4.31" sheetId="34" r:id="rId36"/>
    <sheet name="Q4.32" sheetId="35" r:id="rId37"/>
    <sheet name="Q4.33" sheetId="36" r:id="rId38"/>
    <sheet name="Q4.34" sheetId="37" r:id="rId39"/>
    <sheet name="Q4.35" sheetId="38" r:id="rId40"/>
    <sheet name="Q4.36" sheetId="39" r:id="rId41"/>
    <sheet name="Q4.38" sheetId="40" r:id="rId42"/>
    <sheet name="Q4.39" sheetId="41" r:id="rId43"/>
    <sheet name="Q4.40" sheetId="42" r:id="rId44"/>
    <sheet name="Q4.41" sheetId="43" r:id="rId45"/>
    <sheet name="Q4.42" sheetId="44" r:id="rId46"/>
    <sheet name="Q4.43" sheetId="45" r:id="rId47"/>
    <sheet name="Q4.44" sheetId="46" r:id="rId48"/>
    <sheet name="Q4.45" sheetId="47" r:id="rId49"/>
    <sheet name="Q4.46" sheetId="48" r:id="rId50"/>
    <sheet name="Q4.47" sheetId="49" r:id="rId51"/>
    <sheet name="Q4.48" sheetId="50" r:id="rId52"/>
    <sheet name="Q4.50" sheetId="51" r:id="rId53"/>
    <sheet name="Q4.51" sheetId="52" r:id="rId54"/>
    <sheet name="Q4.52" sheetId="53" r:id="rId55"/>
    <sheet name="Q4.53" sheetId="54" r:id="rId56"/>
    <sheet name="Q4.54" sheetId="55" r:id="rId57"/>
    <sheet name="Q4.55" sheetId="56" r:id="rId58"/>
    <sheet name="Q4.56" sheetId="57" r:id="rId59"/>
    <sheet name="Q4.57" sheetId="58" r:id="rId60"/>
    <sheet name="Q4.58" sheetId="59" r:id="rId61"/>
    <sheet name="Q4.59" sheetId="60" r:id="rId62"/>
    <sheet name="Q4.60" sheetId="61" r:id="rId63"/>
    <sheet name="Q4.61" sheetId="62" r:id="rId64"/>
    <sheet name="Q4.62" sheetId="63" r:id="rId65"/>
    <sheet name="Q4.63" sheetId="64" r:id="rId66"/>
    <sheet name="Q4.64" sheetId="65" r:id="rId67"/>
    <sheet name="Q4.65" sheetId="66" r:id="rId68"/>
    <sheet name="Q4.66" sheetId="67" r:id="rId69"/>
    <sheet name="Q4.67" sheetId="68" r:id="rId70"/>
    <sheet name="Q4.68" sheetId="69" r:id="rId71"/>
    <sheet name="Q4.69" sheetId="70" r:id="rId72"/>
    <sheet name="Q4.71" sheetId="71" r:id="rId73"/>
    <sheet name="Q4.72" sheetId="72" r:id="rId74"/>
    <sheet name="Q4.73" sheetId="73" r:id="rId75"/>
    <sheet name="Q4.74" sheetId="3" r:id="rId76"/>
    <sheet name="Q4.75" sheetId="75" r:id="rId77"/>
    <sheet name="Q4.76" sheetId="76" r:id="rId78"/>
    <sheet name="Q4.77" sheetId="77" r:id="rId79"/>
    <sheet name="Q4.79" sheetId="78" r:id="rId80"/>
    <sheet name="Q4.81" sheetId="79" r:id="rId81"/>
    <sheet name="Q4.85" sheetId="80" r:id="rId82"/>
    <sheet name="Q4.86" sheetId="81" r:id="rId83"/>
    <sheet name="Q4.87" sheetId="82" r:id="rId84"/>
    <sheet name="Q4.88" sheetId="83" r:id="rId85"/>
    <sheet name="Q4.89" sheetId="84" r:id="rId86"/>
    <sheet name="Q4.90" sheetId="85" r:id="rId87"/>
    <sheet name="Q4.91" sheetId="86" r:id="rId88"/>
    <sheet name="Q4.92" sheetId="87" r:id="rId89"/>
    <sheet name="Q4.93" sheetId="88" r:id="rId90"/>
    <sheet name="Q4.94" sheetId="89" r:id="rId91"/>
    <sheet name="Q4.95" sheetId="90" r:id="rId92"/>
    <sheet name="Q4.96" sheetId="91" r:id="rId93"/>
    <sheet name="Q4.97" sheetId="92" r:id="rId94"/>
    <sheet name="Q4.98" sheetId="93" r:id="rId95"/>
    <sheet name="Q4.99" sheetId="94" r:id="rId96"/>
    <sheet name="Q4.100" sheetId="95" r:id="rId97"/>
    <sheet name="Q4.101" sheetId="96" r:id="rId98"/>
    <sheet name="Q4.102" sheetId="97" r:id="rId99"/>
    <sheet name="Q4.103" sheetId="98" r:id="rId100"/>
    <sheet name="Q4.104" sheetId="99" r:id="rId101"/>
    <sheet name="Q4.105" sheetId="100" r:id="rId102"/>
    <sheet name="Q4.106" sheetId="101" r:id="rId103"/>
    <sheet name="Q4.107" sheetId="102" r:id="rId104"/>
    <sheet name="Q4.108" sheetId="103" r:id="rId105"/>
    <sheet name="Q4.109" sheetId="104" r:id="rId106"/>
    <sheet name="Q4.110" sheetId="105" r:id="rId107"/>
    <sheet name="Q4.111" sheetId="106" r:id="rId108"/>
    <sheet name="Q4.112" sheetId="107" r:id="rId109"/>
    <sheet name="Q4.114" sheetId="108" r:id="rId110"/>
    <sheet name="Q4.115" sheetId="109" r:id="rId111"/>
    <sheet name="Q4.116" sheetId="110" r:id="rId112"/>
    <sheet name="Q4.117" sheetId="111" r:id="rId113"/>
    <sheet name="Q4.118" sheetId="112" r:id="rId114"/>
    <sheet name="Q4.119" sheetId="113" r:id="rId115"/>
    <sheet name="Q4.120" sheetId="114" r:id="rId116"/>
    <sheet name="Q4.121" sheetId="115" r:id="rId117"/>
    <sheet name="Q4.122" sheetId="116" r:id="rId118"/>
    <sheet name="Q4.123" sheetId="117" r:id="rId119"/>
    <sheet name="Q4.124" sheetId="118" r:id="rId120"/>
    <sheet name="Q4.125" sheetId="119" r:id="rId121"/>
    <sheet name="Q4.126" sheetId="120" r:id="rId122"/>
    <sheet name="Q4.127" sheetId="121" r:id="rId123"/>
    <sheet name="Q4.128" sheetId="122" r:id="rId124"/>
    <sheet name="Q4.130" sheetId="123" r:id="rId125"/>
    <sheet name="Q4.131" sheetId="124" r:id="rId126"/>
    <sheet name="Q4.132" sheetId="125" r:id="rId127"/>
    <sheet name="Q4.133" sheetId="126" r:id="rId128"/>
    <sheet name="Q4.134" sheetId="127" r:id="rId129"/>
    <sheet name="Q4.135" sheetId="128" r:id="rId130"/>
    <sheet name="Q4.136" sheetId="129" r:id="rId131"/>
  </sheet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8" i="5" l="1"/>
  <c r="F12" i="82" l="1"/>
  <c r="F11" i="82"/>
  <c r="F10" i="82"/>
  <c r="F9" i="82"/>
  <c r="F7" i="82"/>
  <c r="F6" i="82"/>
  <c r="F8" i="82"/>
  <c r="E10" i="81"/>
  <c r="E12" i="134"/>
  <c r="D12" i="134"/>
  <c r="C12" i="134"/>
  <c r="E11" i="134"/>
  <c r="D11" i="134"/>
  <c r="D28" i="134" s="1"/>
  <c r="C11" i="134"/>
  <c r="D21" i="134" s="1"/>
  <c r="E10" i="134"/>
  <c r="D10" i="134"/>
  <c r="D27" i="134" s="1"/>
  <c r="C10" i="134"/>
  <c r="D20" i="134" s="1"/>
  <c r="E9" i="134"/>
  <c r="D9" i="134"/>
  <c r="C9" i="134"/>
  <c r="E8" i="134"/>
  <c r="D8" i="134"/>
  <c r="D25" i="134" s="1"/>
  <c r="C8" i="134"/>
  <c r="D18" i="134" s="1"/>
  <c r="E7" i="134"/>
  <c r="D7" i="134"/>
  <c r="D26" i="134" s="1"/>
  <c r="E26" i="134" s="1"/>
  <c r="C7" i="134"/>
  <c r="D19" i="134" s="1"/>
  <c r="E19" i="134" s="1"/>
  <c r="D6" i="134"/>
  <c r="D13" i="134" s="1"/>
  <c r="C6" i="134"/>
  <c r="C13" i="134" s="1"/>
  <c r="E13" i="134" s="1"/>
  <c r="E6" i="134" s="1"/>
  <c r="F6" i="134" s="1"/>
  <c r="A2" i="134"/>
  <c r="E8" i="133"/>
  <c r="D8" i="133"/>
  <c r="C8" i="133"/>
  <c r="E7" i="133"/>
  <c r="D7" i="133"/>
  <c r="C7" i="133"/>
  <c r="D6" i="133"/>
  <c r="D9" i="133" s="1"/>
  <c r="C6" i="133"/>
  <c r="C9" i="133" s="1"/>
  <c r="E9" i="133" s="1"/>
  <c r="E6" i="133" s="1"/>
  <c r="F6" i="133" s="1"/>
  <c r="A2" i="133"/>
  <c r="E12" i="132"/>
  <c r="D12" i="132"/>
  <c r="C12" i="132"/>
  <c r="E11" i="132"/>
  <c r="D11" i="132"/>
  <c r="D28" i="132" s="1"/>
  <c r="C11" i="132"/>
  <c r="D21" i="132" s="1"/>
  <c r="E10" i="132"/>
  <c r="D10" i="132"/>
  <c r="D27" i="132" s="1"/>
  <c r="C10" i="132"/>
  <c r="D20" i="132" s="1"/>
  <c r="E9" i="132"/>
  <c r="D9" i="132"/>
  <c r="C9" i="132"/>
  <c r="E8" i="132"/>
  <c r="D8" i="132"/>
  <c r="D25" i="132" s="1"/>
  <c r="C8" i="132"/>
  <c r="D18" i="132" s="1"/>
  <c r="E7" i="132"/>
  <c r="D7" i="132"/>
  <c r="D26" i="132" s="1"/>
  <c r="C7" i="132"/>
  <c r="D19" i="132" s="1"/>
  <c r="D6" i="132"/>
  <c r="D13" i="132" s="1"/>
  <c r="C6" i="132"/>
  <c r="C13" i="132" s="1"/>
  <c r="E13" i="132" s="1"/>
  <c r="A2" i="132"/>
  <c r="C8" i="7"/>
  <c r="D8" i="7"/>
  <c r="E8" i="7"/>
  <c r="C9" i="7"/>
  <c r="D9" i="7"/>
  <c r="E9" i="7"/>
  <c r="C10" i="7"/>
  <c r="D10" i="7"/>
  <c r="E10" i="7"/>
  <c r="C11" i="7"/>
  <c r="D11" i="7"/>
  <c r="E11" i="7"/>
  <c r="C12" i="7"/>
  <c r="D12" i="7"/>
  <c r="E12" i="7"/>
  <c r="E7" i="7"/>
  <c r="D7" i="7"/>
  <c r="C7" i="7"/>
  <c r="C6" i="7"/>
  <c r="D18" i="7"/>
  <c r="E7" i="107"/>
  <c r="C7" i="78"/>
  <c r="E7" i="28"/>
  <c r="E7" i="102"/>
  <c r="B16" i="131"/>
  <c r="D16" i="131" s="1"/>
  <c r="B15" i="131"/>
  <c r="D15" i="131" s="1"/>
  <c r="C17" i="131"/>
  <c r="E18" i="132" l="1"/>
  <c r="E25" i="132"/>
  <c r="B3" i="134"/>
  <c r="B2" i="134"/>
  <c r="G7" i="134"/>
  <c r="F7" i="134"/>
  <c r="E18" i="134"/>
  <c r="E25" i="134"/>
  <c r="G8" i="134"/>
  <c r="F8" i="134"/>
  <c r="G9" i="134"/>
  <c r="F9" i="134"/>
  <c r="E20" i="134"/>
  <c r="E27" i="134"/>
  <c r="G10" i="134"/>
  <c r="F10" i="134"/>
  <c r="E21" i="134"/>
  <c r="E28" i="134"/>
  <c r="G11" i="134"/>
  <c r="F11" i="134"/>
  <c r="G12" i="134"/>
  <c r="F12" i="134"/>
  <c r="B3" i="133"/>
  <c r="B2" i="133"/>
  <c r="G7" i="133"/>
  <c r="F7" i="133"/>
  <c r="G8" i="133"/>
  <c r="F8" i="133"/>
  <c r="E19" i="132"/>
  <c r="E20" i="132"/>
  <c r="E21" i="132"/>
  <c r="E26" i="132"/>
  <c r="E27" i="132"/>
  <c r="E28" i="132"/>
  <c r="F13" i="132"/>
  <c r="E6" i="132"/>
  <c r="F6" i="132" s="1"/>
  <c r="G7" i="132"/>
  <c r="F7" i="132"/>
  <c r="G8" i="132"/>
  <c r="F8" i="132"/>
  <c r="G9" i="132"/>
  <c r="F9" i="132"/>
  <c r="G10" i="132"/>
  <c r="F10" i="132"/>
  <c r="G11" i="132"/>
  <c r="F11" i="132"/>
  <c r="G12" i="132"/>
  <c r="F12" i="132"/>
  <c r="B3" i="132"/>
  <c r="B2" i="132"/>
  <c r="B17" i="131"/>
  <c r="D17" i="131" s="1"/>
  <c r="A2" i="17"/>
  <c r="C8" i="129"/>
  <c r="D8" i="129"/>
  <c r="E8" i="129"/>
  <c r="C9" i="129"/>
  <c r="D9" i="129"/>
  <c r="E9" i="129"/>
  <c r="C10" i="129"/>
  <c r="D20" i="129" s="1"/>
  <c r="D10" i="129"/>
  <c r="D27" i="129" s="1"/>
  <c r="E10" i="129"/>
  <c r="C11" i="129"/>
  <c r="D11" i="129"/>
  <c r="E11" i="129"/>
  <c r="C12" i="129"/>
  <c r="D12" i="129"/>
  <c r="E12" i="129"/>
  <c r="E7" i="129"/>
  <c r="D7" i="129"/>
  <c r="D26" i="129" s="1"/>
  <c r="C7" i="129"/>
  <c r="D19" i="129" s="1"/>
  <c r="A2" i="129"/>
  <c r="C8" i="128"/>
  <c r="D8" i="128"/>
  <c r="E8" i="128"/>
  <c r="C9" i="128"/>
  <c r="D9" i="128"/>
  <c r="E9" i="128"/>
  <c r="C10" i="128"/>
  <c r="D20" i="128" s="1"/>
  <c r="D10" i="128"/>
  <c r="D27" i="128" s="1"/>
  <c r="E10" i="128"/>
  <c r="C11" i="128"/>
  <c r="D11" i="128"/>
  <c r="E11" i="128"/>
  <c r="C12" i="128"/>
  <c r="D12" i="128"/>
  <c r="E12" i="128"/>
  <c r="E7" i="128"/>
  <c r="D7" i="128"/>
  <c r="D26" i="128" s="1"/>
  <c r="C7" i="128"/>
  <c r="D19" i="128" s="1"/>
  <c r="A2" i="128"/>
  <c r="C8" i="127"/>
  <c r="D8" i="127"/>
  <c r="E8" i="127"/>
  <c r="C9" i="127"/>
  <c r="D9" i="127"/>
  <c r="E9" i="127"/>
  <c r="C10" i="127"/>
  <c r="D20" i="127" s="1"/>
  <c r="D10" i="127"/>
  <c r="D27" i="127" s="1"/>
  <c r="E10" i="127"/>
  <c r="C11" i="127"/>
  <c r="D11" i="127"/>
  <c r="E11" i="127"/>
  <c r="C12" i="127"/>
  <c r="D12" i="127"/>
  <c r="E12" i="127"/>
  <c r="E7" i="127"/>
  <c r="D7" i="127"/>
  <c r="D26" i="127" s="1"/>
  <c r="C7" i="127"/>
  <c r="D19" i="127" s="1"/>
  <c r="A2" i="127"/>
  <c r="C8" i="126"/>
  <c r="D8" i="126"/>
  <c r="E8" i="126"/>
  <c r="C9" i="126"/>
  <c r="D9" i="126"/>
  <c r="E9" i="126"/>
  <c r="C10" i="126"/>
  <c r="D20" i="126" s="1"/>
  <c r="D10" i="126"/>
  <c r="D27" i="126" s="1"/>
  <c r="E10" i="126"/>
  <c r="C11" i="126"/>
  <c r="D11" i="126"/>
  <c r="E11" i="126"/>
  <c r="C12" i="126"/>
  <c r="D12" i="126"/>
  <c r="E12" i="126"/>
  <c r="E7" i="126"/>
  <c r="D7" i="126"/>
  <c r="D26" i="126" s="1"/>
  <c r="C7" i="126"/>
  <c r="D19" i="126" s="1"/>
  <c r="A2" i="126"/>
  <c r="C8" i="125"/>
  <c r="D8" i="125"/>
  <c r="E8" i="125"/>
  <c r="C9" i="125"/>
  <c r="D9" i="125"/>
  <c r="E9" i="125"/>
  <c r="C10" i="125"/>
  <c r="D20" i="125" s="1"/>
  <c r="D10" i="125"/>
  <c r="D27" i="125" s="1"/>
  <c r="E10" i="125"/>
  <c r="C11" i="125"/>
  <c r="D11" i="125"/>
  <c r="E11" i="125"/>
  <c r="C12" i="125"/>
  <c r="D12" i="125"/>
  <c r="E12" i="125"/>
  <c r="E7" i="125"/>
  <c r="D7" i="125"/>
  <c r="D26" i="125" s="1"/>
  <c r="C7" i="125"/>
  <c r="D19" i="125" s="1"/>
  <c r="A2" i="125"/>
  <c r="C8" i="124"/>
  <c r="D8" i="124"/>
  <c r="E8" i="124"/>
  <c r="C9" i="124"/>
  <c r="D9" i="124"/>
  <c r="E9" i="124"/>
  <c r="C10" i="124"/>
  <c r="D20" i="124" s="1"/>
  <c r="D10" i="124"/>
  <c r="D27" i="124" s="1"/>
  <c r="E10" i="124"/>
  <c r="C11" i="124"/>
  <c r="D11" i="124"/>
  <c r="E11" i="124"/>
  <c r="C12" i="124"/>
  <c r="D12" i="124"/>
  <c r="E12" i="124"/>
  <c r="E7" i="124"/>
  <c r="D7" i="124"/>
  <c r="D26" i="124" s="1"/>
  <c r="C7" i="124"/>
  <c r="D19" i="124" s="1"/>
  <c r="A2" i="124"/>
  <c r="C8" i="123"/>
  <c r="D8" i="123"/>
  <c r="E8" i="123"/>
  <c r="E7" i="123"/>
  <c r="D7" i="123"/>
  <c r="C7" i="123"/>
  <c r="A2" i="123"/>
  <c r="C8" i="122"/>
  <c r="D8" i="122"/>
  <c r="E8" i="122"/>
  <c r="C9" i="122"/>
  <c r="D9" i="122"/>
  <c r="E9" i="122"/>
  <c r="C10" i="122"/>
  <c r="D20" i="122" s="1"/>
  <c r="D10" i="122"/>
  <c r="D27" i="122" s="1"/>
  <c r="E10" i="122"/>
  <c r="C11" i="122"/>
  <c r="D11" i="122"/>
  <c r="E11" i="122"/>
  <c r="C12" i="122"/>
  <c r="D12" i="122"/>
  <c r="E12" i="122"/>
  <c r="E7" i="122"/>
  <c r="D7" i="122"/>
  <c r="D26" i="122" s="1"/>
  <c r="C7" i="122"/>
  <c r="D19" i="122" s="1"/>
  <c r="A2" i="122"/>
  <c r="C8" i="121"/>
  <c r="D8" i="121"/>
  <c r="E8" i="121"/>
  <c r="C9" i="121"/>
  <c r="D9" i="121"/>
  <c r="E9" i="121"/>
  <c r="C10" i="121"/>
  <c r="D20" i="121" s="1"/>
  <c r="D10" i="121"/>
  <c r="D27" i="121" s="1"/>
  <c r="E10" i="121"/>
  <c r="C11" i="121"/>
  <c r="D11" i="121"/>
  <c r="E11" i="121"/>
  <c r="C12" i="121"/>
  <c r="D12" i="121"/>
  <c r="E12" i="121"/>
  <c r="E7" i="121"/>
  <c r="D7" i="121"/>
  <c r="D26" i="121" s="1"/>
  <c r="C7" i="121"/>
  <c r="D19" i="121" s="1"/>
  <c r="A2" i="121"/>
  <c r="C8" i="120"/>
  <c r="D8" i="120"/>
  <c r="E8" i="120"/>
  <c r="C9" i="120"/>
  <c r="D9" i="120"/>
  <c r="E9" i="120"/>
  <c r="C10" i="120"/>
  <c r="D20" i="120" s="1"/>
  <c r="D10" i="120"/>
  <c r="D27" i="120" s="1"/>
  <c r="E10" i="120"/>
  <c r="C11" i="120"/>
  <c r="D11" i="120"/>
  <c r="E11" i="120"/>
  <c r="C12" i="120"/>
  <c r="D12" i="120"/>
  <c r="E12" i="120"/>
  <c r="E7" i="120"/>
  <c r="D7" i="120"/>
  <c r="D26" i="120" s="1"/>
  <c r="C7" i="120"/>
  <c r="D19" i="120" s="1"/>
  <c r="A2" i="120"/>
  <c r="C8" i="119"/>
  <c r="D8" i="119"/>
  <c r="E8" i="119"/>
  <c r="C9" i="119"/>
  <c r="D9" i="119"/>
  <c r="E9" i="119"/>
  <c r="C10" i="119"/>
  <c r="D20" i="119" s="1"/>
  <c r="D10" i="119"/>
  <c r="D27" i="119" s="1"/>
  <c r="E10" i="119"/>
  <c r="C11" i="119"/>
  <c r="D11" i="119"/>
  <c r="E11" i="119"/>
  <c r="C12" i="119"/>
  <c r="D12" i="119"/>
  <c r="E12" i="119"/>
  <c r="E7" i="119"/>
  <c r="D7" i="119"/>
  <c r="D26" i="119" s="1"/>
  <c r="C7" i="119"/>
  <c r="D19" i="119" s="1"/>
  <c r="A2" i="119"/>
  <c r="C8" i="118"/>
  <c r="D8" i="118"/>
  <c r="E8" i="118"/>
  <c r="C9" i="118"/>
  <c r="D9" i="118"/>
  <c r="E9" i="118"/>
  <c r="C10" i="118"/>
  <c r="D20" i="118" s="1"/>
  <c r="D10" i="118"/>
  <c r="D27" i="118" s="1"/>
  <c r="E10" i="118"/>
  <c r="C11" i="118"/>
  <c r="D11" i="118"/>
  <c r="E11" i="118"/>
  <c r="C12" i="118"/>
  <c r="D12" i="118"/>
  <c r="E12" i="118"/>
  <c r="E7" i="118"/>
  <c r="D7" i="118"/>
  <c r="D26" i="118" s="1"/>
  <c r="C7" i="118"/>
  <c r="D19" i="118" s="1"/>
  <c r="A2" i="118"/>
  <c r="C8" i="117"/>
  <c r="D8" i="117"/>
  <c r="E8" i="117"/>
  <c r="C9" i="117"/>
  <c r="D9" i="117"/>
  <c r="E9" i="117"/>
  <c r="C10" i="117"/>
  <c r="D20" i="117" s="1"/>
  <c r="D10" i="117"/>
  <c r="D27" i="117" s="1"/>
  <c r="E10" i="117"/>
  <c r="C11" i="117"/>
  <c r="D11" i="117"/>
  <c r="E11" i="117"/>
  <c r="C12" i="117"/>
  <c r="D12" i="117"/>
  <c r="E12" i="117"/>
  <c r="E7" i="117"/>
  <c r="D7" i="117"/>
  <c r="D26" i="117" s="1"/>
  <c r="C7" i="117"/>
  <c r="D19" i="117" s="1"/>
  <c r="A2" i="117"/>
  <c r="C8" i="116"/>
  <c r="D8" i="116"/>
  <c r="E8" i="116"/>
  <c r="C9" i="116"/>
  <c r="D9" i="116"/>
  <c r="E9" i="116"/>
  <c r="C10" i="116"/>
  <c r="D20" i="116" s="1"/>
  <c r="D10" i="116"/>
  <c r="D27" i="116" s="1"/>
  <c r="E10" i="116"/>
  <c r="C11" i="116"/>
  <c r="D11" i="116"/>
  <c r="E11" i="116"/>
  <c r="C12" i="116"/>
  <c r="D12" i="116"/>
  <c r="E12" i="116"/>
  <c r="E7" i="116"/>
  <c r="D7" i="116"/>
  <c r="D26" i="116" s="1"/>
  <c r="C7" i="116"/>
  <c r="D19" i="116" s="1"/>
  <c r="A2" i="116"/>
  <c r="C8" i="115"/>
  <c r="D8" i="115"/>
  <c r="E8" i="115"/>
  <c r="C9" i="115"/>
  <c r="D9" i="115"/>
  <c r="E9" i="115"/>
  <c r="C10" i="115"/>
  <c r="D20" i="115" s="1"/>
  <c r="D10" i="115"/>
  <c r="D27" i="115" s="1"/>
  <c r="E10" i="115"/>
  <c r="C11" i="115"/>
  <c r="D11" i="115"/>
  <c r="E11" i="115"/>
  <c r="C12" i="115"/>
  <c r="D12" i="115"/>
  <c r="E12" i="115"/>
  <c r="E7" i="115"/>
  <c r="D7" i="115"/>
  <c r="D26" i="115" s="1"/>
  <c r="C7" i="115"/>
  <c r="D19" i="115" s="1"/>
  <c r="A2" i="115"/>
  <c r="C8" i="114"/>
  <c r="D8" i="114"/>
  <c r="E8" i="114"/>
  <c r="C9" i="114"/>
  <c r="D9" i="114"/>
  <c r="E9" i="114"/>
  <c r="C10" i="114"/>
  <c r="D20" i="114" s="1"/>
  <c r="D10" i="114"/>
  <c r="D27" i="114" s="1"/>
  <c r="E10" i="114"/>
  <c r="C11" i="114"/>
  <c r="D11" i="114"/>
  <c r="E11" i="114"/>
  <c r="C12" i="114"/>
  <c r="D12" i="114"/>
  <c r="E12" i="114"/>
  <c r="E7" i="114"/>
  <c r="D7" i="114"/>
  <c r="D26" i="114" s="1"/>
  <c r="C7" i="114"/>
  <c r="D19" i="114" s="1"/>
  <c r="A2" i="114"/>
  <c r="C8" i="113"/>
  <c r="D8" i="113"/>
  <c r="E8" i="113"/>
  <c r="C9" i="113"/>
  <c r="D9" i="113"/>
  <c r="E9" i="113"/>
  <c r="C10" i="113"/>
  <c r="D20" i="113" s="1"/>
  <c r="D10" i="113"/>
  <c r="D27" i="113" s="1"/>
  <c r="E10" i="113"/>
  <c r="C11" i="113"/>
  <c r="D11" i="113"/>
  <c r="E11" i="113"/>
  <c r="C12" i="113"/>
  <c r="D12" i="113"/>
  <c r="E12" i="113"/>
  <c r="E7" i="113"/>
  <c r="D7" i="113"/>
  <c r="D26" i="113" s="1"/>
  <c r="C7" i="113"/>
  <c r="D19" i="113" s="1"/>
  <c r="A2" i="113"/>
  <c r="C8" i="112"/>
  <c r="D8" i="112"/>
  <c r="E8" i="112"/>
  <c r="C9" i="112"/>
  <c r="D9" i="112"/>
  <c r="E9" i="112"/>
  <c r="C10" i="112"/>
  <c r="D20" i="112" s="1"/>
  <c r="D10" i="112"/>
  <c r="D27" i="112" s="1"/>
  <c r="E10" i="112"/>
  <c r="C11" i="112"/>
  <c r="D11" i="112"/>
  <c r="E11" i="112"/>
  <c r="C12" i="112"/>
  <c r="D12" i="112"/>
  <c r="E12" i="112"/>
  <c r="E7" i="112"/>
  <c r="D7" i="112"/>
  <c r="D26" i="112" s="1"/>
  <c r="C7" i="112"/>
  <c r="D19" i="112" s="1"/>
  <c r="A2" i="112"/>
  <c r="C8" i="111"/>
  <c r="D8" i="111"/>
  <c r="E8" i="111"/>
  <c r="C9" i="111"/>
  <c r="D9" i="111"/>
  <c r="E9" i="111"/>
  <c r="C10" i="111"/>
  <c r="D20" i="111" s="1"/>
  <c r="D10" i="111"/>
  <c r="D27" i="111" s="1"/>
  <c r="E10" i="111"/>
  <c r="C11" i="111"/>
  <c r="D11" i="111"/>
  <c r="E11" i="111"/>
  <c r="C12" i="111"/>
  <c r="D12" i="111"/>
  <c r="E12" i="111"/>
  <c r="E7" i="111"/>
  <c r="D7" i="111"/>
  <c r="D26" i="111" s="1"/>
  <c r="C7" i="111"/>
  <c r="D19" i="111" s="1"/>
  <c r="A2" i="111"/>
  <c r="C8" i="110"/>
  <c r="D8" i="110"/>
  <c r="E8" i="110"/>
  <c r="C9" i="110"/>
  <c r="D9" i="110"/>
  <c r="E9" i="110"/>
  <c r="C10" i="110"/>
  <c r="D20" i="110" s="1"/>
  <c r="D10" i="110"/>
  <c r="D27" i="110" s="1"/>
  <c r="E10" i="110"/>
  <c r="C11" i="110"/>
  <c r="D11" i="110"/>
  <c r="E11" i="110"/>
  <c r="C12" i="110"/>
  <c r="D12" i="110"/>
  <c r="E12" i="110"/>
  <c r="E7" i="110"/>
  <c r="D7" i="110"/>
  <c r="D26" i="110" s="1"/>
  <c r="C7" i="110"/>
  <c r="D19" i="110" s="1"/>
  <c r="A2" i="110"/>
  <c r="C8" i="109"/>
  <c r="D8" i="109"/>
  <c r="E8" i="109"/>
  <c r="C9" i="109"/>
  <c r="D9" i="109"/>
  <c r="E9" i="109"/>
  <c r="C10" i="109"/>
  <c r="D20" i="109" s="1"/>
  <c r="D10" i="109"/>
  <c r="D27" i="109" s="1"/>
  <c r="E10" i="109"/>
  <c r="C11" i="109"/>
  <c r="D11" i="109"/>
  <c r="E11" i="109"/>
  <c r="C12" i="109"/>
  <c r="D12" i="109"/>
  <c r="E12" i="109"/>
  <c r="E7" i="109"/>
  <c r="D7" i="109"/>
  <c r="D26" i="109" s="1"/>
  <c r="C7" i="109"/>
  <c r="D19" i="109" s="1"/>
  <c r="A2" i="109"/>
  <c r="C8" i="108"/>
  <c r="D8" i="108"/>
  <c r="E8" i="108"/>
  <c r="E7" i="108"/>
  <c r="D7" i="108"/>
  <c r="C7" i="108"/>
  <c r="A2" i="108"/>
  <c r="C8" i="107"/>
  <c r="D8" i="107"/>
  <c r="E8" i="107"/>
  <c r="C9" i="107"/>
  <c r="D9" i="107"/>
  <c r="E9" i="107"/>
  <c r="C10" i="107"/>
  <c r="D20" i="107" s="1"/>
  <c r="D10" i="107"/>
  <c r="D27" i="107" s="1"/>
  <c r="E10" i="107"/>
  <c r="C11" i="107"/>
  <c r="D11" i="107"/>
  <c r="E11" i="107"/>
  <c r="C12" i="107"/>
  <c r="D12" i="107"/>
  <c r="E12" i="107"/>
  <c r="D7" i="107"/>
  <c r="D26" i="107" s="1"/>
  <c r="C7" i="107"/>
  <c r="D19" i="107" s="1"/>
  <c r="A2" i="107"/>
  <c r="C8" i="106"/>
  <c r="D8" i="106"/>
  <c r="E8" i="106"/>
  <c r="C9" i="106"/>
  <c r="D9" i="106"/>
  <c r="E9" i="106"/>
  <c r="C10" i="106"/>
  <c r="D20" i="106" s="1"/>
  <c r="D10" i="106"/>
  <c r="D27" i="106" s="1"/>
  <c r="E10" i="106"/>
  <c r="C11" i="106"/>
  <c r="D11" i="106"/>
  <c r="E11" i="106"/>
  <c r="C12" i="106"/>
  <c r="D12" i="106"/>
  <c r="E12" i="106"/>
  <c r="E7" i="106"/>
  <c r="D7" i="106"/>
  <c r="D26" i="106" s="1"/>
  <c r="C7" i="106"/>
  <c r="D19" i="106" s="1"/>
  <c r="A2" i="106"/>
  <c r="C8" i="105"/>
  <c r="D8" i="105"/>
  <c r="E8" i="105"/>
  <c r="C9" i="105"/>
  <c r="D9" i="105"/>
  <c r="E9" i="105"/>
  <c r="C10" i="105"/>
  <c r="D20" i="105" s="1"/>
  <c r="D10" i="105"/>
  <c r="D27" i="105" s="1"/>
  <c r="E10" i="105"/>
  <c r="C11" i="105"/>
  <c r="D11" i="105"/>
  <c r="E11" i="105"/>
  <c r="C12" i="105"/>
  <c r="D12" i="105"/>
  <c r="E12" i="105"/>
  <c r="E7" i="105"/>
  <c r="D7" i="105"/>
  <c r="D26" i="105" s="1"/>
  <c r="C7" i="105"/>
  <c r="D19" i="105" s="1"/>
  <c r="A2" i="105"/>
  <c r="C8" i="104"/>
  <c r="D8" i="104"/>
  <c r="E8" i="104"/>
  <c r="C9" i="104"/>
  <c r="D9" i="104"/>
  <c r="E9" i="104"/>
  <c r="C10" i="104"/>
  <c r="D20" i="104" s="1"/>
  <c r="D10" i="104"/>
  <c r="D27" i="104" s="1"/>
  <c r="E10" i="104"/>
  <c r="C11" i="104"/>
  <c r="D11" i="104"/>
  <c r="E11" i="104"/>
  <c r="C12" i="104"/>
  <c r="D12" i="104"/>
  <c r="E12" i="104"/>
  <c r="E7" i="104"/>
  <c r="D7" i="104"/>
  <c r="D26" i="104" s="1"/>
  <c r="C7" i="104"/>
  <c r="D19" i="104" s="1"/>
  <c r="A2" i="104"/>
  <c r="C8" i="103"/>
  <c r="D8" i="103"/>
  <c r="E8" i="103"/>
  <c r="C9" i="103"/>
  <c r="D9" i="103"/>
  <c r="E9" i="103"/>
  <c r="C10" i="103"/>
  <c r="D20" i="103" s="1"/>
  <c r="D10" i="103"/>
  <c r="D27" i="103" s="1"/>
  <c r="E10" i="103"/>
  <c r="C11" i="103"/>
  <c r="D11" i="103"/>
  <c r="E11" i="103"/>
  <c r="C12" i="103"/>
  <c r="D12" i="103"/>
  <c r="E12" i="103"/>
  <c r="E7" i="103"/>
  <c r="D7" i="103"/>
  <c r="D26" i="103" s="1"/>
  <c r="C7" i="103"/>
  <c r="D19" i="103" s="1"/>
  <c r="A2" i="103"/>
  <c r="C8" i="102"/>
  <c r="D8" i="102"/>
  <c r="E8" i="102"/>
  <c r="C9" i="102"/>
  <c r="D9" i="102"/>
  <c r="E9" i="102"/>
  <c r="C10" i="102"/>
  <c r="D20" i="102" s="1"/>
  <c r="D10" i="102"/>
  <c r="D27" i="102" s="1"/>
  <c r="E10" i="102"/>
  <c r="C11" i="102"/>
  <c r="D11" i="102"/>
  <c r="E11" i="102"/>
  <c r="C12" i="102"/>
  <c r="D12" i="102"/>
  <c r="E12" i="102"/>
  <c r="D7" i="102"/>
  <c r="C7" i="102"/>
  <c r="D19" i="102" s="1"/>
  <c r="A2" i="102"/>
  <c r="C8" i="101"/>
  <c r="D8" i="101"/>
  <c r="E8" i="101"/>
  <c r="C9" i="101"/>
  <c r="D9" i="101"/>
  <c r="E9" i="101"/>
  <c r="C10" i="101"/>
  <c r="D20" i="101" s="1"/>
  <c r="D10" i="101"/>
  <c r="D27" i="101" s="1"/>
  <c r="E10" i="101"/>
  <c r="C11" i="101"/>
  <c r="D11" i="101"/>
  <c r="E11" i="101"/>
  <c r="C12" i="101"/>
  <c r="D12" i="101"/>
  <c r="E12" i="101"/>
  <c r="E7" i="101"/>
  <c r="D7" i="101"/>
  <c r="D26" i="101" s="1"/>
  <c r="C7" i="101"/>
  <c r="D19" i="101" s="1"/>
  <c r="A2" i="101"/>
  <c r="C8" i="100"/>
  <c r="D8" i="100"/>
  <c r="E8" i="100"/>
  <c r="C9" i="100"/>
  <c r="D9" i="100"/>
  <c r="E9" i="100"/>
  <c r="C10" i="100"/>
  <c r="D20" i="100" s="1"/>
  <c r="D10" i="100"/>
  <c r="D27" i="100" s="1"/>
  <c r="E10" i="100"/>
  <c r="C11" i="100"/>
  <c r="D11" i="100"/>
  <c r="E11" i="100"/>
  <c r="C12" i="100"/>
  <c r="D12" i="100"/>
  <c r="E12" i="100"/>
  <c r="E7" i="100"/>
  <c r="D7" i="100"/>
  <c r="D26" i="100" s="1"/>
  <c r="C7" i="100"/>
  <c r="D19" i="100" s="1"/>
  <c r="A2" i="100"/>
  <c r="C8" i="99"/>
  <c r="D8" i="99"/>
  <c r="E8" i="99"/>
  <c r="C9" i="99"/>
  <c r="D9" i="99"/>
  <c r="E9" i="99"/>
  <c r="C10" i="99"/>
  <c r="D20" i="99" s="1"/>
  <c r="D10" i="99"/>
  <c r="D27" i="99" s="1"/>
  <c r="E10" i="99"/>
  <c r="C11" i="99"/>
  <c r="D11" i="99"/>
  <c r="E11" i="99"/>
  <c r="C12" i="99"/>
  <c r="D12" i="99"/>
  <c r="E12" i="99"/>
  <c r="E7" i="99"/>
  <c r="D7" i="99"/>
  <c r="D26" i="99" s="1"/>
  <c r="C7" i="99"/>
  <c r="D19" i="99" s="1"/>
  <c r="A2" i="99"/>
  <c r="E12" i="98"/>
  <c r="D12" i="98"/>
  <c r="C12" i="98"/>
  <c r="E11" i="98"/>
  <c r="D11" i="98"/>
  <c r="D28" i="98" s="1"/>
  <c r="C11" i="98"/>
  <c r="D21" i="98" s="1"/>
  <c r="E10" i="98"/>
  <c r="D10" i="98"/>
  <c r="D27" i="98" s="1"/>
  <c r="C10" i="98"/>
  <c r="D20" i="98" s="1"/>
  <c r="E9" i="98"/>
  <c r="D9" i="98"/>
  <c r="C9" i="98"/>
  <c r="E8" i="98"/>
  <c r="D8" i="98"/>
  <c r="D25" i="98" s="1"/>
  <c r="C8" i="98"/>
  <c r="D18" i="98" s="1"/>
  <c r="E7" i="98"/>
  <c r="D7" i="98"/>
  <c r="D26" i="98" s="1"/>
  <c r="E26" i="98" s="1"/>
  <c r="C7" i="98"/>
  <c r="D19" i="98" s="1"/>
  <c r="E19" i="98" s="1"/>
  <c r="A2" i="98"/>
  <c r="C8" i="97"/>
  <c r="D8" i="97"/>
  <c r="E8" i="97"/>
  <c r="C9" i="97"/>
  <c r="D9" i="97"/>
  <c r="E9" i="97"/>
  <c r="C10" i="97"/>
  <c r="D20" i="97" s="1"/>
  <c r="D10" i="97"/>
  <c r="D27" i="97" s="1"/>
  <c r="E10" i="97"/>
  <c r="C11" i="97"/>
  <c r="D11" i="97"/>
  <c r="E11" i="97"/>
  <c r="C12" i="97"/>
  <c r="D12" i="97"/>
  <c r="E12" i="97"/>
  <c r="E7" i="97"/>
  <c r="D7" i="97"/>
  <c r="D26" i="97" s="1"/>
  <c r="C7" i="97"/>
  <c r="D19" i="97" s="1"/>
  <c r="A2" i="97"/>
  <c r="C8" i="96"/>
  <c r="D8" i="96"/>
  <c r="E8" i="96"/>
  <c r="C9" i="96"/>
  <c r="D9" i="96"/>
  <c r="E9" i="96"/>
  <c r="C10" i="96"/>
  <c r="D20" i="96" s="1"/>
  <c r="D10" i="96"/>
  <c r="D27" i="96" s="1"/>
  <c r="E10" i="96"/>
  <c r="C11" i="96"/>
  <c r="D11" i="96"/>
  <c r="E11" i="96"/>
  <c r="C12" i="96"/>
  <c r="D12" i="96"/>
  <c r="E12" i="96"/>
  <c r="E7" i="96"/>
  <c r="D7" i="96"/>
  <c r="D26" i="96" s="1"/>
  <c r="C7" i="96"/>
  <c r="D19" i="96" s="1"/>
  <c r="A2" i="96"/>
  <c r="C8" i="95"/>
  <c r="D8" i="95"/>
  <c r="E8" i="95"/>
  <c r="C9" i="95"/>
  <c r="D9" i="95"/>
  <c r="E9" i="95"/>
  <c r="C10" i="95"/>
  <c r="D20" i="95" s="1"/>
  <c r="D10" i="95"/>
  <c r="D27" i="95" s="1"/>
  <c r="E10" i="95"/>
  <c r="C11" i="95"/>
  <c r="D11" i="95"/>
  <c r="E11" i="95"/>
  <c r="C12" i="95"/>
  <c r="D12" i="95"/>
  <c r="E12" i="95"/>
  <c r="E7" i="95"/>
  <c r="D7" i="95"/>
  <c r="D26" i="95" s="1"/>
  <c r="C7" i="95"/>
  <c r="D19" i="95" s="1"/>
  <c r="A2" i="95"/>
  <c r="C8" i="94"/>
  <c r="D8" i="94"/>
  <c r="E8" i="94"/>
  <c r="C9" i="94"/>
  <c r="D9" i="94"/>
  <c r="E9" i="94"/>
  <c r="C10" i="94"/>
  <c r="D20" i="94" s="1"/>
  <c r="D10" i="94"/>
  <c r="D27" i="94" s="1"/>
  <c r="E10" i="94"/>
  <c r="C11" i="94"/>
  <c r="D11" i="94"/>
  <c r="E11" i="94"/>
  <c r="C12" i="94"/>
  <c r="D12" i="94"/>
  <c r="E12" i="94"/>
  <c r="E7" i="94"/>
  <c r="D7" i="94"/>
  <c r="D26" i="94" s="1"/>
  <c r="C7" i="94"/>
  <c r="D19" i="94" s="1"/>
  <c r="A2" i="94"/>
  <c r="C8" i="93"/>
  <c r="D8" i="93"/>
  <c r="E8" i="93"/>
  <c r="C9" i="93"/>
  <c r="D9" i="93"/>
  <c r="E9" i="93"/>
  <c r="C10" i="93"/>
  <c r="D20" i="93" s="1"/>
  <c r="D10" i="93"/>
  <c r="D27" i="93" s="1"/>
  <c r="E10" i="93"/>
  <c r="C11" i="93"/>
  <c r="D11" i="93"/>
  <c r="E11" i="93"/>
  <c r="C12" i="93"/>
  <c r="D12" i="93"/>
  <c r="E12" i="93"/>
  <c r="E7" i="93"/>
  <c r="D7" i="93"/>
  <c r="D26" i="93" s="1"/>
  <c r="C7" i="93"/>
  <c r="D19" i="93" s="1"/>
  <c r="A2" i="93"/>
  <c r="C8" i="92"/>
  <c r="D8" i="92"/>
  <c r="E8" i="92"/>
  <c r="C9" i="92"/>
  <c r="D9" i="92"/>
  <c r="E9" i="92"/>
  <c r="C10" i="92"/>
  <c r="D20" i="92" s="1"/>
  <c r="D10" i="92"/>
  <c r="D27" i="92" s="1"/>
  <c r="E10" i="92"/>
  <c r="C11" i="92"/>
  <c r="D11" i="92"/>
  <c r="E11" i="92"/>
  <c r="C12" i="92"/>
  <c r="D12" i="92"/>
  <c r="E12" i="92"/>
  <c r="E7" i="92"/>
  <c r="D7" i="92"/>
  <c r="D26" i="92" s="1"/>
  <c r="C7" i="92"/>
  <c r="D19" i="92" s="1"/>
  <c r="A2" i="92"/>
  <c r="C8" i="91"/>
  <c r="D8" i="91"/>
  <c r="E8" i="91"/>
  <c r="C9" i="91"/>
  <c r="D9" i="91"/>
  <c r="E9" i="91"/>
  <c r="C10" i="91"/>
  <c r="D20" i="91" s="1"/>
  <c r="D10" i="91"/>
  <c r="D27" i="91" s="1"/>
  <c r="E10" i="91"/>
  <c r="C11" i="91"/>
  <c r="D11" i="91"/>
  <c r="E11" i="91"/>
  <c r="C12" i="91"/>
  <c r="D12" i="91"/>
  <c r="E12" i="91"/>
  <c r="E7" i="91"/>
  <c r="D7" i="91"/>
  <c r="D26" i="91" s="1"/>
  <c r="C7" i="91"/>
  <c r="D19" i="91" s="1"/>
  <c r="A2" i="91"/>
  <c r="C8" i="90"/>
  <c r="D8" i="90"/>
  <c r="E8" i="90"/>
  <c r="C9" i="90"/>
  <c r="D9" i="90"/>
  <c r="E9" i="90"/>
  <c r="C10" i="90"/>
  <c r="D20" i="90" s="1"/>
  <c r="D10" i="90"/>
  <c r="D27" i="90" s="1"/>
  <c r="E10" i="90"/>
  <c r="C11" i="90"/>
  <c r="D11" i="90"/>
  <c r="E11" i="90"/>
  <c r="C12" i="90"/>
  <c r="D12" i="90"/>
  <c r="E12" i="90"/>
  <c r="E7" i="90"/>
  <c r="D7" i="90"/>
  <c r="D26" i="90" s="1"/>
  <c r="C7" i="90"/>
  <c r="D19" i="90" s="1"/>
  <c r="A2" i="90"/>
  <c r="C8" i="89"/>
  <c r="D8" i="89"/>
  <c r="E8" i="89"/>
  <c r="C9" i="89"/>
  <c r="D9" i="89"/>
  <c r="E9" i="89"/>
  <c r="C10" i="89"/>
  <c r="D20" i="89" s="1"/>
  <c r="D10" i="89"/>
  <c r="D27" i="89" s="1"/>
  <c r="E10" i="89"/>
  <c r="C11" i="89"/>
  <c r="D11" i="89"/>
  <c r="E11" i="89"/>
  <c r="C12" i="89"/>
  <c r="D12" i="89"/>
  <c r="E12" i="89"/>
  <c r="E7" i="89"/>
  <c r="D7" i="89"/>
  <c r="D26" i="89" s="1"/>
  <c r="C7" i="89"/>
  <c r="D19" i="89" s="1"/>
  <c r="A2" i="89"/>
  <c r="C8" i="88"/>
  <c r="D8" i="88"/>
  <c r="E8" i="88"/>
  <c r="C9" i="88"/>
  <c r="D9" i="88"/>
  <c r="E9" i="88"/>
  <c r="C10" i="88"/>
  <c r="D20" i="88" s="1"/>
  <c r="D10" i="88"/>
  <c r="D27" i="88" s="1"/>
  <c r="E10" i="88"/>
  <c r="C11" i="88"/>
  <c r="D11" i="88"/>
  <c r="E11" i="88"/>
  <c r="C12" i="88"/>
  <c r="D12" i="88"/>
  <c r="E12" i="88"/>
  <c r="E7" i="88"/>
  <c r="D7" i="88"/>
  <c r="D26" i="88" s="1"/>
  <c r="C7" i="88"/>
  <c r="D19" i="88" s="1"/>
  <c r="A2" i="88"/>
  <c r="C7" i="87"/>
  <c r="D19" i="87" s="1"/>
  <c r="D7" i="87"/>
  <c r="D26" i="87" s="1"/>
  <c r="E7" i="87"/>
  <c r="C8" i="87"/>
  <c r="D8" i="87"/>
  <c r="E8" i="87"/>
  <c r="C9" i="87"/>
  <c r="D9" i="87"/>
  <c r="E9" i="87"/>
  <c r="C10" i="87"/>
  <c r="D20" i="87" s="1"/>
  <c r="D10" i="87"/>
  <c r="D27" i="87" s="1"/>
  <c r="E10" i="87"/>
  <c r="C11" i="87"/>
  <c r="D11" i="87"/>
  <c r="E11" i="87"/>
  <c r="C12" i="87"/>
  <c r="D12" i="87"/>
  <c r="E12" i="87"/>
  <c r="A2" i="87"/>
  <c r="C8" i="86"/>
  <c r="D8" i="86"/>
  <c r="E8" i="86"/>
  <c r="C9" i="86"/>
  <c r="D9" i="86"/>
  <c r="E9" i="86"/>
  <c r="C10" i="86"/>
  <c r="D20" i="86" s="1"/>
  <c r="D10" i="86"/>
  <c r="D27" i="86" s="1"/>
  <c r="E10" i="86"/>
  <c r="C11" i="86"/>
  <c r="D11" i="86"/>
  <c r="E11" i="86"/>
  <c r="C12" i="86"/>
  <c r="D12" i="86"/>
  <c r="E12" i="86"/>
  <c r="E7" i="86"/>
  <c r="D7" i="86"/>
  <c r="D26" i="86" s="1"/>
  <c r="C7" i="86"/>
  <c r="D19" i="86" s="1"/>
  <c r="A2" i="86"/>
  <c r="C8" i="85"/>
  <c r="D8" i="85"/>
  <c r="E8" i="85"/>
  <c r="C9" i="85"/>
  <c r="D9" i="85"/>
  <c r="E9" i="85"/>
  <c r="C10" i="85"/>
  <c r="D20" i="85" s="1"/>
  <c r="D10" i="85"/>
  <c r="D27" i="85" s="1"/>
  <c r="E10" i="85"/>
  <c r="C11" i="85"/>
  <c r="D11" i="85"/>
  <c r="E11" i="85"/>
  <c r="C12" i="85"/>
  <c r="D12" i="85"/>
  <c r="E12" i="85"/>
  <c r="E7" i="85"/>
  <c r="D7" i="85"/>
  <c r="D26" i="85" s="1"/>
  <c r="C7" i="85"/>
  <c r="D19" i="85" s="1"/>
  <c r="A2" i="85"/>
  <c r="C8" i="84"/>
  <c r="D8" i="84"/>
  <c r="E8" i="84"/>
  <c r="C9" i="84"/>
  <c r="D9" i="84"/>
  <c r="E9" i="84"/>
  <c r="C10" i="84"/>
  <c r="D20" i="84" s="1"/>
  <c r="D10" i="84"/>
  <c r="D27" i="84" s="1"/>
  <c r="E10" i="84"/>
  <c r="C11" i="84"/>
  <c r="D11" i="84"/>
  <c r="E11" i="84"/>
  <c r="C12" i="84"/>
  <c r="D12" i="84"/>
  <c r="E12" i="84"/>
  <c r="E7" i="84"/>
  <c r="D7" i="84"/>
  <c r="D26" i="84" s="1"/>
  <c r="C7" i="84"/>
  <c r="D19" i="84" s="1"/>
  <c r="A2" i="84"/>
  <c r="C8" i="83"/>
  <c r="D8" i="83"/>
  <c r="E8" i="83"/>
  <c r="C9" i="83"/>
  <c r="D9" i="83"/>
  <c r="E9" i="83"/>
  <c r="C10" i="83"/>
  <c r="D20" i="83" s="1"/>
  <c r="D10" i="83"/>
  <c r="D27" i="83" s="1"/>
  <c r="E10" i="83"/>
  <c r="C11" i="83"/>
  <c r="D11" i="83"/>
  <c r="E11" i="83"/>
  <c r="C12" i="83"/>
  <c r="D12" i="83"/>
  <c r="E12" i="83"/>
  <c r="E7" i="83"/>
  <c r="D7" i="83"/>
  <c r="D26" i="83" s="1"/>
  <c r="C7" i="83"/>
  <c r="D19" i="83" s="1"/>
  <c r="A2" i="83"/>
  <c r="C8" i="82"/>
  <c r="D8" i="82"/>
  <c r="E8" i="82"/>
  <c r="C9" i="82"/>
  <c r="D9" i="82"/>
  <c r="E9" i="82"/>
  <c r="C10" i="82"/>
  <c r="D20" i="82" s="1"/>
  <c r="D10" i="82"/>
  <c r="D27" i="82" s="1"/>
  <c r="E10" i="82"/>
  <c r="C11" i="82"/>
  <c r="D11" i="82"/>
  <c r="E11" i="82"/>
  <c r="C12" i="82"/>
  <c r="D12" i="82"/>
  <c r="E12" i="82"/>
  <c r="E7" i="82"/>
  <c r="D7" i="82"/>
  <c r="D26" i="82" s="1"/>
  <c r="C7" i="82"/>
  <c r="D19" i="82" s="1"/>
  <c r="A2" i="82"/>
  <c r="C8" i="81"/>
  <c r="D8" i="81"/>
  <c r="E8" i="81"/>
  <c r="C9" i="81"/>
  <c r="D9" i="81"/>
  <c r="E9" i="81"/>
  <c r="C10" i="81"/>
  <c r="D20" i="81" s="1"/>
  <c r="D10" i="81"/>
  <c r="D27" i="81" s="1"/>
  <c r="C11" i="81"/>
  <c r="D11" i="81"/>
  <c r="E11" i="81"/>
  <c r="C12" i="81"/>
  <c r="D12" i="81"/>
  <c r="E12" i="81"/>
  <c r="E7" i="81"/>
  <c r="D7" i="81"/>
  <c r="D26" i="81" s="1"/>
  <c r="C7" i="81"/>
  <c r="D19" i="81" s="1"/>
  <c r="A2" i="81"/>
  <c r="C8" i="80"/>
  <c r="D8" i="80"/>
  <c r="E8" i="80"/>
  <c r="E7" i="80"/>
  <c r="D7" i="80"/>
  <c r="C7" i="80"/>
  <c r="A2" i="80"/>
  <c r="E8" i="79"/>
  <c r="E7" i="79"/>
  <c r="C8" i="79"/>
  <c r="D8" i="79"/>
  <c r="D7" i="79"/>
  <c r="C7" i="79"/>
  <c r="C6" i="79" s="1"/>
  <c r="A2" i="79"/>
  <c r="E10" i="78"/>
  <c r="D10" i="78"/>
  <c r="C10" i="78"/>
  <c r="C8" i="78"/>
  <c r="D8" i="78"/>
  <c r="E8" i="78"/>
  <c r="C9" i="78"/>
  <c r="D9" i="78"/>
  <c r="E9" i="78"/>
  <c r="E7" i="78"/>
  <c r="D7" i="78"/>
  <c r="A2" i="78"/>
  <c r="E12" i="77"/>
  <c r="D12" i="77"/>
  <c r="C12" i="77"/>
  <c r="E11" i="77"/>
  <c r="D11" i="77"/>
  <c r="C11" i="77"/>
  <c r="E10" i="77"/>
  <c r="D10" i="77"/>
  <c r="D27" i="77" s="1"/>
  <c r="C10" i="77"/>
  <c r="D20" i="77" s="1"/>
  <c r="E9" i="77"/>
  <c r="D9" i="77"/>
  <c r="C9" i="77"/>
  <c r="E8" i="77"/>
  <c r="D8" i="77"/>
  <c r="C8" i="77"/>
  <c r="E7" i="77"/>
  <c r="D7" i="77"/>
  <c r="D26" i="77" s="1"/>
  <c r="C7" i="77"/>
  <c r="D19" i="77" s="1"/>
  <c r="A2" i="77"/>
  <c r="C8" i="76"/>
  <c r="D8" i="76"/>
  <c r="E8" i="76"/>
  <c r="C9" i="76"/>
  <c r="D9" i="76"/>
  <c r="E9" i="76"/>
  <c r="C10" i="76"/>
  <c r="D20" i="76" s="1"/>
  <c r="D10" i="76"/>
  <c r="D27" i="76" s="1"/>
  <c r="E10" i="76"/>
  <c r="C11" i="76"/>
  <c r="D11" i="76"/>
  <c r="E11" i="76"/>
  <c r="C12" i="76"/>
  <c r="D12" i="76"/>
  <c r="E12" i="76"/>
  <c r="E7" i="76"/>
  <c r="D7" i="76"/>
  <c r="D26" i="76" s="1"/>
  <c r="C7" i="76"/>
  <c r="D19" i="76" s="1"/>
  <c r="A2" i="76"/>
  <c r="C8" i="75"/>
  <c r="D8" i="75"/>
  <c r="E8" i="75"/>
  <c r="C9" i="75"/>
  <c r="D9" i="75"/>
  <c r="E9" i="75"/>
  <c r="C10" i="75"/>
  <c r="D20" i="75" s="1"/>
  <c r="D10" i="75"/>
  <c r="D27" i="75" s="1"/>
  <c r="E10" i="75"/>
  <c r="C11" i="75"/>
  <c r="D11" i="75"/>
  <c r="E11" i="75"/>
  <c r="C12" i="75"/>
  <c r="D12" i="75"/>
  <c r="E12" i="75"/>
  <c r="E7" i="75"/>
  <c r="D7" i="75"/>
  <c r="D26" i="75" s="1"/>
  <c r="C7" i="75"/>
  <c r="D19" i="75" s="1"/>
  <c r="A2" i="75"/>
  <c r="C8" i="3"/>
  <c r="D8" i="3"/>
  <c r="E8" i="3"/>
  <c r="C9" i="3"/>
  <c r="D9" i="3"/>
  <c r="E9" i="3"/>
  <c r="C10" i="3"/>
  <c r="D20" i="3" s="1"/>
  <c r="D10" i="3"/>
  <c r="D27" i="3" s="1"/>
  <c r="E10" i="3"/>
  <c r="C11" i="3"/>
  <c r="D11" i="3"/>
  <c r="E11" i="3"/>
  <c r="C12" i="3"/>
  <c r="D12" i="3"/>
  <c r="E12" i="3"/>
  <c r="E7" i="3"/>
  <c r="D7" i="3"/>
  <c r="D26" i="3" s="1"/>
  <c r="C7" i="3"/>
  <c r="D19" i="3" s="1"/>
  <c r="C8" i="73"/>
  <c r="D8" i="73"/>
  <c r="E8" i="73"/>
  <c r="C9" i="73"/>
  <c r="D9" i="73"/>
  <c r="E9" i="73"/>
  <c r="C10" i="73"/>
  <c r="D20" i="73" s="1"/>
  <c r="D10" i="73"/>
  <c r="D27" i="73" s="1"/>
  <c r="E10" i="73"/>
  <c r="C11" i="73"/>
  <c r="D11" i="73"/>
  <c r="E11" i="73"/>
  <c r="C12" i="73"/>
  <c r="D12" i="73"/>
  <c r="E12" i="73"/>
  <c r="E7" i="73"/>
  <c r="D7" i="73"/>
  <c r="D26" i="73" s="1"/>
  <c r="C7" i="73"/>
  <c r="D19" i="73" s="1"/>
  <c r="A2" i="73"/>
  <c r="C8" i="72"/>
  <c r="D8" i="72"/>
  <c r="E8" i="72"/>
  <c r="C9" i="72"/>
  <c r="D9" i="72"/>
  <c r="E9" i="72"/>
  <c r="C10" i="72"/>
  <c r="D20" i="72" s="1"/>
  <c r="D10" i="72"/>
  <c r="D27" i="72" s="1"/>
  <c r="E10" i="72"/>
  <c r="C11" i="72"/>
  <c r="D11" i="72"/>
  <c r="E11" i="72"/>
  <c r="C12" i="72"/>
  <c r="D12" i="72"/>
  <c r="E12" i="72"/>
  <c r="E7" i="72"/>
  <c r="D7" i="72"/>
  <c r="D26" i="72" s="1"/>
  <c r="C7" i="72"/>
  <c r="D19" i="72" s="1"/>
  <c r="A2" i="72"/>
  <c r="C8" i="71"/>
  <c r="D8" i="71"/>
  <c r="E8" i="71"/>
  <c r="C9" i="71"/>
  <c r="D9" i="71"/>
  <c r="E9" i="71"/>
  <c r="C10" i="71"/>
  <c r="D20" i="71" s="1"/>
  <c r="D10" i="71"/>
  <c r="D27" i="71" s="1"/>
  <c r="E10" i="71"/>
  <c r="C11" i="71"/>
  <c r="D11" i="71"/>
  <c r="E11" i="71"/>
  <c r="C12" i="71"/>
  <c r="D12" i="71"/>
  <c r="E12" i="71"/>
  <c r="E7" i="71"/>
  <c r="D7" i="71"/>
  <c r="D26" i="71" s="1"/>
  <c r="C7" i="71"/>
  <c r="D19" i="71" s="1"/>
  <c r="A2" i="71"/>
  <c r="C8" i="70"/>
  <c r="D8" i="70"/>
  <c r="E8" i="70"/>
  <c r="C9" i="70"/>
  <c r="D9" i="70"/>
  <c r="E9" i="70"/>
  <c r="C10" i="70"/>
  <c r="D20" i="70" s="1"/>
  <c r="D10" i="70"/>
  <c r="D27" i="70" s="1"/>
  <c r="E10" i="70"/>
  <c r="C11" i="70"/>
  <c r="D11" i="70"/>
  <c r="E11" i="70"/>
  <c r="C12" i="70"/>
  <c r="D12" i="70"/>
  <c r="E12" i="70"/>
  <c r="E7" i="70"/>
  <c r="D7" i="70"/>
  <c r="D26" i="70" s="1"/>
  <c r="C7" i="70"/>
  <c r="D19" i="70" s="1"/>
  <c r="A2" i="70"/>
  <c r="C8" i="69"/>
  <c r="D8" i="69"/>
  <c r="E8" i="69"/>
  <c r="C9" i="69"/>
  <c r="D9" i="69"/>
  <c r="E9" i="69"/>
  <c r="C10" i="69"/>
  <c r="D20" i="69" s="1"/>
  <c r="D10" i="69"/>
  <c r="D27" i="69" s="1"/>
  <c r="E10" i="69"/>
  <c r="C11" i="69"/>
  <c r="D11" i="69"/>
  <c r="E11" i="69"/>
  <c r="C12" i="69"/>
  <c r="D12" i="69"/>
  <c r="E12" i="69"/>
  <c r="E7" i="69"/>
  <c r="D7" i="69"/>
  <c r="D26" i="69" s="1"/>
  <c r="C7" i="69"/>
  <c r="D19" i="69" s="1"/>
  <c r="A2" i="69"/>
  <c r="C8" i="68"/>
  <c r="D8" i="68"/>
  <c r="E8" i="68"/>
  <c r="C9" i="68"/>
  <c r="D9" i="68"/>
  <c r="E9" i="68"/>
  <c r="C10" i="68"/>
  <c r="D20" i="68" s="1"/>
  <c r="D10" i="68"/>
  <c r="D27" i="68" s="1"/>
  <c r="E10" i="68"/>
  <c r="C11" i="68"/>
  <c r="D11" i="68"/>
  <c r="E11" i="68"/>
  <c r="C12" i="68"/>
  <c r="D12" i="68"/>
  <c r="E12" i="68"/>
  <c r="E7" i="68"/>
  <c r="D7" i="68"/>
  <c r="D26" i="68" s="1"/>
  <c r="C7" i="68"/>
  <c r="D19" i="68" s="1"/>
  <c r="A2" i="68"/>
  <c r="C8" i="67"/>
  <c r="D8" i="67"/>
  <c r="E8" i="67"/>
  <c r="C9" i="67"/>
  <c r="D9" i="67"/>
  <c r="E9" i="67"/>
  <c r="C10" i="67"/>
  <c r="D20" i="67" s="1"/>
  <c r="D10" i="67"/>
  <c r="D27" i="67" s="1"/>
  <c r="E10" i="67"/>
  <c r="C11" i="67"/>
  <c r="D11" i="67"/>
  <c r="E11" i="67"/>
  <c r="C12" i="67"/>
  <c r="D12" i="67"/>
  <c r="E12" i="67"/>
  <c r="E7" i="67"/>
  <c r="D7" i="67"/>
  <c r="D26" i="67" s="1"/>
  <c r="C7" i="67"/>
  <c r="D19" i="67" s="1"/>
  <c r="A2" i="67"/>
  <c r="C8" i="66"/>
  <c r="D8" i="66"/>
  <c r="E8" i="66"/>
  <c r="C9" i="66"/>
  <c r="D9" i="66"/>
  <c r="E9" i="66"/>
  <c r="C10" i="66"/>
  <c r="D20" i="66" s="1"/>
  <c r="D10" i="66"/>
  <c r="D27" i="66" s="1"/>
  <c r="E10" i="66"/>
  <c r="C11" i="66"/>
  <c r="D11" i="66"/>
  <c r="E11" i="66"/>
  <c r="C12" i="66"/>
  <c r="D12" i="66"/>
  <c r="E12" i="66"/>
  <c r="E7" i="66"/>
  <c r="D7" i="66"/>
  <c r="D26" i="66" s="1"/>
  <c r="C7" i="66"/>
  <c r="D19" i="66" s="1"/>
  <c r="A2" i="66"/>
  <c r="C8" i="65"/>
  <c r="D8" i="65"/>
  <c r="E8" i="65"/>
  <c r="C9" i="65"/>
  <c r="D9" i="65"/>
  <c r="E9" i="65"/>
  <c r="C10" i="65"/>
  <c r="D20" i="65" s="1"/>
  <c r="D10" i="65"/>
  <c r="D27" i="65" s="1"/>
  <c r="E10" i="65"/>
  <c r="C11" i="65"/>
  <c r="D11" i="65"/>
  <c r="E11" i="65"/>
  <c r="C12" i="65"/>
  <c r="D12" i="65"/>
  <c r="E12" i="65"/>
  <c r="E7" i="65"/>
  <c r="D7" i="65"/>
  <c r="D26" i="65" s="1"/>
  <c r="C7" i="65"/>
  <c r="D19" i="65" s="1"/>
  <c r="A2" i="65"/>
  <c r="C8" i="64"/>
  <c r="D8" i="64"/>
  <c r="E8" i="64"/>
  <c r="C9" i="64"/>
  <c r="D9" i="64"/>
  <c r="E9" i="64"/>
  <c r="C10" i="64"/>
  <c r="D20" i="64" s="1"/>
  <c r="D10" i="64"/>
  <c r="D27" i="64" s="1"/>
  <c r="E10" i="64"/>
  <c r="C11" i="64"/>
  <c r="D11" i="64"/>
  <c r="E11" i="64"/>
  <c r="C12" i="64"/>
  <c r="D12" i="64"/>
  <c r="E12" i="64"/>
  <c r="E7" i="64"/>
  <c r="D7" i="64"/>
  <c r="D26" i="64" s="1"/>
  <c r="C7" i="64"/>
  <c r="D19" i="64" s="1"/>
  <c r="A2" i="64"/>
  <c r="C8" i="63"/>
  <c r="D8" i="63"/>
  <c r="E8" i="63"/>
  <c r="C9" i="63"/>
  <c r="D9" i="63"/>
  <c r="E9" i="63"/>
  <c r="C10" i="63"/>
  <c r="D20" i="63" s="1"/>
  <c r="D10" i="63"/>
  <c r="D27" i="63" s="1"/>
  <c r="E10" i="63"/>
  <c r="C11" i="63"/>
  <c r="D11" i="63"/>
  <c r="E11" i="63"/>
  <c r="C12" i="63"/>
  <c r="D12" i="63"/>
  <c r="E12" i="63"/>
  <c r="E7" i="63"/>
  <c r="D7" i="63"/>
  <c r="D26" i="63" s="1"/>
  <c r="C7" i="63"/>
  <c r="D19" i="63" s="1"/>
  <c r="A2" i="63"/>
  <c r="C8" i="62"/>
  <c r="D8" i="62"/>
  <c r="E8" i="62"/>
  <c r="C9" i="62"/>
  <c r="D9" i="62"/>
  <c r="E9" i="62"/>
  <c r="C10" i="62"/>
  <c r="D20" i="62" s="1"/>
  <c r="D10" i="62"/>
  <c r="D27" i="62" s="1"/>
  <c r="E10" i="62"/>
  <c r="C11" i="62"/>
  <c r="D11" i="62"/>
  <c r="E11" i="62"/>
  <c r="C12" i="62"/>
  <c r="D12" i="62"/>
  <c r="E12" i="62"/>
  <c r="E7" i="62"/>
  <c r="D7" i="62"/>
  <c r="D26" i="62" s="1"/>
  <c r="C7" i="62"/>
  <c r="D19" i="62" s="1"/>
  <c r="A2" i="62"/>
  <c r="C8" i="61"/>
  <c r="D8" i="61"/>
  <c r="E8" i="61"/>
  <c r="C9" i="61"/>
  <c r="D9" i="61"/>
  <c r="E9" i="61"/>
  <c r="C10" i="61"/>
  <c r="D20" i="61" s="1"/>
  <c r="D10" i="61"/>
  <c r="D27" i="61" s="1"/>
  <c r="E10" i="61"/>
  <c r="C11" i="61"/>
  <c r="D11" i="61"/>
  <c r="E11" i="61"/>
  <c r="C12" i="61"/>
  <c r="D12" i="61"/>
  <c r="E12" i="61"/>
  <c r="E7" i="61"/>
  <c r="D7" i="61"/>
  <c r="D26" i="61" s="1"/>
  <c r="C7" i="61"/>
  <c r="D19" i="61" s="1"/>
  <c r="A2" i="61"/>
  <c r="C8" i="60"/>
  <c r="D8" i="60"/>
  <c r="E8" i="60"/>
  <c r="C9" i="60"/>
  <c r="D9" i="60"/>
  <c r="E9" i="60"/>
  <c r="C10" i="60"/>
  <c r="D20" i="60" s="1"/>
  <c r="D10" i="60"/>
  <c r="D27" i="60" s="1"/>
  <c r="E10" i="60"/>
  <c r="C11" i="60"/>
  <c r="D11" i="60"/>
  <c r="E11" i="60"/>
  <c r="C12" i="60"/>
  <c r="D12" i="60"/>
  <c r="E12" i="60"/>
  <c r="E7" i="60"/>
  <c r="D7" i="60"/>
  <c r="D26" i="60" s="1"/>
  <c r="C7" i="60"/>
  <c r="D19" i="60" s="1"/>
  <c r="A2" i="60"/>
  <c r="C8" i="59"/>
  <c r="D8" i="59"/>
  <c r="E8" i="59"/>
  <c r="C9" i="59"/>
  <c r="D9" i="59"/>
  <c r="E9" i="59"/>
  <c r="C10" i="59"/>
  <c r="D20" i="59" s="1"/>
  <c r="D10" i="59"/>
  <c r="D27" i="59" s="1"/>
  <c r="E10" i="59"/>
  <c r="C11" i="59"/>
  <c r="D11" i="59"/>
  <c r="E11" i="59"/>
  <c r="C12" i="59"/>
  <c r="D12" i="59"/>
  <c r="E12" i="59"/>
  <c r="E7" i="59"/>
  <c r="D7" i="59"/>
  <c r="D26" i="59" s="1"/>
  <c r="C7" i="59"/>
  <c r="D19" i="59" s="1"/>
  <c r="A2" i="59"/>
  <c r="C8" i="58"/>
  <c r="D8" i="58"/>
  <c r="E8" i="58"/>
  <c r="C9" i="58"/>
  <c r="D9" i="58"/>
  <c r="E9" i="58"/>
  <c r="C10" i="58"/>
  <c r="D20" i="58" s="1"/>
  <c r="D10" i="58"/>
  <c r="D27" i="58" s="1"/>
  <c r="E10" i="58"/>
  <c r="C11" i="58"/>
  <c r="D11" i="58"/>
  <c r="E11" i="58"/>
  <c r="C12" i="58"/>
  <c r="D12" i="58"/>
  <c r="E12" i="58"/>
  <c r="E7" i="58"/>
  <c r="D7" i="58"/>
  <c r="D26" i="58" s="1"/>
  <c r="C7" i="58"/>
  <c r="D19" i="58" s="1"/>
  <c r="A2" i="58"/>
  <c r="C8" i="57"/>
  <c r="D8" i="57"/>
  <c r="E8" i="57"/>
  <c r="C9" i="57"/>
  <c r="D9" i="57"/>
  <c r="E9" i="57"/>
  <c r="C10" i="57"/>
  <c r="D20" i="57" s="1"/>
  <c r="D10" i="57"/>
  <c r="D27" i="57" s="1"/>
  <c r="E10" i="57"/>
  <c r="C11" i="57"/>
  <c r="D11" i="57"/>
  <c r="E11" i="57"/>
  <c r="C12" i="57"/>
  <c r="D12" i="57"/>
  <c r="E12" i="57"/>
  <c r="E7" i="57"/>
  <c r="D7" i="57"/>
  <c r="D26" i="57" s="1"/>
  <c r="C7" i="57"/>
  <c r="D19" i="57" s="1"/>
  <c r="A2" i="57"/>
  <c r="C8" i="56"/>
  <c r="D8" i="56"/>
  <c r="E8" i="56"/>
  <c r="C9" i="56"/>
  <c r="D9" i="56"/>
  <c r="E9" i="56"/>
  <c r="C10" i="56"/>
  <c r="D20" i="56" s="1"/>
  <c r="D10" i="56"/>
  <c r="D27" i="56" s="1"/>
  <c r="E10" i="56"/>
  <c r="C11" i="56"/>
  <c r="D11" i="56"/>
  <c r="E11" i="56"/>
  <c r="C12" i="56"/>
  <c r="D12" i="56"/>
  <c r="E12" i="56"/>
  <c r="E7" i="56"/>
  <c r="D7" i="56"/>
  <c r="D26" i="56" s="1"/>
  <c r="C7" i="56"/>
  <c r="D19" i="56" s="1"/>
  <c r="A2" i="56"/>
  <c r="C7" i="55"/>
  <c r="D19" i="55" s="1"/>
  <c r="D7" i="55"/>
  <c r="D26" i="55" s="1"/>
  <c r="E7" i="55"/>
  <c r="C9" i="55"/>
  <c r="D9" i="55"/>
  <c r="E9" i="55"/>
  <c r="C10" i="55"/>
  <c r="D20" i="55" s="1"/>
  <c r="D10" i="55"/>
  <c r="D27" i="55" s="1"/>
  <c r="E10" i="55"/>
  <c r="C11" i="55"/>
  <c r="D11" i="55"/>
  <c r="E11" i="55"/>
  <c r="C12" i="55"/>
  <c r="D12" i="55"/>
  <c r="E12" i="55"/>
  <c r="E8" i="55"/>
  <c r="D8" i="55"/>
  <c r="D25" i="55" s="1"/>
  <c r="C8" i="55"/>
  <c r="A2" i="55"/>
  <c r="C8" i="54"/>
  <c r="D8" i="54"/>
  <c r="E8" i="54"/>
  <c r="C9" i="54"/>
  <c r="D9" i="54"/>
  <c r="E9" i="54"/>
  <c r="C10" i="54"/>
  <c r="D20" i="54" s="1"/>
  <c r="D10" i="54"/>
  <c r="D27" i="54" s="1"/>
  <c r="E10" i="54"/>
  <c r="C11" i="54"/>
  <c r="D11" i="54"/>
  <c r="E11" i="54"/>
  <c r="C12" i="54"/>
  <c r="D12" i="54"/>
  <c r="E12" i="54"/>
  <c r="E7" i="54"/>
  <c r="D7" i="54"/>
  <c r="D26" i="54" s="1"/>
  <c r="C7" i="54"/>
  <c r="D19" i="54" s="1"/>
  <c r="A2" i="54"/>
  <c r="C8" i="53"/>
  <c r="D8" i="53"/>
  <c r="E8" i="53"/>
  <c r="C9" i="53"/>
  <c r="D9" i="53"/>
  <c r="E9" i="53"/>
  <c r="C10" i="53"/>
  <c r="D20" i="53" s="1"/>
  <c r="D10" i="53"/>
  <c r="D27" i="53" s="1"/>
  <c r="E10" i="53"/>
  <c r="C11" i="53"/>
  <c r="D11" i="53"/>
  <c r="E11" i="53"/>
  <c r="C12" i="53"/>
  <c r="D12" i="53"/>
  <c r="E12" i="53"/>
  <c r="E7" i="53"/>
  <c r="D7" i="53"/>
  <c r="D26" i="53" s="1"/>
  <c r="C7" i="53"/>
  <c r="D19" i="53" s="1"/>
  <c r="A2" i="53"/>
  <c r="E8" i="51"/>
  <c r="E7" i="51"/>
  <c r="E8" i="50"/>
  <c r="E9" i="50"/>
  <c r="E10" i="50"/>
  <c r="E11" i="50"/>
  <c r="E12" i="50"/>
  <c r="E7" i="50"/>
  <c r="E8" i="49"/>
  <c r="E9" i="49"/>
  <c r="E10" i="49"/>
  <c r="E11" i="49"/>
  <c r="E12" i="49"/>
  <c r="E7" i="49"/>
  <c r="E8" i="48"/>
  <c r="E9" i="48"/>
  <c r="E10" i="48"/>
  <c r="E11" i="48"/>
  <c r="E12" i="48"/>
  <c r="E7" i="48"/>
  <c r="E8" i="47"/>
  <c r="E9" i="47"/>
  <c r="E10" i="47"/>
  <c r="E11" i="47"/>
  <c r="E12" i="47"/>
  <c r="E7" i="47"/>
  <c r="E8" i="46"/>
  <c r="E9" i="46"/>
  <c r="E10" i="46"/>
  <c r="E11" i="46"/>
  <c r="E12" i="46"/>
  <c r="E7" i="46"/>
  <c r="E8" i="45"/>
  <c r="E9" i="45"/>
  <c r="E10" i="45"/>
  <c r="E11" i="45"/>
  <c r="E12" i="45"/>
  <c r="E7" i="45"/>
  <c r="E8" i="44"/>
  <c r="E9" i="44"/>
  <c r="E10" i="44"/>
  <c r="E11" i="44"/>
  <c r="E12" i="44"/>
  <c r="E7" i="44"/>
  <c r="E8" i="43"/>
  <c r="E9" i="43"/>
  <c r="E10" i="43"/>
  <c r="E11" i="43"/>
  <c r="E12" i="43"/>
  <c r="E7" i="43"/>
  <c r="E8" i="42"/>
  <c r="E9" i="42"/>
  <c r="E10" i="42"/>
  <c r="E11" i="42"/>
  <c r="E12" i="42"/>
  <c r="E7" i="42"/>
  <c r="E8" i="41"/>
  <c r="E9" i="41"/>
  <c r="E10" i="41"/>
  <c r="E11" i="41"/>
  <c r="E12" i="41"/>
  <c r="E7" i="41"/>
  <c r="E8" i="40"/>
  <c r="E7" i="40"/>
  <c r="E8" i="39"/>
  <c r="E9" i="39"/>
  <c r="E10" i="39"/>
  <c r="E11" i="39"/>
  <c r="E12" i="39"/>
  <c r="E7" i="39"/>
  <c r="E8" i="38"/>
  <c r="E9" i="38"/>
  <c r="E10" i="38"/>
  <c r="E11" i="38"/>
  <c r="E12" i="38"/>
  <c r="E7" i="38"/>
  <c r="E8" i="37"/>
  <c r="E9" i="37"/>
  <c r="E10" i="37"/>
  <c r="E11" i="37"/>
  <c r="E12" i="37"/>
  <c r="E7" i="37"/>
  <c r="E8" i="36"/>
  <c r="E7" i="36"/>
  <c r="E8" i="35"/>
  <c r="E9" i="35"/>
  <c r="E10" i="35"/>
  <c r="E11" i="35"/>
  <c r="E12" i="35"/>
  <c r="E7" i="35"/>
  <c r="E8" i="34"/>
  <c r="E9" i="34"/>
  <c r="E10" i="34"/>
  <c r="E11" i="34"/>
  <c r="E12" i="34"/>
  <c r="E7" i="34"/>
  <c r="E8" i="33"/>
  <c r="E9" i="33"/>
  <c r="E10" i="33"/>
  <c r="E11" i="33"/>
  <c r="E12" i="33"/>
  <c r="E7" i="33"/>
  <c r="E8" i="32"/>
  <c r="E9" i="32"/>
  <c r="E10" i="32"/>
  <c r="E11" i="32"/>
  <c r="E12" i="32"/>
  <c r="E7" i="32"/>
  <c r="E12" i="31"/>
  <c r="E8" i="31"/>
  <c r="E9" i="31"/>
  <c r="E10" i="31"/>
  <c r="E11" i="31"/>
  <c r="E7" i="31"/>
  <c r="E8" i="30"/>
  <c r="E9" i="30"/>
  <c r="E10" i="30"/>
  <c r="E11" i="30"/>
  <c r="E12" i="30"/>
  <c r="E7" i="30"/>
  <c r="E8" i="29"/>
  <c r="E9" i="29"/>
  <c r="E10" i="29"/>
  <c r="E11" i="29"/>
  <c r="E12" i="29"/>
  <c r="E7" i="29"/>
  <c r="E8" i="28"/>
  <c r="E9" i="28"/>
  <c r="E10" i="28"/>
  <c r="E11" i="28"/>
  <c r="E12" i="28"/>
  <c r="E8" i="26"/>
  <c r="E9" i="26"/>
  <c r="E10" i="26"/>
  <c r="E11" i="26"/>
  <c r="E12" i="26"/>
  <c r="E7" i="26"/>
  <c r="E8" i="25"/>
  <c r="E9" i="25"/>
  <c r="E10" i="25"/>
  <c r="E11" i="25"/>
  <c r="E12" i="25"/>
  <c r="E7" i="25"/>
  <c r="E8" i="24"/>
  <c r="E9" i="24"/>
  <c r="E10" i="24"/>
  <c r="E11" i="24"/>
  <c r="E12" i="24"/>
  <c r="E7" i="24"/>
  <c r="E8" i="23"/>
  <c r="E9" i="23"/>
  <c r="E10" i="23"/>
  <c r="E11" i="23"/>
  <c r="E12" i="23"/>
  <c r="E7" i="23"/>
  <c r="E8" i="22"/>
  <c r="E7" i="22"/>
  <c r="E8" i="21"/>
  <c r="E9" i="21"/>
  <c r="E10" i="21"/>
  <c r="E11" i="21"/>
  <c r="E12" i="21"/>
  <c r="E7" i="21"/>
  <c r="E8" i="20"/>
  <c r="E9" i="20"/>
  <c r="E10" i="20"/>
  <c r="E11" i="20"/>
  <c r="E12" i="20"/>
  <c r="E7" i="20"/>
  <c r="E8" i="19"/>
  <c r="E9" i="19"/>
  <c r="E10" i="19"/>
  <c r="E11" i="19"/>
  <c r="E12" i="19"/>
  <c r="E7" i="19"/>
  <c r="E8" i="18"/>
  <c r="E9" i="18"/>
  <c r="E10" i="18"/>
  <c r="E11" i="18"/>
  <c r="E12" i="18"/>
  <c r="E7" i="18"/>
  <c r="E8" i="17"/>
  <c r="E9" i="17"/>
  <c r="E10" i="17"/>
  <c r="E11" i="17"/>
  <c r="E12" i="17"/>
  <c r="E7" i="17"/>
  <c r="E8" i="16"/>
  <c r="E9" i="16"/>
  <c r="E10" i="16"/>
  <c r="E11" i="16"/>
  <c r="E12" i="16"/>
  <c r="E7" i="16"/>
  <c r="E8" i="15"/>
  <c r="E9" i="15"/>
  <c r="E10" i="15"/>
  <c r="E11" i="15"/>
  <c r="E12" i="15"/>
  <c r="E7" i="15"/>
  <c r="E8" i="13"/>
  <c r="E9" i="13"/>
  <c r="E10" i="13"/>
  <c r="E11" i="13"/>
  <c r="E12" i="13"/>
  <c r="E7" i="13"/>
  <c r="E8" i="12"/>
  <c r="E9" i="12"/>
  <c r="E10" i="12"/>
  <c r="E11" i="12"/>
  <c r="E12" i="12"/>
  <c r="E7" i="12"/>
  <c r="E8" i="11"/>
  <c r="E9" i="11"/>
  <c r="E10" i="11"/>
  <c r="E11" i="11"/>
  <c r="E12" i="11"/>
  <c r="E7" i="11"/>
  <c r="E8" i="10"/>
  <c r="E9" i="10"/>
  <c r="E10" i="10"/>
  <c r="E11" i="10"/>
  <c r="E12" i="10"/>
  <c r="E7" i="10"/>
  <c r="E8" i="9"/>
  <c r="E9" i="9"/>
  <c r="E10" i="9"/>
  <c r="E11" i="9"/>
  <c r="E12" i="9"/>
  <c r="E7" i="9"/>
  <c r="E8" i="8"/>
  <c r="E9" i="8"/>
  <c r="E10" i="8"/>
  <c r="E11" i="8"/>
  <c r="E12" i="8"/>
  <c r="E7" i="8"/>
  <c r="E8" i="14"/>
  <c r="E9" i="14"/>
  <c r="E10" i="14"/>
  <c r="E11" i="14"/>
  <c r="E12" i="14"/>
  <c r="E7" i="14"/>
  <c r="E8" i="52"/>
  <c r="E7" i="52"/>
  <c r="C8" i="52"/>
  <c r="D8" i="52"/>
  <c r="D7" i="52"/>
  <c r="C7" i="52"/>
  <c r="A2" i="52"/>
  <c r="C8" i="51"/>
  <c r="D8" i="51"/>
  <c r="D7" i="51"/>
  <c r="C7" i="51"/>
  <c r="A2" i="51"/>
  <c r="C8" i="50"/>
  <c r="D8" i="50"/>
  <c r="C9" i="50"/>
  <c r="D9" i="50"/>
  <c r="C10" i="50"/>
  <c r="D20" i="50" s="1"/>
  <c r="D10" i="50"/>
  <c r="D27" i="50" s="1"/>
  <c r="C11" i="50"/>
  <c r="D11" i="50"/>
  <c r="C12" i="50"/>
  <c r="D12" i="50"/>
  <c r="D7" i="50"/>
  <c r="D26" i="50" s="1"/>
  <c r="C7" i="50"/>
  <c r="D19" i="50" s="1"/>
  <c r="A2" i="50"/>
  <c r="C8" i="49"/>
  <c r="D8" i="49"/>
  <c r="C9" i="49"/>
  <c r="D9" i="49"/>
  <c r="C10" i="49"/>
  <c r="D20" i="49" s="1"/>
  <c r="D10" i="49"/>
  <c r="D27" i="49" s="1"/>
  <c r="C11" i="49"/>
  <c r="D11" i="49"/>
  <c r="C12" i="49"/>
  <c r="D12" i="49"/>
  <c r="D7" i="49"/>
  <c r="D26" i="49" s="1"/>
  <c r="C7" i="49"/>
  <c r="D19" i="49" s="1"/>
  <c r="A2" i="49"/>
  <c r="C8" i="48"/>
  <c r="D8" i="48"/>
  <c r="C9" i="48"/>
  <c r="D9" i="48"/>
  <c r="C10" i="48"/>
  <c r="D20" i="48" s="1"/>
  <c r="D10" i="48"/>
  <c r="D27" i="48" s="1"/>
  <c r="C11" i="48"/>
  <c r="D11" i="48"/>
  <c r="C12" i="48"/>
  <c r="D12" i="48"/>
  <c r="D7" i="48"/>
  <c r="D26" i="48" s="1"/>
  <c r="C7" i="48"/>
  <c r="D19" i="48" s="1"/>
  <c r="A2" i="48"/>
  <c r="C8" i="47"/>
  <c r="D8" i="47"/>
  <c r="C9" i="47"/>
  <c r="D9" i="47"/>
  <c r="C10" i="47"/>
  <c r="D20" i="47" s="1"/>
  <c r="D10" i="47"/>
  <c r="D27" i="47" s="1"/>
  <c r="C11" i="47"/>
  <c r="D11" i="47"/>
  <c r="C12" i="47"/>
  <c r="D12" i="47"/>
  <c r="D7" i="47"/>
  <c r="D26" i="47" s="1"/>
  <c r="C7" i="47"/>
  <c r="D19" i="47" s="1"/>
  <c r="A2" i="47"/>
  <c r="C8" i="46"/>
  <c r="D8" i="46"/>
  <c r="C9" i="46"/>
  <c r="D9" i="46"/>
  <c r="C10" i="46"/>
  <c r="D20" i="46" s="1"/>
  <c r="D10" i="46"/>
  <c r="D27" i="46" s="1"/>
  <c r="C11" i="46"/>
  <c r="D11" i="46"/>
  <c r="C12" i="46"/>
  <c r="D12" i="46"/>
  <c r="D7" i="46"/>
  <c r="D26" i="46" s="1"/>
  <c r="C7" i="46"/>
  <c r="D19" i="46" s="1"/>
  <c r="A2" i="46"/>
  <c r="C8" i="45"/>
  <c r="D8" i="45"/>
  <c r="C9" i="45"/>
  <c r="D9" i="45"/>
  <c r="C10" i="45"/>
  <c r="D20" i="45" s="1"/>
  <c r="D10" i="45"/>
  <c r="D27" i="45" s="1"/>
  <c r="C11" i="45"/>
  <c r="D11" i="45"/>
  <c r="C12" i="45"/>
  <c r="D12" i="45"/>
  <c r="D7" i="45"/>
  <c r="D26" i="45" s="1"/>
  <c r="C7" i="45"/>
  <c r="D19" i="45" s="1"/>
  <c r="A2" i="45"/>
  <c r="C8" i="44"/>
  <c r="D8" i="44"/>
  <c r="C9" i="44"/>
  <c r="D9" i="44"/>
  <c r="C10" i="44"/>
  <c r="D20" i="44" s="1"/>
  <c r="D10" i="44"/>
  <c r="D27" i="44" s="1"/>
  <c r="C11" i="44"/>
  <c r="D11" i="44"/>
  <c r="C12" i="44"/>
  <c r="D12" i="44"/>
  <c r="D7" i="44"/>
  <c r="D26" i="44" s="1"/>
  <c r="C7" i="44"/>
  <c r="D19" i="44" s="1"/>
  <c r="A2" i="44"/>
  <c r="C8" i="43"/>
  <c r="D8" i="43"/>
  <c r="C9" i="43"/>
  <c r="D9" i="43"/>
  <c r="C10" i="43"/>
  <c r="D20" i="43" s="1"/>
  <c r="D10" i="43"/>
  <c r="D27" i="43" s="1"/>
  <c r="C11" i="43"/>
  <c r="D11" i="43"/>
  <c r="C12" i="43"/>
  <c r="D12" i="43"/>
  <c r="D7" i="43"/>
  <c r="D26" i="43" s="1"/>
  <c r="C7" i="43"/>
  <c r="D19" i="43" s="1"/>
  <c r="A2" i="43"/>
  <c r="C8" i="42"/>
  <c r="D8" i="42"/>
  <c r="C9" i="42"/>
  <c r="D9" i="42"/>
  <c r="C10" i="42"/>
  <c r="D20" i="42" s="1"/>
  <c r="D10" i="42"/>
  <c r="D27" i="42" s="1"/>
  <c r="C11" i="42"/>
  <c r="D11" i="42"/>
  <c r="C12" i="42"/>
  <c r="D12" i="42"/>
  <c r="D7" i="42"/>
  <c r="D26" i="42" s="1"/>
  <c r="C7" i="42"/>
  <c r="D19" i="42" s="1"/>
  <c r="A2" i="42"/>
  <c r="C8" i="41"/>
  <c r="D8" i="41"/>
  <c r="C9" i="41"/>
  <c r="D9" i="41"/>
  <c r="C10" i="41"/>
  <c r="D20" i="41" s="1"/>
  <c r="D10" i="41"/>
  <c r="D27" i="41" s="1"/>
  <c r="C11" i="41"/>
  <c r="D11" i="41"/>
  <c r="C12" i="41"/>
  <c r="D12" i="41"/>
  <c r="D7" i="41"/>
  <c r="D26" i="41" s="1"/>
  <c r="C7" i="41"/>
  <c r="D19" i="41" s="1"/>
  <c r="A2" i="41"/>
  <c r="D8" i="40"/>
  <c r="D7" i="40"/>
  <c r="C8" i="40"/>
  <c r="C7" i="40"/>
  <c r="A2" i="40"/>
  <c r="C8" i="39"/>
  <c r="D8" i="39"/>
  <c r="C9" i="39"/>
  <c r="D9" i="39"/>
  <c r="C10" i="39"/>
  <c r="D20" i="39" s="1"/>
  <c r="D10" i="39"/>
  <c r="D27" i="39" s="1"/>
  <c r="C11" i="39"/>
  <c r="D11" i="39"/>
  <c r="C12" i="39"/>
  <c r="D12" i="39"/>
  <c r="D7" i="39"/>
  <c r="D26" i="39" s="1"/>
  <c r="C7" i="39"/>
  <c r="D19" i="39" s="1"/>
  <c r="A2" i="39"/>
  <c r="C8" i="38"/>
  <c r="D8" i="38"/>
  <c r="C9" i="38"/>
  <c r="D9" i="38"/>
  <c r="C10" i="38"/>
  <c r="D20" i="38" s="1"/>
  <c r="D10" i="38"/>
  <c r="D27" i="38" s="1"/>
  <c r="C11" i="38"/>
  <c r="D11" i="38"/>
  <c r="C12" i="38"/>
  <c r="D12" i="38"/>
  <c r="D7" i="38"/>
  <c r="D26" i="38" s="1"/>
  <c r="C7" i="38"/>
  <c r="D19" i="38" s="1"/>
  <c r="A2" i="38"/>
  <c r="C8" i="37"/>
  <c r="D8" i="37"/>
  <c r="C9" i="37"/>
  <c r="D9" i="37"/>
  <c r="C10" i="37"/>
  <c r="D20" i="37" s="1"/>
  <c r="D10" i="37"/>
  <c r="D27" i="37" s="1"/>
  <c r="C11" i="37"/>
  <c r="D11" i="37"/>
  <c r="C12" i="37"/>
  <c r="D12" i="37"/>
  <c r="D7" i="37"/>
  <c r="D26" i="37" s="1"/>
  <c r="C7" i="37"/>
  <c r="D19" i="37" s="1"/>
  <c r="A2" i="37"/>
  <c r="C8" i="36"/>
  <c r="D8" i="36"/>
  <c r="D7" i="36"/>
  <c r="C7" i="36"/>
  <c r="A2" i="36"/>
  <c r="C8" i="35"/>
  <c r="D8" i="35"/>
  <c r="C9" i="35"/>
  <c r="D9" i="35"/>
  <c r="C10" i="35"/>
  <c r="D20" i="35" s="1"/>
  <c r="D10" i="35"/>
  <c r="D27" i="35" s="1"/>
  <c r="C11" i="35"/>
  <c r="D11" i="35"/>
  <c r="C12" i="35"/>
  <c r="D12" i="35"/>
  <c r="D7" i="35"/>
  <c r="D26" i="35" s="1"/>
  <c r="C7" i="35"/>
  <c r="D19" i="35" s="1"/>
  <c r="A2" i="35"/>
  <c r="C8" i="34"/>
  <c r="D8" i="34"/>
  <c r="C9" i="34"/>
  <c r="D9" i="34"/>
  <c r="C10" i="34"/>
  <c r="D20" i="34" s="1"/>
  <c r="D10" i="34"/>
  <c r="D27" i="34" s="1"/>
  <c r="C11" i="34"/>
  <c r="D11" i="34"/>
  <c r="C12" i="34"/>
  <c r="D12" i="34"/>
  <c r="D7" i="34"/>
  <c r="D26" i="34" s="1"/>
  <c r="C7" i="34"/>
  <c r="D19" i="34" s="1"/>
  <c r="A2" i="34"/>
  <c r="C8" i="33"/>
  <c r="D8" i="33"/>
  <c r="C9" i="33"/>
  <c r="D9" i="33"/>
  <c r="C10" i="33"/>
  <c r="D20" i="33" s="1"/>
  <c r="D10" i="33"/>
  <c r="D27" i="33" s="1"/>
  <c r="C11" i="33"/>
  <c r="D11" i="33"/>
  <c r="C12" i="33"/>
  <c r="D12" i="33"/>
  <c r="D7" i="33"/>
  <c r="D26" i="33" s="1"/>
  <c r="C7" i="33"/>
  <c r="D19" i="33" s="1"/>
  <c r="A2" i="33"/>
  <c r="C8" i="32"/>
  <c r="D8" i="32"/>
  <c r="C9" i="32"/>
  <c r="D9" i="32"/>
  <c r="C10" i="32"/>
  <c r="D20" i="32" s="1"/>
  <c r="D10" i="32"/>
  <c r="D27" i="32" s="1"/>
  <c r="C11" i="32"/>
  <c r="D11" i="32"/>
  <c r="C12" i="32"/>
  <c r="D12" i="32"/>
  <c r="D7" i="32"/>
  <c r="D26" i="32" s="1"/>
  <c r="C7" i="32"/>
  <c r="D19" i="32" s="1"/>
  <c r="A2" i="32"/>
  <c r="C8" i="31"/>
  <c r="D8" i="31"/>
  <c r="C9" i="31"/>
  <c r="D9" i="31"/>
  <c r="C10" i="31"/>
  <c r="D20" i="31" s="1"/>
  <c r="D10" i="31"/>
  <c r="D27" i="31" s="1"/>
  <c r="C11" i="31"/>
  <c r="D11" i="31"/>
  <c r="C12" i="31"/>
  <c r="D12" i="31"/>
  <c r="D7" i="31"/>
  <c r="D26" i="31" s="1"/>
  <c r="C7" i="31"/>
  <c r="D19" i="31" s="1"/>
  <c r="A2" i="31"/>
  <c r="C8" i="30"/>
  <c r="D8" i="30"/>
  <c r="C9" i="30"/>
  <c r="D9" i="30"/>
  <c r="C10" i="30"/>
  <c r="D20" i="30" s="1"/>
  <c r="D10" i="30"/>
  <c r="D27" i="30" s="1"/>
  <c r="C11" i="30"/>
  <c r="D11" i="30"/>
  <c r="C12" i="30"/>
  <c r="D12" i="30"/>
  <c r="D7" i="30"/>
  <c r="D26" i="30" s="1"/>
  <c r="C7" i="30"/>
  <c r="D19" i="30" s="1"/>
  <c r="A2" i="30"/>
  <c r="C8" i="29"/>
  <c r="D8" i="29"/>
  <c r="C9" i="29"/>
  <c r="D9" i="29"/>
  <c r="C10" i="29"/>
  <c r="D20" i="29" s="1"/>
  <c r="D10" i="29"/>
  <c r="D27" i="29" s="1"/>
  <c r="C11" i="29"/>
  <c r="D11" i="29"/>
  <c r="C12" i="29"/>
  <c r="D12" i="29"/>
  <c r="D7" i="29"/>
  <c r="D26" i="29" s="1"/>
  <c r="C7" i="29"/>
  <c r="D19" i="29" s="1"/>
  <c r="A2" i="29"/>
  <c r="C8" i="28"/>
  <c r="D8" i="28"/>
  <c r="C9" i="28"/>
  <c r="D9" i="28"/>
  <c r="C10" i="28"/>
  <c r="D20" i="28" s="1"/>
  <c r="D10" i="28"/>
  <c r="D27" i="28" s="1"/>
  <c r="C11" i="28"/>
  <c r="D11" i="28"/>
  <c r="C12" i="28"/>
  <c r="D12" i="28"/>
  <c r="D7" i="28"/>
  <c r="D26" i="28" s="1"/>
  <c r="C7" i="28"/>
  <c r="D19" i="28" s="1"/>
  <c r="A2" i="28"/>
  <c r="E8" i="27"/>
  <c r="E7" i="27"/>
  <c r="D8" i="27"/>
  <c r="D7" i="27"/>
  <c r="C8" i="27"/>
  <c r="C7" i="27"/>
  <c r="A2" i="27"/>
  <c r="C8" i="26"/>
  <c r="D8" i="26"/>
  <c r="C9" i="26"/>
  <c r="D9" i="26"/>
  <c r="C10" i="26"/>
  <c r="D20" i="26" s="1"/>
  <c r="D10" i="26"/>
  <c r="D27" i="26" s="1"/>
  <c r="C11" i="26"/>
  <c r="D11" i="26"/>
  <c r="C12" i="26"/>
  <c r="D12" i="26"/>
  <c r="D7" i="26"/>
  <c r="D26" i="26" s="1"/>
  <c r="C7" i="26"/>
  <c r="D19" i="26" s="1"/>
  <c r="A2" i="26"/>
  <c r="C8" i="25"/>
  <c r="D8" i="25"/>
  <c r="C9" i="25"/>
  <c r="D9" i="25"/>
  <c r="C10" i="25"/>
  <c r="D20" i="25" s="1"/>
  <c r="D10" i="25"/>
  <c r="D27" i="25" s="1"/>
  <c r="C11" i="25"/>
  <c r="D11" i="25"/>
  <c r="C12" i="25"/>
  <c r="D12" i="25"/>
  <c r="D7" i="25"/>
  <c r="D26" i="25" s="1"/>
  <c r="C7" i="25"/>
  <c r="D19" i="25" s="1"/>
  <c r="A2" i="25"/>
  <c r="C8" i="24"/>
  <c r="D8" i="24"/>
  <c r="C9" i="24"/>
  <c r="D9" i="24"/>
  <c r="C10" i="24"/>
  <c r="D20" i="24" s="1"/>
  <c r="D10" i="24"/>
  <c r="D27" i="24" s="1"/>
  <c r="C11" i="24"/>
  <c r="D11" i="24"/>
  <c r="C12" i="24"/>
  <c r="D12" i="24"/>
  <c r="D7" i="24"/>
  <c r="D26" i="24" s="1"/>
  <c r="C7" i="24"/>
  <c r="D19" i="24" s="1"/>
  <c r="A2" i="24"/>
  <c r="C8" i="23"/>
  <c r="D8" i="23"/>
  <c r="C9" i="23"/>
  <c r="D9" i="23"/>
  <c r="C10" i="23"/>
  <c r="D20" i="23" s="1"/>
  <c r="D10" i="23"/>
  <c r="D27" i="23" s="1"/>
  <c r="C11" i="23"/>
  <c r="D11" i="23"/>
  <c r="C12" i="23"/>
  <c r="D12" i="23"/>
  <c r="D7" i="23"/>
  <c r="D26" i="23" s="1"/>
  <c r="C7" i="23"/>
  <c r="D19" i="23" s="1"/>
  <c r="A2" i="3"/>
  <c r="A2" i="23"/>
  <c r="C8" i="22"/>
  <c r="D8" i="22"/>
  <c r="D7" i="22"/>
  <c r="C7" i="22"/>
  <c r="A2" i="22"/>
  <c r="C7" i="6"/>
  <c r="C8" i="21"/>
  <c r="D8" i="21"/>
  <c r="C9" i="21"/>
  <c r="D9" i="21"/>
  <c r="C10" i="21"/>
  <c r="D20" i="21" s="1"/>
  <c r="D10" i="21"/>
  <c r="D27" i="21" s="1"/>
  <c r="C11" i="21"/>
  <c r="D11" i="21"/>
  <c r="C12" i="21"/>
  <c r="D12" i="21"/>
  <c r="D7" i="21"/>
  <c r="D26" i="21" s="1"/>
  <c r="C7" i="21"/>
  <c r="D19" i="21" s="1"/>
  <c r="A2" i="21"/>
  <c r="C8" i="20"/>
  <c r="D8" i="20"/>
  <c r="C9" i="20"/>
  <c r="D9" i="20"/>
  <c r="C10" i="20"/>
  <c r="D20" i="20" s="1"/>
  <c r="D10" i="20"/>
  <c r="D27" i="20" s="1"/>
  <c r="C11" i="20"/>
  <c r="D11" i="20"/>
  <c r="C12" i="20"/>
  <c r="D12" i="20"/>
  <c r="D7" i="20"/>
  <c r="D26" i="20" s="1"/>
  <c r="C7" i="20"/>
  <c r="D19" i="20" s="1"/>
  <c r="A2" i="20"/>
  <c r="C8" i="19"/>
  <c r="D8" i="19"/>
  <c r="C9" i="19"/>
  <c r="D9" i="19"/>
  <c r="C10" i="19"/>
  <c r="D20" i="19" s="1"/>
  <c r="D10" i="19"/>
  <c r="D27" i="19" s="1"/>
  <c r="C11" i="19"/>
  <c r="D11" i="19"/>
  <c r="C12" i="19"/>
  <c r="D12" i="19"/>
  <c r="D7" i="19"/>
  <c r="D26" i="19" s="1"/>
  <c r="C7" i="19"/>
  <c r="D19" i="19" s="1"/>
  <c r="A2" i="19"/>
  <c r="C8" i="18"/>
  <c r="D8" i="18"/>
  <c r="C9" i="18"/>
  <c r="D9" i="18"/>
  <c r="C10" i="18"/>
  <c r="D20" i="18" s="1"/>
  <c r="D10" i="18"/>
  <c r="D27" i="18" s="1"/>
  <c r="C11" i="18"/>
  <c r="D11" i="18"/>
  <c r="C12" i="18"/>
  <c r="D12" i="18"/>
  <c r="D7" i="18"/>
  <c r="D26" i="18" s="1"/>
  <c r="C7" i="18"/>
  <c r="D19" i="18" s="1"/>
  <c r="A2" i="18"/>
  <c r="C8" i="17"/>
  <c r="D8" i="17"/>
  <c r="C9" i="17"/>
  <c r="D9" i="17"/>
  <c r="C10" i="17"/>
  <c r="D20" i="17" s="1"/>
  <c r="D10" i="17"/>
  <c r="D27" i="17" s="1"/>
  <c r="C11" i="17"/>
  <c r="D11" i="17"/>
  <c r="C12" i="17"/>
  <c r="D12" i="17"/>
  <c r="D7" i="17"/>
  <c r="D26" i="17" s="1"/>
  <c r="C7" i="17"/>
  <c r="D19" i="17" s="1"/>
  <c r="C8" i="16"/>
  <c r="D8" i="16"/>
  <c r="C9" i="16"/>
  <c r="D9" i="16"/>
  <c r="C10" i="16"/>
  <c r="D20" i="16" s="1"/>
  <c r="D10" i="16"/>
  <c r="D27" i="16" s="1"/>
  <c r="C11" i="16"/>
  <c r="D11" i="16"/>
  <c r="C12" i="16"/>
  <c r="D12" i="16"/>
  <c r="D7" i="16"/>
  <c r="D26" i="16" s="1"/>
  <c r="C7" i="16"/>
  <c r="D19" i="16" s="1"/>
  <c r="A2" i="16"/>
  <c r="C8" i="15"/>
  <c r="D8" i="15"/>
  <c r="C9" i="15"/>
  <c r="D9" i="15"/>
  <c r="C10" i="15"/>
  <c r="D20" i="15" s="1"/>
  <c r="D10" i="15"/>
  <c r="D27" i="15" s="1"/>
  <c r="C11" i="15"/>
  <c r="D11" i="15"/>
  <c r="C12" i="15"/>
  <c r="D12" i="15"/>
  <c r="D7" i="15"/>
  <c r="D26" i="15" s="1"/>
  <c r="C7" i="15"/>
  <c r="D19" i="15" s="1"/>
  <c r="A2" i="15"/>
  <c r="C8" i="14"/>
  <c r="D8" i="14"/>
  <c r="C9" i="14"/>
  <c r="D9" i="14"/>
  <c r="C10" i="14"/>
  <c r="D20" i="14" s="1"/>
  <c r="D10" i="14"/>
  <c r="D27" i="14" s="1"/>
  <c r="C11" i="14"/>
  <c r="D11" i="14"/>
  <c r="C12" i="14"/>
  <c r="D12" i="14"/>
  <c r="D7" i="14"/>
  <c r="D26" i="14" s="1"/>
  <c r="C7" i="14"/>
  <c r="D19" i="14" s="1"/>
  <c r="A2" i="14"/>
  <c r="C8" i="13"/>
  <c r="D8" i="13"/>
  <c r="C9" i="13"/>
  <c r="D9" i="13"/>
  <c r="C10" i="13"/>
  <c r="D20" i="13" s="1"/>
  <c r="D10" i="13"/>
  <c r="D27" i="13" s="1"/>
  <c r="C11" i="13"/>
  <c r="D11" i="13"/>
  <c r="C12" i="13"/>
  <c r="D12" i="13"/>
  <c r="D7" i="13"/>
  <c r="D26" i="13" s="1"/>
  <c r="C7" i="13"/>
  <c r="D19" i="13" s="1"/>
  <c r="A2" i="13"/>
  <c r="D8" i="12"/>
  <c r="D9" i="12"/>
  <c r="D10" i="12"/>
  <c r="D27" i="12" s="1"/>
  <c r="D11" i="12"/>
  <c r="D12" i="12"/>
  <c r="D7" i="12"/>
  <c r="D26" i="12" s="1"/>
  <c r="C8" i="12"/>
  <c r="C9" i="12"/>
  <c r="C10" i="12"/>
  <c r="D20" i="12" s="1"/>
  <c r="C11" i="12"/>
  <c r="C12" i="12"/>
  <c r="C7" i="12"/>
  <c r="D19" i="12" s="1"/>
  <c r="A2" i="12"/>
  <c r="D8" i="11"/>
  <c r="D9" i="11"/>
  <c r="D10" i="11"/>
  <c r="D27" i="11" s="1"/>
  <c r="D11" i="11"/>
  <c r="D12" i="11"/>
  <c r="C8" i="11"/>
  <c r="C9" i="11"/>
  <c r="C10" i="11"/>
  <c r="D20" i="11" s="1"/>
  <c r="C11" i="11"/>
  <c r="C12" i="11"/>
  <c r="D7" i="11"/>
  <c r="D26" i="11" s="1"/>
  <c r="C7" i="11"/>
  <c r="D19" i="11" s="1"/>
  <c r="A2" i="11"/>
  <c r="D8" i="10"/>
  <c r="D9" i="10"/>
  <c r="D10" i="10"/>
  <c r="D27" i="10" s="1"/>
  <c r="D11" i="10"/>
  <c r="D12" i="10"/>
  <c r="D7" i="10"/>
  <c r="D26" i="10" s="1"/>
  <c r="C8" i="10"/>
  <c r="C9" i="10"/>
  <c r="C10" i="10"/>
  <c r="D20" i="10" s="1"/>
  <c r="C11" i="10"/>
  <c r="C12" i="10"/>
  <c r="C7" i="10"/>
  <c r="D19" i="10" s="1"/>
  <c r="A2" i="10"/>
  <c r="D8" i="9"/>
  <c r="D9" i="9"/>
  <c r="D10" i="9"/>
  <c r="D27" i="9" s="1"/>
  <c r="D11" i="9"/>
  <c r="D12" i="9"/>
  <c r="D7" i="9"/>
  <c r="D26" i="9" s="1"/>
  <c r="C8" i="9"/>
  <c r="C9" i="9"/>
  <c r="C10" i="9"/>
  <c r="D20" i="9" s="1"/>
  <c r="C11" i="9"/>
  <c r="C12" i="9"/>
  <c r="C7" i="9"/>
  <c r="D19" i="9" s="1"/>
  <c r="A2" i="9"/>
  <c r="D8" i="8"/>
  <c r="D9" i="8"/>
  <c r="D10" i="8"/>
  <c r="D27" i="8" s="1"/>
  <c r="D11" i="8"/>
  <c r="D12" i="8"/>
  <c r="D7" i="8"/>
  <c r="D26" i="8" s="1"/>
  <c r="C8" i="8"/>
  <c r="C9" i="8"/>
  <c r="C10" i="8"/>
  <c r="D20" i="8" s="1"/>
  <c r="C11" i="8"/>
  <c r="C12" i="8"/>
  <c r="C7" i="8"/>
  <c r="D19" i="8" s="1"/>
  <c r="A2" i="8"/>
  <c r="D27" i="7"/>
  <c r="D26" i="7"/>
  <c r="D20" i="7"/>
  <c r="D19" i="7"/>
  <c r="A2" i="7"/>
  <c r="E8" i="6"/>
  <c r="D8" i="6"/>
  <c r="C8" i="6"/>
  <c r="E7" i="6"/>
  <c r="D7" i="6"/>
  <c r="A2" i="6"/>
  <c r="E12" i="5"/>
  <c r="D12" i="5"/>
  <c r="C12" i="5"/>
  <c r="E11" i="5"/>
  <c r="D11" i="5"/>
  <c r="C11" i="5"/>
  <c r="E10" i="5"/>
  <c r="D10" i="5"/>
  <c r="D27" i="5" s="1"/>
  <c r="C10" i="5"/>
  <c r="D20" i="5" s="1"/>
  <c r="E9" i="5"/>
  <c r="D9" i="5"/>
  <c r="C9" i="5"/>
  <c r="E8" i="5"/>
  <c r="D8" i="5"/>
  <c r="C8" i="5"/>
  <c r="E7" i="5"/>
  <c r="D7" i="5"/>
  <c r="D26" i="5" s="1"/>
  <c r="C7" i="5"/>
  <c r="A2" i="5"/>
  <c r="G12" i="45" l="1"/>
  <c r="F13" i="134"/>
  <c r="G13" i="134"/>
  <c r="F9" i="133"/>
  <c r="G9" i="133"/>
  <c r="G13" i="132"/>
  <c r="D19" i="5"/>
  <c r="C6" i="5"/>
  <c r="D21" i="44"/>
  <c r="D25" i="44"/>
  <c r="D18" i="44"/>
  <c r="C6" i="78"/>
  <c r="G7" i="80"/>
  <c r="G8" i="80"/>
  <c r="D26" i="102"/>
  <c r="D6" i="102"/>
  <c r="D28" i="81"/>
  <c r="D21" i="81"/>
  <c r="D25" i="81"/>
  <c r="D18" i="81"/>
  <c r="D28" i="82"/>
  <c r="D21" i="82"/>
  <c r="D25" i="82"/>
  <c r="D18" i="82"/>
  <c r="D28" i="83"/>
  <c r="D21" i="83"/>
  <c r="D25" i="83"/>
  <c r="D18" i="83"/>
  <c r="D28" i="84"/>
  <c r="D21" i="84"/>
  <c r="D25" i="84"/>
  <c r="D18" i="84"/>
  <c r="D28" i="85"/>
  <c r="D21" i="85"/>
  <c r="D25" i="85"/>
  <c r="D18" i="85"/>
  <c r="D28" i="86"/>
  <c r="D21" i="86"/>
  <c r="D25" i="86"/>
  <c r="D18" i="86"/>
  <c r="D28" i="87"/>
  <c r="D21" i="87"/>
  <c r="D25" i="87"/>
  <c r="D18" i="87"/>
  <c r="D28" i="88"/>
  <c r="D21" i="88"/>
  <c r="D25" i="88"/>
  <c r="D18" i="88"/>
  <c r="D28" i="89"/>
  <c r="D21" i="89"/>
  <c r="D25" i="89"/>
  <c r="D18" i="89"/>
  <c r="D28" i="90"/>
  <c r="D21" i="90"/>
  <c r="D25" i="90"/>
  <c r="D18" i="90"/>
  <c r="D28" i="91"/>
  <c r="D21" i="91"/>
  <c r="D25" i="91"/>
  <c r="D18" i="91"/>
  <c r="D28" i="92"/>
  <c r="D21" i="92"/>
  <c r="D25" i="92"/>
  <c r="D18" i="92"/>
  <c r="D28" i="93"/>
  <c r="D21" i="93"/>
  <c r="D25" i="93"/>
  <c r="D18" i="93"/>
  <c r="D28" i="94"/>
  <c r="D21" i="94"/>
  <c r="D25" i="94"/>
  <c r="D18" i="94"/>
  <c r="D28" i="95"/>
  <c r="D21" i="95"/>
  <c r="D25" i="95"/>
  <c r="D18" i="95"/>
  <c r="D28" i="96"/>
  <c r="D21" i="96"/>
  <c r="D25" i="96"/>
  <c r="D18" i="96"/>
  <c r="D28" i="97"/>
  <c r="D21" i="97"/>
  <c r="D25" i="97"/>
  <c r="D18" i="97"/>
  <c r="E18" i="98"/>
  <c r="E25" i="98"/>
  <c r="E20" i="98"/>
  <c r="E27" i="98"/>
  <c r="E21" i="98"/>
  <c r="E28" i="98"/>
  <c r="D28" i="99"/>
  <c r="D21" i="99"/>
  <c r="D25" i="99"/>
  <c r="D18" i="99"/>
  <c r="D28" i="100"/>
  <c r="D21" i="100"/>
  <c r="D25" i="100"/>
  <c r="D18" i="100"/>
  <c r="D28" i="101"/>
  <c r="D21" i="101"/>
  <c r="D25" i="101"/>
  <c r="D18" i="101"/>
  <c r="D28" i="102"/>
  <c r="D21" i="102"/>
  <c r="D25" i="102"/>
  <c r="D18" i="102"/>
  <c r="D28" i="103"/>
  <c r="D21" i="103"/>
  <c r="D25" i="103"/>
  <c r="D18" i="103"/>
  <c r="D28" i="104"/>
  <c r="D21" i="104"/>
  <c r="D25" i="104"/>
  <c r="D18" i="104"/>
  <c r="D28" i="105"/>
  <c r="D21" i="105"/>
  <c r="D25" i="105"/>
  <c r="D18" i="105"/>
  <c r="D28" i="106"/>
  <c r="D21" i="106"/>
  <c r="D25" i="106"/>
  <c r="D18" i="106"/>
  <c r="D28" i="107"/>
  <c r="D21" i="107"/>
  <c r="D25" i="107"/>
  <c r="D18" i="107"/>
  <c r="D28" i="109"/>
  <c r="D21" i="109"/>
  <c r="D25" i="109"/>
  <c r="D18" i="109"/>
  <c r="D28" i="110"/>
  <c r="D21" i="110"/>
  <c r="D25" i="110"/>
  <c r="D18" i="110"/>
  <c r="D28" i="111"/>
  <c r="D21" i="111"/>
  <c r="D25" i="111"/>
  <c r="D18" i="111"/>
  <c r="D28" i="112"/>
  <c r="D21" i="112"/>
  <c r="D25" i="112"/>
  <c r="D18" i="112"/>
  <c r="D28" i="113"/>
  <c r="D21" i="113"/>
  <c r="D25" i="113"/>
  <c r="D18" i="113"/>
  <c r="D28" i="114"/>
  <c r="D21" i="114"/>
  <c r="D25" i="114"/>
  <c r="D18" i="114"/>
  <c r="D28" i="115"/>
  <c r="D21" i="115"/>
  <c r="D25" i="115"/>
  <c r="D18" i="115"/>
  <c r="D28" i="116"/>
  <c r="D21" i="116"/>
  <c r="D25" i="116"/>
  <c r="D18" i="116"/>
  <c r="D28" i="117"/>
  <c r="D21" i="117"/>
  <c r="D25" i="117"/>
  <c r="D18" i="117"/>
  <c r="D28" i="118"/>
  <c r="D21" i="118"/>
  <c r="D25" i="118"/>
  <c r="D18" i="118"/>
  <c r="D28" i="119"/>
  <c r="D21" i="119"/>
  <c r="D25" i="119"/>
  <c r="D18" i="119"/>
  <c r="D28" i="120"/>
  <c r="D21" i="120"/>
  <c r="D25" i="120"/>
  <c r="D18" i="120"/>
  <c r="D28" i="121"/>
  <c r="D21" i="121"/>
  <c r="D25" i="121"/>
  <c r="D18" i="121"/>
  <c r="D28" i="122"/>
  <c r="D21" i="122"/>
  <c r="D25" i="122"/>
  <c r="D18" i="122"/>
  <c r="D28" i="124"/>
  <c r="D21" i="124"/>
  <c r="D25" i="124"/>
  <c r="D18" i="124"/>
  <c r="D28" i="125"/>
  <c r="D21" i="125"/>
  <c r="D25" i="125"/>
  <c r="D18" i="125"/>
  <c r="D28" i="126"/>
  <c r="D21" i="126"/>
  <c r="D25" i="126"/>
  <c r="D18" i="126"/>
  <c r="D28" i="127"/>
  <c r="D21" i="127"/>
  <c r="D25" i="127"/>
  <c r="D18" i="127"/>
  <c r="D28" i="128"/>
  <c r="D21" i="128"/>
  <c r="D25" i="128"/>
  <c r="D18" i="128"/>
  <c r="D28" i="129"/>
  <c r="D21" i="129"/>
  <c r="D25" i="129"/>
  <c r="D18" i="129"/>
  <c r="D28" i="56"/>
  <c r="D21" i="57"/>
  <c r="D25" i="57"/>
  <c r="D18" i="58"/>
  <c r="D28" i="60"/>
  <c r="D21" i="61"/>
  <c r="D25" i="61"/>
  <c r="D18" i="62"/>
  <c r="D28" i="64"/>
  <c r="D21" i="65"/>
  <c r="D25" i="65"/>
  <c r="D18" i="66"/>
  <c r="D28" i="68"/>
  <c r="D21" i="69"/>
  <c r="D25" i="69"/>
  <c r="D18" i="70"/>
  <c r="D18" i="33"/>
  <c r="D21" i="53"/>
  <c r="D25" i="53"/>
  <c r="D18" i="54"/>
  <c r="D25" i="33"/>
  <c r="D28" i="38"/>
  <c r="D18" i="39"/>
  <c r="D21" i="41"/>
  <c r="D18" i="43"/>
  <c r="D21" i="45"/>
  <c r="D18" i="47"/>
  <c r="D25" i="48"/>
  <c r="D21" i="49"/>
  <c r="D28" i="42"/>
  <c r="D28" i="46"/>
  <c r="D28" i="50"/>
  <c r="D18" i="38"/>
  <c r="D25" i="39"/>
  <c r="D18" i="42"/>
  <c r="D25" i="43"/>
  <c r="D28" i="45"/>
  <c r="D18" i="46"/>
  <c r="D25" i="47"/>
  <c r="D21" i="48"/>
  <c r="D28" i="49"/>
  <c r="D18" i="50"/>
  <c r="D18" i="55"/>
  <c r="D28" i="53"/>
  <c r="D21" i="54"/>
  <c r="D25" i="54"/>
  <c r="D28" i="57"/>
  <c r="E27" i="57" s="1"/>
  <c r="D21" i="58"/>
  <c r="D25" i="58"/>
  <c r="D18" i="59"/>
  <c r="D28" i="61"/>
  <c r="D21" i="62"/>
  <c r="D25" i="62"/>
  <c r="D18" i="63"/>
  <c r="D28" i="65"/>
  <c r="D21" i="66"/>
  <c r="D25" i="66"/>
  <c r="D18" i="67"/>
  <c r="D28" i="69"/>
  <c r="D21" i="70"/>
  <c r="D25" i="70"/>
  <c r="D21" i="77"/>
  <c r="D18" i="77"/>
  <c r="C6" i="3"/>
  <c r="C13" i="3" s="1"/>
  <c r="D25" i="77"/>
  <c r="D28" i="73"/>
  <c r="D18" i="3"/>
  <c r="D28" i="76"/>
  <c r="D28" i="72"/>
  <c r="D21" i="73"/>
  <c r="D25" i="73"/>
  <c r="D28" i="75"/>
  <c r="D21" i="76"/>
  <c r="D25" i="76"/>
  <c r="D18" i="71"/>
  <c r="D28" i="32"/>
  <c r="D21" i="38"/>
  <c r="D28" i="39"/>
  <c r="D25" i="41"/>
  <c r="D21" i="42"/>
  <c r="D28" i="43"/>
  <c r="E18" i="44"/>
  <c r="D25" i="45"/>
  <c r="D21" i="46"/>
  <c r="D28" i="47"/>
  <c r="D18" i="48"/>
  <c r="D25" i="49"/>
  <c r="D21" i="50"/>
  <c r="D28" i="77"/>
  <c r="D28" i="33"/>
  <c r="D25" i="38"/>
  <c r="D21" i="39"/>
  <c r="E21" i="39" s="1"/>
  <c r="D18" i="41"/>
  <c r="D25" i="42"/>
  <c r="D21" i="43"/>
  <c r="D28" i="44"/>
  <c r="E28" i="44" s="1"/>
  <c r="D18" i="45"/>
  <c r="D25" i="46"/>
  <c r="D21" i="47"/>
  <c r="D28" i="48"/>
  <c r="D18" i="49"/>
  <c r="E18" i="49" s="1"/>
  <c r="D25" i="50"/>
  <c r="D18" i="53"/>
  <c r="D28" i="55"/>
  <c r="E28" i="55" s="1"/>
  <c r="D21" i="56"/>
  <c r="D25" i="56"/>
  <c r="E25" i="56" s="1"/>
  <c r="D18" i="57"/>
  <c r="E18" i="57" s="1"/>
  <c r="D28" i="59"/>
  <c r="D21" i="60"/>
  <c r="D25" i="60"/>
  <c r="E25" i="60" s="1"/>
  <c r="D18" i="61"/>
  <c r="D28" i="63"/>
  <c r="D21" i="64"/>
  <c r="D25" i="64"/>
  <c r="D18" i="65"/>
  <c r="D28" i="67"/>
  <c r="D21" i="68"/>
  <c r="D25" i="68"/>
  <c r="D18" i="69"/>
  <c r="D28" i="71"/>
  <c r="D21" i="72"/>
  <c r="D25" i="72"/>
  <c r="D18" i="73"/>
  <c r="D28" i="3"/>
  <c r="D21" i="75"/>
  <c r="D25" i="75"/>
  <c r="D18" i="76"/>
  <c r="D21" i="33"/>
  <c r="E21" i="33" s="1"/>
  <c r="D28" i="41"/>
  <c r="D28" i="54"/>
  <c r="D21" i="55"/>
  <c r="D18" i="56"/>
  <c r="D28" i="58"/>
  <c r="D21" i="59"/>
  <c r="D25" i="59"/>
  <c r="D18" i="60"/>
  <c r="D28" i="62"/>
  <c r="D21" i="63"/>
  <c r="D25" i="63"/>
  <c r="D18" i="64"/>
  <c r="D28" i="66"/>
  <c r="D21" i="67"/>
  <c r="D25" i="67"/>
  <c r="D18" i="68"/>
  <c r="D28" i="70"/>
  <c r="D21" i="71"/>
  <c r="D25" i="71"/>
  <c r="D18" i="72"/>
  <c r="D21" i="3"/>
  <c r="D25" i="3"/>
  <c r="D18" i="75"/>
  <c r="D25" i="32"/>
  <c r="D28" i="29"/>
  <c r="D25" i="30"/>
  <c r="D21" i="31"/>
  <c r="D21" i="29"/>
  <c r="D18" i="30"/>
  <c r="D25" i="31"/>
  <c r="D25" i="29"/>
  <c r="D28" i="30"/>
  <c r="D18" i="31"/>
  <c r="D18" i="29"/>
  <c r="D21" i="30"/>
  <c r="D28" i="31"/>
  <c r="D18" i="32"/>
  <c r="D21" i="32"/>
  <c r="C6" i="129"/>
  <c r="C6" i="52"/>
  <c r="C9" i="52" s="1"/>
  <c r="D6" i="128"/>
  <c r="D21" i="28"/>
  <c r="D6" i="26"/>
  <c r="C6" i="27"/>
  <c r="C9" i="27" s="1"/>
  <c r="D6" i="36"/>
  <c r="D9" i="36" s="1"/>
  <c r="D6" i="79"/>
  <c r="D9" i="79" s="1"/>
  <c r="D6" i="40"/>
  <c r="D9" i="40" s="1"/>
  <c r="D6" i="125"/>
  <c r="D18" i="28"/>
  <c r="D18" i="34"/>
  <c r="D18" i="11"/>
  <c r="C6" i="34"/>
  <c r="D6" i="89"/>
  <c r="D13" i="89" s="1"/>
  <c r="D25" i="26"/>
  <c r="D6" i="81"/>
  <c r="C6" i="85"/>
  <c r="D25" i="9"/>
  <c r="D28" i="11"/>
  <c r="D21" i="14"/>
  <c r="D21" i="19"/>
  <c r="D18" i="19"/>
  <c r="D21" i="37"/>
  <c r="C6" i="44"/>
  <c r="D6" i="51"/>
  <c r="D9" i="51" s="1"/>
  <c r="D6" i="94"/>
  <c r="D28" i="9"/>
  <c r="D18" i="12"/>
  <c r="D18" i="13"/>
  <c r="D28" i="17"/>
  <c r="D18" i="18"/>
  <c r="D28" i="20"/>
  <c r="D6" i="27"/>
  <c r="D9" i="27" s="1"/>
  <c r="D18" i="37"/>
  <c r="D18" i="10"/>
  <c r="D28" i="13"/>
  <c r="D21" i="35"/>
  <c r="D28" i="37"/>
  <c r="D6" i="45"/>
  <c r="C6" i="100"/>
  <c r="D6" i="124"/>
  <c r="D28" i="10"/>
  <c r="C6" i="37"/>
  <c r="C6" i="38"/>
  <c r="C13" i="38" s="1"/>
  <c r="D6" i="43"/>
  <c r="C6" i="67"/>
  <c r="C6" i="72"/>
  <c r="C13" i="72" s="1"/>
  <c r="D6" i="86"/>
  <c r="C6" i="89"/>
  <c r="D6" i="109"/>
  <c r="C6" i="128"/>
  <c r="D6" i="129"/>
  <c r="D18" i="8"/>
  <c r="D6" i="9"/>
  <c r="D6" i="13"/>
  <c r="D13" i="13" s="1"/>
  <c r="D18" i="14"/>
  <c r="D21" i="16"/>
  <c r="D21" i="17"/>
  <c r="D28" i="18"/>
  <c r="D25" i="24"/>
  <c r="D21" i="25"/>
  <c r="D18" i="25"/>
  <c r="D6" i="33"/>
  <c r="D18" i="35"/>
  <c r="C6" i="62"/>
  <c r="D6" i="84"/>
  <c r="C6" i="106"/>
  <c r="D21" i="10"/>
  <c r="D25" i="10"/>
  <c r="D21" i="11"/>
  <c r="D25" i="11"/>
  <c r="D21" i="21"/>
  <c r="D6" i="31"/>
  <c r="C6" i="40"/>
  <c r="C9" i="40" s="1"/>
  <c r="E9" i="40" s="1"/>
  <c r="C6" i="48"/>
  <c r="C6" i="56"/>
  <c r="C13" i="56" s="1"/>
  <c r="C6" i="58"/>
  <c r="D6" i="61"/>
  <c r="D6" i="64"/>
  <c r="C6" i="69"/>
  <c r="D6" i="88"/>
  <c r="D6" i="90"/>
  <c r="D6" i="15"/>
  <c r="D6" i="60"/>
  <c r="C6" i="61"/>
  <c r="C6" i="64"/>
  <c r="C6" i="65"/>
  <c r="C6" i="68"/>
  <c r="D6" i="76"/>
  <c r="D13" i="76" s="1"/>
  <c r="C6" i="80"/>
  <c r="C9" i="80" s="1"/>
  <c r="D6" i="80"/>
  <c r="D9" i="80" s="1"/>
  <c r="D6" i="82"/>
  <c r="D6" i="87"/>
  <c r="D6" i="93"/>
  <c r="D6" i="120"/>
  <c r="C6" i="125"/>
  <c r="D21" i="7"/>
  <c r="C6" i="22"/>
  <c r="C9" i="22" s="1"/>
  <c r="D6" i="23"/>
  <c r="D6" i="29"/>
  <c r="C6" i="30"/>
  <c r="C6" i="31"/>
  <c r="D21" i="34"/>
  <c r="C6" i="35"/>
  <c r="D28" i="35"/>
  <c r="D6" i="38"/>
  <c r="C6" i="51"/>
  <c r="C9" i="51" s="1"/>
  <c r="C6" i="63"/>
  <c r="D6" i="63"/>
  <c r="C6" i="71"/>
  <c r="C13" i="71" s="1"/>
  <c r="C6" i="102"/>
  <c r="D6" i="10"/>
  <c r="D28" i="15"/>
  <c r="D25" i="15"/>
  <c r="D18" i="16"/>
  <c r="C6" i="19"/>
  <c r="D21" i="20"/>
  <c r="D18" i="21"/>
  <c r="D28" i="24"/>
  <c r="D18" i="26"/>
  <c r="D25" i="34"/>
  <c r="D6" i="57"/>
  <c r="D6" i="59"/>
  <c r="C6" i="92"/>
  <c r="C6" i="95"/>
  <c r="C6" i="96"/>
  <c r="C6" i="97"/>
  <c r="D6" i="98"/>
  <c r="D6" i="99"/>
  <c r="D6" i="126"/>
  <c r="D28" i="7"/>
  <c r="D25" i="7"/>
  <c r="D25" i="13"/>
  <c r="D21" i="15"/>
  <c r="D28" i="16"/>
  <c r="D18" i="17"/>
  <c r="D25" i="20"/>
  <c r="D21" i="23"/>
  <c r="D18" i="23"/>
  <c r="D21" i="24"/>
  <c r="C6" i="25"/>
  <c r="D28" i="26"/>
  <c r="D25" i="28"/>
  <c r="C6" i="41"/>
  <c r="C6" i="45"/>
  <c r="D6" i="47"/>
  <c r="C6" i="49"/>
  <c r="C13" i="49" s="1"/>
  <c r="D6" i="52"/>
  <c r="D9" i="52" s="1"/>
  <c r="D6" i="73"/>
  <c r="D13" i="73" s="1"/>
  <c r="D6" i="91"/>
  <c r="D6" i="103"/>
  <c r="C6" i="107"/>
  <c r="D6" i="110"/>
  <c r="C6" i="115"/>
  <c r="C6" i="119"/>
  <c r="D6" i="122"/>
  <c r="D6" i="123"/>
  <c r="D9" i="123" s="1"/>
  <c r="D6" i="127"/>
  <c r="D6" i="5"/>
  <c r="D28" i="5"/>
  <c r="C6" i="8"/>
  <c r="D6" i="8"/>
  <c r="D25" i="8"/>
  <c r="D21" i="9"/>
  <c r="D18" i="9"/>
  <c r="D28" i="12"/>
  <c r="C6" i="14"/>
  <c r="C13" i="14" s="1"/>
  <c r="D6" i="7"/>
  <c r="D13" i="7" s="1"/>
  <c r="C6" i="17"/>
  <c r="D28" i="8"/>
  <c r="C6" i="11"/>
  <c r="C13" i="11" s="1"/>
  <c r="D21" i="12"/>
  <c r="D6" i="12"/>
  <c r="D25" i="12"/>
  <c r="D21" i="13"/>
  <c r="D25" i="18"/>
  <c r="D6" i="18"/>
  <c r="C6" i="10"/>
  <c r="D6" i="11"/>
  <c r="D6" i="14"/>
  <c r="C6" i="16"/>
  <c r="D6" i="20"/>
  <c r="D6" i="19"/>
  <c r="C6" i="21"/>
  <c r="D28" i="21"/>
  <c r="D6" i="22"/>
  <c r="D9" i="22" s="1"/>
  <c r="C6" i="23"/>
  <c r="D28" i="23"/>
  <c r="D25" i="23"/>
  <c r="C6" i="24"/>
  <c r="D25" i="25"/>
  <c r="D21" i="26"/>
  <c r="C6" i="28"/>
  <c r="D28" i="28"/>
  <c r="C6" i="33"/>
  <c r="C13" i="33" s="1"/>
  <c r="C6" i="42"/>
  <c r="C6" i="47"/>
  <c r="C13" i="47" s="1"/>
  <c r="C6" i="50"/>
  <c r="D6" i="56"/>
  <c r="D13" i="56" s="1"/>
  <c r="D6" i="58"/>
  <c r="C6" i="60"/>
  <c r="C6" i="83"/>
  <c r="D6" i="83"/>
  <c r="D6" i="24"/>
  <c r="D13" i="24" s="1"/>
  <c r="D28" i="34"/>
  <c r="D25" i="35"/>
  <c r="D25" i="37"/>
  <c r="C6" i="54"/>
  <c r="D6" i="55"/>
  <c r="C6" i="57"/>
  <c r="C6" i="59"/>
  <c r="D6" i="66"/>
  <c r="D13" i="66" s="1"/>
  <c r="D6" i="68"/>
  <c r="D6" i="70"/>
  <c r="D13" i="70" s="1"/>
  <c r="D6" i="71"/>
  <c r="D13" i="71" s="1"/>
  <c r="D6" i="72"/>
  <c r="D13" i="72" s="1"/>
  <c r="D6" i="75"/>
  <c r="D13" i="75" s="1"/>
  <c r="D6" i="85"/>
  <c r="D28" i="14"/>
  <c r="C6" i="15"/>
  <c r="D25" i="16"/>
  <c r="D25" i="17"/>
  <c r="D21" i="18"/>
  <c r="D28" i="19"/>
  <c r="C6" i="20"/>
  <c r="D25" i="21"/>
  <c r="D28" i="25"/>
  <c r="C6" i="29"/>
  <c r="C6" i="32"/>
  <c r="C13" i="32" s="1"/>
  <c r="D6" i="35"/>
  <c r="C6" i="36"/>
  <c r="C9" i="36" s="1"/>
  <c r="C6" i="39"/>
  <c r="D6" i="41"/>
  <c r="C6" i="43"/>
  <c r="C6" i="46"/>
  <c r="C13" i="46" s="1"/>
  <c r="D6" i="49"/>
  <c r="C6" i="53"/>
  <c r="D6" i="62"/>
  <c r="D13" i="62" s="1"/>
  <c r="D6" i="65"/>
  <c r="D13" i="65" s="1"/>
  <c r="C6" i="66"/>
  <c r="D6" i="67"/>
  <c r="D13" i="67" s="1"/>
  <c r="D6" i="69"/>
  <c r="C6" i="70"/>
  <c r="C6" i="76"/>
  <c r="C6" i="77"/>
  <c r="D6" i="77"/>
  <c r="D13" i="77" s="1"/>
  <c r="C9" i="79"/>
  <c r="C6" i="81"/>
  <c r="C6" i="82"/>
  <c r="C6" i="84"/>
  <c r="C6" i="91"/>
  <c r="C6" i="99"/>
  <c r="C13" i="99" s="1"/>
  <c r="C6" i="101"/>
  <c r="C13" i="101" s="1"/>
  <c r="C6" i="104"/>
  <c r="C6" i="105"/>
  <c r="C6" i="117"/>
  <c r="D6" i="121"/>
  <c r="C6" i="121"/>
  <c r="C6" i="86"/>
  <c r="C13" i="86" s="1"/>
  <c r="C6" i="87"/>
  <c r="C6" i="90"/>
  <c r="C13" i="90" s="1"/>
  <c r="C6" i="93"/>
  <c r="C6" i="94"/>
  <c r="C13" i="94" s="1"/>
  <c r="C6" i="98"/>
  <c r="D6" i="101"/>
  <c r="C6" i="103"/>
  <c r="D6" i="104"/>
  <c r="D13" i="104" s="1"/>
  <c r="D6" i="105"/>
  <c r="D13" i="105" s="1"/>
  <c r="C6" i="108"/>
  <c r="C9" i="108" s="1"/>
  <c r="D6" i="108"/>
  <c r="D9" i="108" s="1"/>
  <c r="C6" i="114"/>
  <c r="C6" i="118"/>
  <c r="C13" i="118" s="1"/>
  <c r="C6" i="123"/>
  <c r="C9" i="123" s="1"/>
  <c r="E9" i="123" s="1"/>
  <c r="F9" i="123" s="1"/>
  <c r="C6" i="126"/>
  <c r="C6" i="127"/>
  <c r="D6" i="107"/>
  <c r="C6" i="120"/>
  <c r="C6" i="122"/>
  <c r="C13" i="122" s="1"/>
  <c r="C6" i="88"/>
  <c r="D6" i="92"/>
  <c r="D13" i="92" s="1"/>
  <c r="D6" i="100"/>
  <c r="D13" i="102"/>
  <c r="C6" i="116"/>
  <c r="C13" i="116" s="1"/>
  <c r="C6" i="124"/>
  <c r="D21" i="8"/>
  <c r="C6" i="12"/>
  <c r="E19" i="12" s="1"/>
  <c r="C6" i="6"/>
  <c r="C9" i="6" s="1"/>
  <c r="D6" i="28"/>
  <c r="D13" i="28" s="1"/>
  <c r="D6" i="30"/>
  <c r="D13" i="30" s="1"/>
  <c r="D6" i="32"/>
  <c r="D13" i="32" s="1"/>
  <c r="D6" i="34"/>
  <c r="D13" i="34" s="1"/>
  <c r="D6" i="37"/>
  <c r="D6" i="39"/>
  <c r="D6" i="42"/>
  <c r="D6" i="44"/>
  <c r="D6" i="46"/>
  <c r="D6" i="48"/>
  <c r="D13" i="48" s="1"/>
  <c r="D6" i="50"/>
  <c r="D6" i="53"/>
  <c r="D6" i="54"/>
  <c r="D13" i="54" s="1"/>
  <c r="C6" i="73"/>
  <c r="C6" i="75"/>
  <c r="C13" i="75" s="1"/>
  <c r="D25" i="5"/>
  <c r="D21" i="5"/>
  <c r="D6" i="6"/>
  <c r="D9" i="6" s="1"/>
  <c r="C6" i="9"/>
  <c r="C6" i="13"/>
  <c r="C13" i="13" s="1"/>
  <c r="D25" i="14"/>
  <c r="D18" i="15"/>
  <c r="D6" i="16"/>
  <c r="D6" i="17"/>
  <c r="C6" i="18"/>
  <c r="C13" i="18" s="1"/>
  <c r="D25" i="19"/>
  <c r="D18" i="20"/>
  <c r="D6" i="21"/>
  <c r="D18" i="24"/>
  <c r="D6" i="25"/>
  <c r="D13" i="25" s="1"/>
  <c r="C6" i="26"/>
  <c r="C13" i="26" s="1"/>
  <c r="C6" i="55"/>
  <c r="C13" i="55" s="1"/>
  <c r="D6" i="106"/>
  <c r="C6" i="110"/>
  <c r="C6" i="111"/>
  <c r="C13" i="111" s="1"/>
  <c r="C6" i="112"/>
  <c r="C13" i="112" s="1"/>
  <c r="C6" i="113"/>
  <c r="D6" i="111"/>
  <c r="D6" i="112"/>
  <c r="D6" i="113"/>
  <c r="D6" i="114"/>
  <c r="D6" i="116"/>
  <c r="D6" i="118"/>
  <c r="D6" i="95"/>
  <c r="D6" i="96"/>
  <c r="D13" i="96" s="1"/>
  <c r="D6" i="97"/>
  <c r="D6" i="78"/>
  <c r="C6" i="109"/>
  <c r="D6" i="115"/>
  <c r="D6" i="117"/>
  <c r="D6" i="119"/>
  <c r="B3" i="129"/>
  <c r="B2" i="129"/>
  <c r="C13" i="129"/>
  <c r="D13" i="129"/>
  <c r="G7" i="129"/>
  <c r="G8" i="129"/>
  <c r="G9" i="129"/>
  <c r="G10" i="129"/>
  <c r="G11" i="129"/>
  <c r="G12" i="129"/>
  <c r="B3" i="128"/>
  <c r="B2" i="128"/>
  <c r="C13" i="128"/>
  <c r="D13" i="128"/>
  <c r="G7" i="128"/>
  <c r="G8" i="128"/>
  <c r="G9" i="128"/>
  <c r="G10" i="128"/>
  <c r="G11" i="128"/>
  <c r="G12" i="128"/>
  <c r="B3" i="127"/>
  <c r="B2" i="127"/>
  <c r="G7" i="127"/>
  <c r="G8" i="127"/>
  <c r="G9" i="127"/>
  <c r="G10" i="127"/>
  <c r="G11" i="127"/>
  <c r="G12" i="127"/>
  <c r="B3" i="126"/>
  <c r="B2" i="126"/>
  <c r="D13" i="126"/>
  <c r="G7" i="126"/>
  <c r="G8" i="126"/>
  <c r="G9" i="126"/>
  <c r="G10" i="126"/>
  <c r="G11" i="126"/>
  <c r="G12" i="126"/>
  <c r="B3" i="125"/>
  <c r="B2" i="125"/>
  <c r="C13" i="125"/>
  <c r="D13" i="125"/>
  <c r="G7" i="125"/>
  <c r="G8" i="125"/>
  <c r="G9" i="125"/>
  <c r="G10" i="125"/>
  <c r="G11" i="125"/>
  <c r="G12" i="125"/>
  <c r="B3" i="124"/>
  <c r="B2" i="124"/>
  <c r="D13" i="124"/>
  <c r="G7" i="124"/>
  <c r="G8" i="124"/>
  <c r="G9" i="124"/>
  <c r="G10" i="124"/>
  <c r="G11" i="124"/>
  <c r="G12" i="124"/>
  <c r="B3" i="123"/>
  <c r="B2" i="123"/>
  <c r="G7" i="123"/>
  <c r="G8" i="123"/>
  <c r="B3" i="122"/>
  <c r="B2" i="122"/>
  <c r="D13" i="122"/>
  <c r="G7" i="122"/>
  <c r="G8" i="122"/>
  <c r="G9" i="122"/>
  <c r="G10" i="122"/>
  <c r="G11" i="122"/>
  <c r="G12" i="122"/>
  <c r="B3" i="121"/>
  <c r="B2" i="121"/>
  <c r="C13" i="121"/>
  <c r="G7" i="121"/>
  <c r="G8" i="121"/>
  <c r="G9" i="121"/>
  <c r="G10" i="121"/>
  <c r="G11" i="121"/>
  <c r="G12" i="121"/>
  <c r="B3" i="120"/>
  <c r="B2" i="120"/>
  <c r="D13" i="120"/>
  <c r="G7" i="120"/>
  <c r="G8" i="120"/>
  <c r="G9" i="120"/>
  <c r="G10" i="120"/>
  <c r="G11" i="120"/>
  <c r="G12" i="120"/>
  <c r="B3" i="119"/>
  <c r="B2" i="119"/>
  <c r="C13" i="119"/>
  <c r="G7" i="119"/>
  <c r="G8" i="119"/>
  <c r="G9" i="119"/>
  <c r="G10" i="119"/>
  <c r="G11" i="119"/>
  <c r="G12" i="119"/>
  <c r="B3" i="118"/>
  <c r="B2" i="118"/>
  <c r="G7" i="118"/>
  <c r="G8" i="118"/>
  <c r="G9" i="118"/>
  <c r="G10" i="118"/>
  <c r="G11" i="118"/>
  <c r="G12" i="118"/>
  <c r="B3" i="117"/>
  <c r="B2" i="117"/>
  <c r="C13" i="117"/>
  <c r="G7" i="117"/>
  <c r="G8" i="117"/>
  <c r="G9" i="117"/>
  <c r="G10" i="117"/>
  <c r="G11" i="117"/>
  <c r="G12" i="117"/>
  <c r="B3" i="116"/>
  <c r="B2" i="116"/>
  <c r="G7" i="116"/>
  <c r="G8" i="116"/>
  <c r="G9" i="116"/>
  <c r="G10" i="116"/>
  <c r="G11" i="116"/>
  <c r="G12" i="116"/>
  <c r="B3" i="115"/>
  <c r="B2" i="115"/>
  <c r="C13" i="115"/>
  <c r="G7" i="115"/>
  <c r="G8" i="115"/>
  <c r="G9" i="115"/>
  <c r="G10" i="115"/>
  <c r="G11" i="115"/>
  <c r="G12" i="115"/>
  <c r="B3" i="114"/>
  <c r="B2" i="114"/>
  <c r="G7" i="114"/>
  <c r="G8" i="114"/>
  <c r="G9" i="114"/>
  <c r="G10" i="114"/>
  <c r="G11" i="114"/>
  <c r="G12" i="114"/>
  <c r="B3" i="113"/>
  <c r="B2" i="113"/>
  <c r="G7" i="113"/>
  <c r="G8" i="113"/>
  <c r="G9" i="113"/>
  <c r="G10" i="113"/>
  <c r="G11" i="113"/>
  <c r="G12" i="113"/>
  <c r="B3" i="112"/>
  <c r="B2" i="112"/>
  <c r="G7" i="112"/>
  <c r="G8" i="112"/>
  <c r="G9" i="112"/>
  <c r="G10" i="112"/>
  <c r="G11" i="112"/>
  <c r="G12" i="112"/>
  <c r="B3" i="111"/>
  <c r="B2" i="111"/>
  <c r="G7" i="111"/>
  <c r="G8" i="111"/>
  <c r="G9" i="111"/>
  <c r="G10" i="111"/>
  <c r="G11" i="111"/>
  <c r="G12" i="111"/>
  <c r="B3" i="110"/>
  <c r="B2" i="110"/>
  <c r="D13" i="110"/>
  <c r="G7" i="110"/>
  <c r="G8" i="110"/>
  <c r="G9" i="110"/>
  <c r="G10" i="110"/>
  <c r="G11" i="110"/>
  <c r="G12" i="110"/>
  <c r="B3" i="109"/>
  <c r="B2" i="109"/>
  <c r="D13" i="109"/>
  <c r="G7" i="109"/>
  <c r="G8" i="109"/>
  <c r="G9" i="109"/>
  <c r="G10" i="109"/>
  <c r="G11" i="109"/>
  <c r="G12" i="109"/>
  <c r="B3" i="108"/>
  <c r="B2" i="108"/>
  <c r="G7" i="108"/>
  <c r="G8" i="108"/>
  <c r="B3" i="107"/>
  <c r="B2" i="107"/>
  <c r="C13" i="107"/>
  <c r="G7" i="107"/>
  <c r="G8" i="107"/>
  <c r="G9" i="107"/>
  <c r="G10" i="107"/>
  <c r="G11" i="107"/>
  <c r="G12" i="107"/>
  <c r="B3" i="106"/>
  <c r="B2" i="106"/>
  <c r="C13" i="106"/>
  <c r="G7" i="106"/>
  <c r="G8" i="106"/>
  <c r="G9" i="106"/>
  <c r="G10" i="106"/>
  <c r="G11" i="106"/>
  <c r="G12" i="106"/>
  <c r="B3" i="105"/>
  <c r="B2" i="105"/>
  <c r="C13" i="105"/>
  <c r="G7" i="105"/>
  <c r="G8" i="105"/>
  <c r="G9" i="105"/>
  <c r="G10" i="105"/>
  <c r="G11" i="105"/>
  <c r="G12" i="105"/>
  <c r="B3" i="104"/>
  <c r="B2" i="104"/>
  <c r="G7" i="104"/>
  <c r="G8" i="104"/>
  <c r="G9" i="104"/>
  <c r="G10" i="104"/>
  <c r="G11" i="104"/>
  <c r="G12" i="104"/>
  <c r="B3" i="103"/>
  <c r="B2" i="103"/>
  <c r="D13" i="103"/>
  <c r="G7" i="103"/>
  <c r="G8" i="103"/>
  <c r="G9" i="103"/>
  <c r="G10" i="103"/>
  <c r="G11" i="103"/>
  <c r="G12" i="103"/>
  <c r="B3" i="102"/>
  <c r="B2" i="102"/>
  <c r="C13" i="102"/>
  <c r="G7" i="102"/>
  <c r="G8" i="102"/>
  <c r="G9" i="102"/>
  <c r="G10" i="102"/>
  <c r="G11" i="102"/>
  <c r="G12" i="102"/>
  <c r="B3" i="101"/>
  <c r="B2" i="101"/>
  <c r="G7" i="101"/>
  <c r="G8" i="101"/>
  <c r="G9" i="101"/>
  <c r="G10" i="101"/>
  <c r="G11" i="101"/>
  <c r="G12" i="101"/>
  <c r="B3" i="100"/>
  <c r="B2" i="100"/>
  <c r="C13" i="100"/>
  <c r="G7" i="100"/>
  <c r="G8" i="100"/>
  <c r="G9" i="100"/>
  <c r="G10" i="100"/>
  <c r="G11" i="100"/>
  <c r="G12" i="100"/>
  <c r="B3" i="99"/>
  <c r="B2" i="99"/>
  <c r="D13" i="99"/>
  <c r="G7" i="99"/>
  <c r="G8" i="99"/>
  <c r="G9" i="99"/>
  <c r="G10" i="99"/>
  <c r="G11" i="99"/>
  <c r="G12" i="99"/>
  <c r="B3" i="98"/>
  <c r="B2" i="98"/>
  <c r="D13" i="98"/>
  <c r="G7" i="98"/>
  <c r="G8" i="98"/>
  <c r="G9" i="98"/>
  <c r="G10" i="98"/>
  <c r="G11" i="98"/>
  <c r="G12" i="98"/>
  <c r="B3" i="97"/>
  <c r="B2" i="97"/>
  <c r="C13" i="97"/>
  <c r="G7" i="97"/>
  <c r="G8" i="97"/>
  <c r="G9" i="97"/>
  <c r="G10" i="97"/>
  <c r="G11" i="97"/>
  <c r="G12" i="97"/>
  <c r="B3" i="96"/>
  <c r="B2" i="96"/>
  <c r="C13" i="96"/>
  <c r="G7" i="96"/>
  <c r="G8" i="96"/>
  <c r="G9" i="96"/>
  <c r="G10" i="96"/>
  <c r="G11" i="96"/>
  <c r="G12" i="96"/>
  <c r="B3" i="95"/>
  <c r="B2" i="95"/>
  <c r="C13" i="95"/>
  <c r="G7" i="95"/>
  <c r="G8" i="95"/>
  <c r="G9" i="95"/>
  <c r="G10" i="95"/>
  <c r="G11" i="95"/>
  <c r="G12" i="95"/>
  <c r="B3" i="94"/>
  <c r="B2" i="94"/>
  <c r="D13" i="94"/>
  <c r="G7" i="94"/>
  <c r="G8" i="94"/>
  <c r="G9" i="94"/>
  <c r="G10" i="94"/>
  <c r="G11" i="94"/>
  <c r="G12" i="94"/>
  <c r="B3" i="93"/>
  <c r="B2" i="93"/>
  <c r="C13" i="93"/>
  <c r="D13" i="93"/>
  <c r="G7" i="93"/>
  <c r="G8" i="93"/>
  <c r="G9" i="93"/>
  <c r="G10" i="93"/>
  <c r="G11" i="93"/>
  <c r="G12" i="93"/>
  <c r="B3" i="92"/>
  <c r="B2" i="92"/>
  <c r="C13" i="92"/>
  <c r="G7" i="92"/>
  <c r="G8" i="92"/>
  <c r="G9" i="92"/>
  <c r="G10" i="92"/>
  <c r="G11" i="92"/>
  <c r="G12" i="92"/>
  <c r="B3" i="91"/>
  <c r="B2" i="91"/>
  <c r="G7" i="91"/>
  <c r="G8" i="91"/>
  <c r="G9" i="91"/>
  <c r="G10" i="91"/>
  <c r="G11" i="91"/>
  <c r="G12" i="91"/>
  <c r="B3" i="90"/>
  <c r="B2" i="90"/>
  <c r="D13" i="90"/>
  <c r="G7" i="90"/>
  <c r="G8" i="90"/>
  <c r="G9" i="90"/>
  <c r="G10" i="90"/>
  <c r="G11" i="90"/>
  <c r="G12" i="90"/>
  <c r="B3" i="89"/>
  <c r="B2" i="89"/>
  <c r="C13" i="89"/>
  <c r="G7" i="89"/>
  <c r="G8" i="89"/>
  <c r="G9" i="89"/>
  <c r="G10" i="89"/>
  <c r="G11" i="89"/>
  <c r="G12" i="89"/>
  <c r="B3" i="88"/>
  <c r="B2" i="88"/>
  <c r="D13" i="88"/>
  <c r="G7" i="88"/>
  <c r="G8" i="88"/>
  <c r="G9" i="88"/>
  <c r="G10" i="88"/>
  <c r="G11" i="88"/>
  <c r="G12" i="88"/>
  <c r="B3" i="87"/>
  <c r="B2" i="87"/>
  <c r="C13" i="87"/>
  <c r="D13" i="87"/>
  <c r="G7" i="87"/>
  <c r="G8" i="87"/>
  <c r="G9" i="87"/>
  <c r="G10" i="87"/>
  <c r="G11" i="87"/>
  <c r="G12" i="87"/>
  <c r="B3" i="86"/>
  <c r="B2" i="86"/>
  <c r="D13" i="86"/>
  <c r="G7" i="86"/>
  <c r="G8" i="86"/>
  <c r="G9" i="86"/>
  <c r="G10" i="86"/>
  <c r="G11" i="86"/>
  <c r="G12" i="86"/>
  <c r="B3" i="85"/>
  <c r="B2" i="85"/>
  <c r="C13" i="85"/>
  <c r="D13" i="85"/>
  <c r="G7" i="85"/>
  <c r="G8" i="85"/>
  <c r="G9" i="85"/>
  <c r="G10" i="85"/>
  <c r="G11" i="85"/>
  <c r="G12" i="85"/>
  <c r="B3" i="84"/>
  <c r="B2" i="84"/>
  <c r="D13" i="84"/>
  <c r="G7" i="84"/>
  <c r="G8" i="84"/>
  <c r="G9" i="84"/>
  <c r="G10" i="84"/>
  <c r="G11" i="84"/>
  <c r="G12" i="84"/>
  <c r="B3" i="83"/>
  <c r="B2" i="83"/>
  <c r="D13" i="83"/>
  <c r="G7" i="83"/>
  <c r="G8" i="83"/>
  <c r="G9" i="83"/>
  <c r="G10" i="83"/>
  <c r="G11" i="83"/>
  <c r="G12" i="83"/>
  <c r="B3" i="82"/>
  <c r="B2" i="82"/>
  <c r="C13" i="82"/>
  <c r="D13" i="82"/>
  <c r="G7" i="82"/>
  <c r="G8" i="82"/>
  <c r="G9" i="82"/>
  <c r="G10" i="82"/>
  <c r="G11" i="82"/>
  <c r="G12" i="82"/>
  <c r="B3" i="81"/>
  <c r="B2" i="81"/>
  <c r="G7" i="81"/>
  <c r="G8" i="81"/>
  <c r="G9" i="81"/>
  <c r="G10" i="81"/>
  <c r="G11" i="81"/>
  <c r="G12" i="81"/>
  <c r="B3" i="80"/>
  <c r="B2" i="80"/>
  <c r="B3" i="79"/>
  <c r="B2" i="79"/>
  <c r="G7" i="79"/>
  <c r="G8" i="79"/>
  <c r="G7" i="78"/>
  <c r="G9" i="78"/>
  <c r="G8" i="78"/>
  <c r="G10" i="78"/>
  <c r="B3" i="78"/>
  <c r="B2" i="78"/>
  <c r="B3" i="77"/>
  <c r="B2" i="77"/>
  <c r="G7" i="77"/>
  <c r="G8" i="77"/>
  <c r="G9" i="77"/>
  <c r="G10" i="77"/>
  <c r="G11" i="77"/>
  <c r="G12" i="77"/>
  <c r="B3" i="76"/>
  <c r="B2" i="76"/>
  <c r="G7" i="76"/>
  <c r="G8" i="76"/>
  <c r="G9" i="76"/>
  <c r="G10" i="76"/>
  <c r="G11" i="76"/>
  <c r="G12" i="76"/>
  <c r="B3" i="75"/>
  <c r="B2" i="75"/>
  <c r="G7" i="75"/>
  <c r="G8" i="75"/>
  <c r="G9" i="75"/>
  <c r="G10" i="75"/>
  <c r="G11" i="75"/>
  <c r="G12" i="75"/>
  <c r="B3" i="73"/>
  <c r="B2" i="73"/>
  <c r="G7" i="73"/>
  <c r="G8" i="73"/>
  <c r="G9" i="73"/>
  <c r="G10" i="73"/>
  <c r="G11" i="73"/>
  <c r="G12" i="73"/>
  <c r="B3" i="72"/>
  <c r="B2" i="72"/>
  <c r="G7" i="72"/>
  <c r="G8" i="72"/>
  <c r="G9" i="72"/>
  <c r="G10" i="72"/>
  <c r="G11" i="72"/>
  <c r="G12" i="72"/>
  <c r="B3" i="71"/>
  <c r="B2" i="71"/>
  <c r="G7" i="71"/>
  <c r="G8" i="71"/>
  <c r="G9" i="71"/>
  <c r="G10" i="71"/>
  <c r="G11" i="71"/>
  <c r="G12" i="71"/>
  <c r="B3" i="70"/>
  <c r="B2" i="70"/>
  <c r="G7" i="70"/>
  <c r="G8" i="70"/>
  <c r="G9" i="70"/>
  <c r="G10" i="70"/>
  <c r="G11" i="70"/>
  <c r="G12" i="70"/>
  <c r="B3" i="69"/>
  <c r="B2" i="69"/>
  <c r="C13" i="69"/>
  <c r="D13" i="69"/>
  <c r="G7" i="69"/>
  <c r="G8" i="69"/>
  <c r="G9" i="69"/>
  <c r="G10" i="69"/>
  <c r="G11" i="69"/>
  <c r="G12" i="69"/>
  <c r="B3" i="68"/>
  <c r="B2" i="68"/>
  <c r="C13" i="68"/>
  <c r="G7" i="68"/>
  <c r="G8" i="68"/>
  <c r="G9" i="68"/>
  <c r="G10" i="68"/>
  <c r="G11" i="68"/>
  <c r="G12" i="68"/>
  <c r="B3" i="67"/>
  <c r="B2" i="67"/>
  <c r="C13" i="67"/>
  <c r="G7" i="67"/>
  <c r="G8" i="67"/>
  <c r="G9" i="67"/>
  <c r="G10" i="67"/>
  <c r="G11" i="67"/>
  <c r="G12" i="67"/>
  <c r="B3" i="66"/>
  <c r="B2" i="66"/>
  <c r="C13" i="66"/>
  <c r="G7" i="66"/>
  <c r="G8" i="66"/>
  <c r="G9" i="66"/>
  <c r="G10" i="66"/>
  <c r="G11" i="66"/>
  <c r="G12" i="66"/>
  <c r="B3" i="65"/>
  <c r="B2" i="65"/>
  <c r="C13" i="65"/>
  <c r="E13" i="65" s="1"/>
  <c r="F8" i="65" s="1"/>
  <c r="G7" i="65"/>
  <c r="G8" i="65"/>
  <c r="G9" i="65"/>
  <c r="G10" i="65"/>
  <c r="G11" i="65"/>
  <c r="G12" i="65"/>
  <c r="B3" i="64"/>
  <c r="B2" i="64"/>
  <c r="C13" i="64"/>
  <c r="D13" i="64"/>
  <c r="G7" i="64"/>
  <c r="G8" i="64"/>
  <c r="G9" i="64"/>
  <c r="G10" i="64"/>
  <c r="G11" i="64"/>
  <c r="G12" i="64"/>
  <c r="B3" i="63"/>
  <c r="B2" i="63"/>
  <c r="C13" i="63"/>
  <c r="D13" i="63"/>
  <c r="G7" i="63"/>
  <c r="G8" i="63"/>
  <c r="G9" i="63"/>
  <c r="G10" i="63"/>
  <c r="G11" i="63"/>
  <c r="G12" i="63"/>
  <c r="B3" i="62"/>
  <c r="B2" i="62"/>
  <c r="C13" i="62"/>
  <c r="G7" i="62"/>
  <c r="G8" i="62"/>
  <c r="G9" i="62"/>
  <c r="G10" i="62"/>
  <c r="G11" i="62"/>
  <c r="G12" i="62"/>
  <c r="B3" i="61"/>
  <c r="B2" i="61"/>
  <c r="D13" i="61"/>
  <c r="G7" i="61"/>
  <c r="G8" i="61"/>
  <c r="G9" i="61"/>
  <c r="G10" i="61"/>
  <c r="G11" i="61"/>
  <c r="G12" i="61"/>
  <c r="B3" i="60"/>
  <c r="B2" i="60"/>
  <c r="C13" i="60"/>
  <c r="D13" i="60"/>
  <c r="G7" i="60"/>
  <c r="G8" i="60"/>
  <c r="G9" i="60"/>
  <c r="G10" i="60"/>
  <c r="G11" i="60"/>
  <c r="G12" i="60"/>
  <c r="B3" i="59"/>
  <c r="B2" i="59"/>
  <c r="C13" i="59"/>
  <c r="D13" i="59"/>
  <c r="G7" i="59"/>
  <c r="G8" i="59"/>
  <c r="G9" i="59"/>
  <c r="G10" i="59"/>
  <c r="G11" i="59"/>
  <c r="G12" i="59"/>
  <c r="B3" i="58"/>
  <c r="B2" i="58"/>
  <c r="C13" i="58"/>
  <c r="G7" i="58"/>
  <c r="G8" i="58"/>
  <c r="G9" i="58"/>
  <c r="G10" i="58"/>
  <c r="G11" i="58"/>
  <c r="G12" i="58"/>
  <c r="B3" i="57"/>
  <c r="B2" i="57"/>
  <c r="D13" i="57"/>
  <c r="G7" i="57"/>
  <c r="G8" i="57"/>
  <c r="G9" i="57"/>
  <c r="G10" i="57"/>
  <c r="G11" i="57"/>
  <c r="G12" i="57"/>
  <c r="B3" i="56"/>
  <c r="B2" i="56"/>
  <c r="G7" i="56"/>
  <c r="G8" i="56"/>
  <c r="G9" i="56"/>
  <c r="G10" i="56"/>
  <c r="G11" i="56"/>
  <c r="G12" i="56"/>
  <c r="B3" i="55"/>
  <c r="B2" i="55"/>
  <c r="D13" i="55"/>
  <c r="G7" i="55"/>
  <c r="G8" i="55"/>
  <c r="G9" i="55"/>
  <c r="G10" i="55"/>
  <c r="G11" i="55"/>
  <c r="G12" i="55"/>
  <c r="B3" i="54"/>
  <c r="B2" i="54"/>
  <c r="C13" i="54"/>
  <c r="G7" i="54"/>
  <c r="G8" i="54"/>
  <c r="G9" i="54"/>
  <c r="G10" i="54"/>
  <c r="G11" i="54"/>
  <c r="G12" i="54"/>
  <c r="B3" i="53"/>
  <c r="B2" i="53"/>
  <c r="C13" i="53"/>
  <c r="G7" i="53"/>
  <c r="G8" i="53"/>
  <c r="G9" i="53"/>
  <c r="G10" i="53"/>
  <c r="G11" i="53"/>
  <c r="G12" i="53"/>
  <c r="B3" i="52"/>
  <c r="B2" i="52"/>
  <c r="G7" i="52"/>
  <c r="G8" i="52"/>
  <c r="B3" i="51"/>
  <c r="B2" i="51"/>
  <c r="G7" i="51"/>
  <c r="G8" i="51"/>
  <c r="B3" i="50"/>
  <c r="B2" i="50"/>
  <c r="C13" i="50"/>
  <c r="G7" i="50"/>
  <c r="G8" i="50"/>
  <c r="G9" i="50"/>
  <c r="G10" i="50"/>
  <c r="G11" i="50"/>
  <c r="G12" i="50"/>
  <c r="B3" i="49"/>
  <c r="B2" i="49"/>
  <c r="D13" i="49"/>
  <c r="G7" i="49"/>
  <c r="G8" i="49"/>
  <c r="G9" i="49"/>
  <c r="G10" i="49"/>
  <c r="G11" i="49"/>
  <c r="G12" i="49"/>
  <c r="B3" i="48"/>
  <c r="B2" i="48"/>
  <c r="C13" i="48"/>
  <c r="G7" i="48"/>
  <c r="G8" i="48"/>
  <c r="G9" i="48"/>
  <c r="G10" i="48"/>
  <c r="G11" i="48"/>
  <c r="G12" i="48"/>
  <c r="B3" i="47"/>
  <c r="B2" i="47"/>
  <c r="D13" i="47"/>
  <c r="G7" i="47"/>
  <c r="G8" i="47"/>
  <c r="G9" i="47"/>
  <c r="G10" i="47"/>
  <c r="G11" i="47"/>
  <c r="G12" i="47"/>
  <c r="B3" i="46"/>
  <c r="B2" i="46"/>
  <c r="G7" i="46"/>
  <c r="G8" i="46"/>
  <c r="G9" i="46"/>
  <c r="G10" i="46"/>
  <c r="G11" i="46"/>
  <c r="G12" i="46"/>
  <c r="B3" i="45"/>
  <c r="B2" i="45"/>
  <c r="C13" i="45"/>
  <c r="D13" i="45"/>
  <c r="G7" i="45"/>
  <c r="G8" i="45"/>
  <c r="G9" i="45"/>
  <c r="G10" i="45"/>
  <c r="G11" i="45"/>
  <c r="B3" i="44"/>
  <c r="B2" i="44"/>
  <c r="C13" i="44"/>
  <c r="G7" i="44"/>
  <c r="G8" i="44"/>
  <c r="G9" i="44"/>
  <c r="G10" i="44"/>
  <c r="G11" i="44"/>
  <c r="G12" i="44"/>
  <c r="B3" i="43"/>
  <c r="B2" i="43"/>
  <c r="C13" i="43"/>
  <c r="D13" i="43"/>
  <c r="G7" i="43"/>
  <c r="G8" i="43"/>
  <c r="G9" i="43"/>
  <c r="G10" i="43"/>
  <c r="G11" i="43"/>
  <c r="G12" i="43"/>
  <c r="B3" i="42"/>
  <c r="B2" i="42"/>
  <c r="C13" i="42"/>
  <c r="G7" i="42"/>
  <c r="G8" i="42"/>
  <c r="G9" i="42"/>
  <c r="G10" i="42"/>
  <c r="G11" i="42"/>
  <c r="G12" i="42"/>
  <c r="B3" i="41"/>
  <c r="B2" i="41"/>
  <c r="C13" i="41"/>
  <c r="G7" i="41"/>
  <c r="G8" i="41"/>
  <c r="G9" i="41"/>
  <c r="G10" i="41"/>
  <c r="G11" i="41"/>
  <c r="G12" i="41"/>
  <c r="B3" i="40"/>
  <c r="B2" i="40"/>
  <c r="G7" i="40"/>
  <c r="G8" i="40"/>
  <c r="B3" i="39"/>
  <c r="B2" i="39"/>
  <c r="G7" i="39"/>
  <c r="G8" i="39"/>
  <c r="G9" i="39"/>
  <c r="G10" i="39"/>
  <c r="G11" i="39"/>
  <c r="G12" i="39"/>
  <c r="B3" i="38"/>
  <c r="B2" i="38"/>
  <c r="D13" i="38"/>
  <c r="G7" i="38"/>
  <c r="G8" i="38"/>
  <c r="G9" i="38"/>
  <c r="G10" i="38"/>
  <c r="G11" i="38"/>
  <c r="G12" i="38"/>
  <c r="B3" i="37"/>
  <c r="B2" i="37"/>
  <c r="E19" i="37"/>
  <c r="C13" i="37"/>
  <c r="G7" i="37"/>
  <c r="G8" i="37"/>
  <c r="G9" i="37"/>
  <c r="G10" i="37"/>
  <c r="G11" i="37"/>
  <c r="G12" i="37"/>
  <c r="B3" i="36"/>
  <c r="B2" i="36"/>
  <c r="G7" i="36"/>
  <c r="G8" i="36"/>
  <c r="B3" i="35"/>
  <c r="B2" i="35"/>
  <c r="E19" i="35"/>
  <c r="C13" i="35"/>
  <c r="G7" i="35"/>
  <c r="G8" i="35"/>
  <c r="G9" i="35"/>
  <c r="G10" i="35"/>
  <c r="G11" i="35"/>
  <c r="G12" i="35"/>
  <c r="B3" i="34"/>
  <c r="B2" i="34"/>
  <c r="G7" i="34"/>
  <c r="G8" i="34"/>
  <c r="G9" i="34"/>
  <c r="G10" i="34"/>
  <c r="G11" i="34"/>
  <c r="G12" i="34"/>
  <c r="B3" i="33"/>
  <c r="B2" i="33"/>
  <c r="D13" i="33"/>
  <c r="G7" i="33"/>
  <c r="G8" i="33"/>
  <c r="G9" i="33"/>
  <c r="G10" i="33"/>
  <c r="G11" i="33"/>
  <c r="G12" i="33"/>
  <c r="B3" i="32"/>
  <c r="B2" i="32"/>
  <c r="G7" i="32"/>
  <c r="G8" i="32"/>
  <c r="G9" i="32"/>
  <c r="G10" i="32"/>
  <c r="G11" i="32"/>
  <c r="G12" i="32"/>
  <c r="B3" i="31"/>
  <c r="B2" i="31"/>
  <c r="D13" i="31"/>
  <c r="G7" i="31"/>
  <c r="G8" i="31"/>
  <c r="G9" i="31"/>
  <c r="G10" i="31"/>
  <c r="G11" i="31"/>
  <c r="G12" i="31"/>
  <c r="B3" i="30"/>
  <c r="B2" i="30"/>
  <c r="C13" i="30"/>
  <c r="G7" i="30"/>
  <c r="G8" i="30"/>
  <c r="G9" i="30"/>
  <c r="G10" i="30"/>
  <c r="G11" i="30"/>
  <c r="G12" i="30"/>
  <c r="B3" i="29"/>
  <c r="B2" i="29"/>
  <c r="C13" i="29"/>
  <c r="D13" i="29"/>
  <c r="G7" i="29"/>
  <c r="G8" i="29"/>
  <c r="G9" i="29"/>
  <c r="G10" i="29"/>
  <c r="G11" i="29"/>
  <c r="G12" i="29"/>
  <c r="B3" i="28"/>
  <c r="B2" i="28"/>
  <c r="G7" i="28"/>
  <c r="G8" i="28"/>
  <c r="G9" i="28"/>
  <c r="G10" i="28"/>
  <c r="G11" i="28"/>
  <c r="G12" i="28"/>
  <c r="D6" i="3"/>
  <c r="G7" i="27"/>
  <c r="G8" i="27"/>
  <c r="B3" i="27"/>
  <c r="B2" i="27"/>
  <c r="B3" i="26"/>
  <c r="B2" i="26"/>
  <c r="G7" i="26"/>
  <c r="G8" i="26"/>
  <c r="G9" i="26"/>
  <c r="G10" i="26"/>
  <c r="G11" i="26"/>
  <c r="G12" i="26"/>
  <c r="B3" i="25"/>
  <c r="B2" i="25"/>
  <c r="E19" i="25"/>
  <c r="C13" i="25"/>
  <c r="G7" i="25"/>
  <c r="G8" i="25"/>
  <c r="G9" i="25"/>
  <c r="G10" i="25"/>
  <c r="G11" i="25"/>
  <c r="G12" i="25"/>
  <c r="B3" i="24"/>
  <c r="B2" i="24"/>
  <c r="E26" i="24"/>
  <c r="G7" i="24"/>
  <c r="G8" i="24"/>
  <c r="G9" i="24"/>
  <c r="G10" i="24"/>
  <c r="G11" i="24"/>
  <c r="G12" i="24"/>
  <c r="B3" i="23"/>
  <c r="B2" i="23"/>
  <c r="C13" i="23"/>
  <c r="G7" i="23"/>
  <c r="G8" i="23"/>
  <c r="G9" i="23"/>
  <c r="G10" i="23"/>
  <c r="G11" i="23"/>
  <c r="G12" i="23"/>
  <c r="B3" i="22"/>
  <c r="B2" i="22"/>
  <c r="G7" i="22"/>
  <c r="G8" i="22"/>
  <c r="B3" i="21"/>
  <c r="B2" i="21"/>
  <c r="C13" i="21"/>
  <c r="G7" i="21"/>
  <c r="G8" i="21"/>
  <c r="G9" i="21"/>
  <c r="G10" i="21"/>
  <c r="G11" i="21"/>
  <c r="G12" i="21"/>
  <c r="B3" i="20"/>
  <c r="B2" i="20"/>
  <c r="C13" i="20"/>
  <c r="D13" i="20"/>
  <c r="G7" i="20"/>
  <c r="G8" i="20"/>
  <c r="G9" i="20"/>
  <c r="G10" i="20"/>
  <c r="G11" i="20"/>
  <c r="G12" i="20"/>
  <c r="B3" i="19"/>
  <c r="B2" i="19"/>
  <c r="C13" i="19"/>
  <c r="D13" i="19"/>
  <c r="G7" i="19"/>
  <c r="G8" i="19"/>
  <c r="G9" i="19"/>
  <c r="G10" i="19"/>
  <c r="G11" i="19"/>
  <c r="G12" i="19"/>
  <c r="B3" i="18"/>
  <c r="B2" i="18"/>
  <c r="D13" i="18"/>
  <c r="G7" i="18"/>
  <c r="G8" i="18"/>
  <c r="G9" i="18"/>
  <c r="G10" i="18"/>
  <c r="G11" i="18"/>
  <c r="G12" i="18"/>
  <c r="B3" i="17"/>
  <c r="B2" i="17"/>
  <c r="E19" i="17"/>
  <c r="C13" i="17"/>
  <c r="G7" i="17"/>
  <c r="G8" i="17"/>
  <c r="G9" i="17"/>
  <c r="G10" i="17"/>
  <c r="G11" i="17"/>
  <c r="G12" i="17"/>
  <c r="B3" i="16"/>
  <c r="B2" i="16"/>
  <c r="E19" i="16"/>
  <c r="C13" i="16"/>
  <c r="G7" i="16"/>
  <c r="G8" i="16"/>
  <c r="G9" i="16"/>
  <c r="G10" i="16"/>
  <c r="G11" i="16"/>
  <c r="G12" i="16"/>
  <c r="B3" i="15"/>
  <c r="B2" i="15"/>
  <c r="C13" i="15"/>
  <c r="D13" i="15"/>
  <c r="G7" i="15"/>
  <c r="G8" i="15"/>
  <c r="G9" i="15"/>
  <c r="G10" i="15"/>
  <c r="G11" i="15"/>
  <c r="G12" i="15"/>
  <c r="B3" i="14"/>
  <c r="B2" i="14"/>
  <c r="E19" i="14"/>
  <c r="G7" i="14"/>
  <c r="G8" i="14"/>
  <c r="G9" i="14"/>
  <c r="G10" i="14"/>
  <c r="G11" i="14"/>
  <c r="G12" i="14"/>
  <c r="B3" i="13"/>
  <c r="B2" i="13"/>
  <c r="E26" i="13"/>
  <c r="G7" i="13"/>
  <c r="G8" i="13"/>
  <c r="G9" i="13"/>
  <c r="G10" i="13"/>
  <c r="G11" i="13"/>
  <c r="G12" i="13"/>
  <c r="B3" i="12"/>
  <c r="B2" i="12"/>
  <c r="E26" i="12"/>
  <c r="D13" i="12"/>
  <c r="G7" i="12"/>
  <c r="G8" i="12"/>
  <c r="G9" i="12"/>
  <c r="G10" i="12"/>
  <c r="G11" i="12"/>
  <c r="G12" i="12"/>
  <c r="B3" i="11"/>
  <c r="B2" i="11"/>
  <c r="E19" i="11"/>
  <c r="E26" i="11"/>
  <c r="D13" i="11"/>
  <c r="G7" i="11"/>
  <c r="G8" i="11"/>
  <c r="G9" i="11"/>
  <c r="G10" i="11"/>
  <c r="G11" i="11"/>
  <c r="G12" i="11"/>
  <c r="B3" i="10"/>
  <c r="B2" i="10"/>
  <c r="E26" i="10"/>
  <c r="D13" i="10"/>
  <c r="G7" i="10"/>
  <c r="G8" i="10"/>
  <c r="G9" i="10"/>
  <c r="G10" i="10"/>
  <c r="G11" i="10"/>
  <c r="G12" i="10"/>
  <c r="B3" i="9"/>
  <c r="B2" i="9"/>
  <c r="E26" i="9"/>
  <c r="D13" i="9"/>
  <c r="G7" i="9"/>
  <c r="G8" i="9"/>
  <c r="G9" i="9"/>
  <c r="G10" i="9"/>
  <c r="G11" i="9"/>
  <c r="G12" i="9"/>
  <c r="B3" i="8"/>
  <c r="B2" i="8"/>
  <c r="C13" i="8"/>
  <c r="D13" i="8"/>
  <c r="G7" i="8"/>
  <c r="G8" i="8"/>
  <c r="G9" i="8"/>
  <c r="G10" i="8"/>
  <c r="G11" i="8"/>
  <c r="G12" i="8"/>
  <c r="B3" i="7"/>
  <c r="B2" i="7"/>
  <c r="C13" i="7"/>
  <c r="G7" i="7"/>
  <c r="G8" i="7"/>
  <c r="G9" i="7"/>
  <c r="G10" i="7"/>
  <c r="G11" i="7"/>
  <c r="G12" i="7"/>
  <c r="B3" i="6"/>
  <c r="B2" i="6"/>
  <c r="G7" i="6"/>
  <c r="G8" i="6"/>
  <c r="B3" i="5"/>
  <c r="B2" i="5"/>
  <c r="D13" i="5"/>
  <c r="G7" i="5"/>
  <c r="G8" i="5"/>
  <c r="G9" i="5"/>
  <c r="G10" i="5"/>
  <c r="G11" i="5"/>
  <c r="G12" i="5"/>
  <c r="B3" i="3"/>
  <c r="B2" i="3"/>
  <c r="G7" i="3"/>
  <c r="G8" i="3"/>
  <c r="G9" i="3"/>
  <c r="G10" i="3"/>
  <c r="G11" i="3"/>
  <c r="G12" i="3"/>
  <c r="F8" i="123" l="1"/>
  <c r="F9" i="40"/>
  <c r="F8" i="40"/>
  <c r="F7" i="40"/>
  <c r="F13" i="65"/>
  <c r="F12" i="65"/>
  <c r="F9" i="65"/>
  <c r="F7" i="65"/>
  <c r="F10" i="65"/>
  <c r="F11" i="65"/>
  <c r="E18" i="83"/>
  <c r="E26" i="81"/>
  <c r="E26" i="21"/>
  <c r="E18" i="45"/>
  <c r="E27" i="65"/>
  <c r="E20" i="62"/>
  <c r="E26" i="61"/>
  <c r="E25" i="68"/>
  <c r="E18" i="65"/>
  <c r="E28" i="58"/>
  <c r="E21" i="55"/>
  <c r="E25" i="39"/>
  <c r="E27" i="61"/>
  <c r="E28" i="70"/>
  <c r="E21" i="67"/>
  <c r="E21" i="43"/>
  <c r="E21" i="48"/>
  <c r="E20" i="100"/>
  <c r="E26" i="45"/>
  <c r="E27" i="53"/>
  <c r="E21" i="66"/>
  <c r="E18" i="84"/>
  <c r="E25" i="83"/>
  <c r="E18" i="81"/>
  <c r="E27" i="83"/>
  <c r="E20" i="81"/>
  <c r="E26" i="49"/>
  <c r="E25" i="64"/>
  <c r="E18" i="61"/>
  <c r="E18" i="53"/>
  <c r="E25" i="42"/>
  <c r="E28" i="47"/>
  <c r="E27" i="69"/>
  <c r="E28" i="57"/>
  <c r="E18" i="128"/>
  <c r="E26" i="103"/>
  <c r="E26" i="100"/>
  <c r="E27" i="64"/>
  <c r="E28" i="65"/>
  <c r="E26" i="53"/>
  <c r="E25" i="61"/>
  <c r="E25" i="128"/>
  <c r="E25" i="125"/>
  <c r="E18" i="120"/>
  <c r="E20" i="117"/>
  <c r="E26" i="115"/>
  <c r="E26" i="112"/>
  <c r="E26" i="105"/>
  <c r="E20" i="104"/>
  <c r="E26" i="102"/>
  <c r="E26" i="96"/>
  <c r="E26" i="93"/>
  <c r="E18" i="89"/>
  <c r="E18" i="69"/>
  <c r="E25" i="50"/>
  <c r="E25" i="89"/>
  <c r="E25" i="86"/>
  <c r="E13" i="55"/>
  <c r="E6" i="123"/>
  <c r="F6" i="123" s="1"/>
  <c r="E6" i="65"/>
  <c r="F6" i="65" s="1"/>
  <c r="E28" i="48"/>
  <c r="E25" i="38"/>
  <c r="E25" i="65"/>
  <c r="E26" i="39"/>
  <c r="F7" i="123"/>
  <c r="E25" i="53"/>
  <c r="E20" i="96"/>
  <c r="E25" i="91"/>
  <c r="E20" i="90"/>
  <c r="E27" i="89"/>
  <c r="E26" i="89"/>
  <c r="E25" i="87"/>
  <c r="E18" i="86"/>
  <c r="E25" i="43"/>
  <c r="E25" i="120"/>
  <c r="E18" i="119"/>
  <c r="E26" i="117"/>
  <c r="E25" i="114"/>
  <c r="E26" i="92"/>
  <c r="E25" i="88"/>
  <c r="E18" i="87"/>
  <c r="E27" i="86"/>
  <c r="E26" i="86"/>
  <c r="E21" i="88"/>
  <c r="E25" i="126"/>
  <c r="E18" i="125"/>
  <c r="E25" i="122"/>
  <c r="E18" i="121"/>
  <c r="E25" i="119"/>
  <c r="E20" i="118"/>
  <c r="E27" i="114"/>
  <c r="E25" i="111"/>
  <c r="E19" i="110"/>
  <c r="E20" i="106"/>
  <c r="E20" i="103"/>
  <c r="E26" i="95"/>
  <c r="E20" i="128"/>
  <c r="E21" i="107"/>
  <c r="E20" i="84"/>
  <c r="E18" i="92"/>
  <c r="E21" i="91"/>
  <c r="E28" i="69"/>
  <c r="E20" i="120"/>
  <c r="E27" i="115"/>
  <c r="E26" i="114"/>
  <c r="E21" i="113"/>
  <c r="E27" i="95"/>
  <c r="E21" i="85"/>
  <c r="E27" i="39"/>
  <c r="E26" i="65"/>
  <c r="E18" i="48"/>
  <c r="E25" i="45"/>
  <c r="E25" i="124"/>
  <c r="E18" i="122"/>
  <c r="E27" i="119"/>
  <c r="E26" i="119"/>
  <c r="E20" i="112"/>
  <c r="E20" i="109"/>
  <c r="E26" i="106"/>
  <c r="E26" i="99"/>
  <c r="E20" i="97"/>
  <c r="E20" i="93"/>
  <c r="E27" i="92"/>
  <c r="E26" i="90"/>
  <c r="E25" i="85"/>
  <c r="E25" i="47"/>
  <c r="E25" i="69"/>
  <c r="E25" i="57"/>
  <c r="E25" i="49"/>
  <c r="E28" i="43"/>
  <c r="E18" i="129"/>
  <c r="E18" i="127"/>
  <c r="E28" i="112"/>
  <c r="E28" i="109"/>
  <c r="E21" i="106"/>
  <c r="E28" i="105"/>
  <c r="E21" i="103"/>
  <c r="E28" i="102"/>
  <c r="E21" i="100"/>
  <c r="E28" i="99"/>
  <c r="E19" i="97"/>
  <c r="E20" i="94"/>
  <c r="E20" i="91"/>
  <c r="E27" i="87"/>
  <c r="E19" i="49"/>
  <c r="E21" i="44"/>
  <c r="E26" i="69"/>
  <c r="E26" i="57"/>
  <c r="E21" i="38"/>
  <c r="E28" i="61"/>
  <c r="E25" i="129"/>
  <c r="E21" i="128"/>
  <c r="E25" i="127"/>
  <c r="E18" i="126"/>
  <c r="E20" i="125"/>
  <c r="E18" i="124"/>
  <c r="E25" i="121"/>
  <c r="E28" i="119"/>
  <c r="E25" i="118"/>
  <c r="E21" i="117"/>
  <c r="E27" i="112"/>
  <c r="E27" i="111"/>
  <c r="E26" i="111"/>
  <c r="E20" i="110"/>
  <c r="E20" i="107"/>
  <c r="E28" i="106"/>
  <c r="E27" i="105"/>
  <c r="E21" i="104"/>
  <c r="E28" i="103"/>
  <c r="E27" i="102"/>
  <c r="E21" i="101"/>
  <c r="E28" i="100"/>
  <c r="E27" i="99"/>
  <c r="E21" i="97"/>
  <c r="E21" i="96"/>
  <c r="E28" i="95"/>
  <c r="E21" i="93"/>
  <c r="E28" i="92"/>
  <c r="E21" i="90"/>
  <c r="E25" i="82"/>
  <c r="E21" i="121"/>
  <c r="E28" i="120"/>
  <c r="E21" i="118"/>
  <c r="E28" i="117"/>
  <c r="E21" i="116"/>
  <c r="E28" i="115"/>
  <c r="E21" i="110"/>
  <c r="E19" i="107"/>
  <c r="E28" i="96"/>
  <c r="E28" i="93"/>
  <c r="E28" i="90"/>
  <c r="E28" i="84"/>
  <c r="E26" i="83"/>
  <c r="E21" i="82"/>
  <c r="E28" i="81"/>
  <c r="E27" i="129"/>
  <c r="E26" i="129"/>
  <c r="E19" i="128"/>
  <c r="E20" i="127"/>
  <c r="E28" i="127"/>
  <c r="E27" i="126"/>
  <c r="E26" i="126"/>
  <c r="E21" i="125"/>
  <c r="E19" i="125"/>
  <c r="E20" i="124"/>
  <c r="E28" i="124"/>
  <c r="E27" i="122"/>
  <c r="E26" i="122"/>
  <c r="E19" i="121"/>
  <c r="E19" i="118"/>
  <c r="E18" i="115"/>
  <c r="E19" i="115"/>
  <c r="E25" i="113"/>
  <c r="E26" i="113"/>
  <c r="E27" i="113"/>
  <c r="E28" i="113"/>
  <c r="E18" i="111"/>
  <c r="E20" i="111"/>
  <c r="E21" i="111"/>
  <c r="E19" i="111"/>
  <c r="E25" i="107"/>
  <c r="E26" i="107"/>
  <c r="E27" i="107"/>
  <c r="E18" i="105"/>
  <c r="E20" i="105"/>
  <c r="E19" i="105"/>
  <c r="E25" i="97"/>
  <c r="E26" i="97"/>
  <c r="E27" i="97"/>
  <c r="E18" i="95"/>
  <c r="E20" i="95"/>
  <c r="E19" i="95"/>
  <c r="E21" i="129"/>
  <c r="E19" i="129"/>
  <c r="E28" i="128"/>
  <c r="E27" i="127"/>
  <c r="E26" i="127"/>
  <c r="E21" i="126"/>
  <c r="E19" i="126"/>
  <c r="E28" i="125"/>
  <c r="E27" i="124"/>
  <c r="E26" i="124"/>
  <c r="E21" i="122"/>
  <c r="E19" i="122"/>
  <c r="E20" i="121"/>
  <c r="E28" i="121"/>
  <c r="E27" i="120"/>
  <c r="E26" i="120"/>
  <c r="E21" i="119"/>
  <c r="E19" i="119"/>
  <c r="E28" i="118"/>
  <c r="E18" i="117"/>
  <c r="E27" i="117"/>
  <c r="E25" i="116"/>
  <c r="E26" i="116"/>
  <c r="E27" i="116"/>
  <c r="E28" i="116"/>
  <c r="E18" i="114"/>
  <c r="E20" i="114"/>
  <c r="E21" i="114"/>
  <c r="E19" i="114"/>
  <c r="E20" i="113"/>
  <c r="E19" i="113"/>
  <c r="E18" i="109"/>
  <c r="E19" i="109"/>
  <c r="E27" i="109"/>
  <c r="E26" i="109"/>
  <c r="E25" i="104"/>
  <c r="E26" i="104"/>
  <c r="E27" i="104"/>
  <c r="E19" i="104"/>
  <c r="E18" i="102"/>
  <c r="E20" i="102"/>
  <c r="E19" i="102"/>
  <c r="E20" i="101"/>
  <c r="E25" i="94"/>
  <c r="E26" i="94"/>
  <c r="E27" i="94"/>
  <c r="E20" i="129"/>
  <c r="E28" i="129"/>
  <c r="E27" i="128"/>
  <c r="E26" i="128"/>
  <c r="E21" i="127"/>
  <c r="E19" i="127"/>
  <c r="E20" i="126"/>
  <c r="E28" i="126"/>
  <c r="E27" i="125"/>
  <c r="E26" i="125"/>
  <c r="E21" i="124"/>
  <c r="E19" i="124"/>
  <c r="E20" i="122"/>
  <c r="E28" i="122"/>
  <c r="E27" i="121"/>
  <c r="E26" i="121"/>
  <c r="E21" i="120"/>
  <c r="E19" i="120"/>
  <c r="E20" i="119"/>
  <c r="E18" i="118"/>
  <c r="E27" i="118"/>
  <c r="E26" i="118"/>
  <c r="E25" i="117"/>
  <c r="E19" i="117"/>
  <c r="E20" i="116"/>
  <c r="E19" i="116"/>
  <c r="E20" i="115"/>
  <c r="E18" i="112"/>
  <c r="E19" i="112"/>
  <c r="E25" i="110"/>
  <c r="E26" i="110"/>
  <c r="E27" i="110"/>
  <c r="E28" i="110"/>
  <c r="E25" i="101"/>
  <c r="E26" i="101"/>
  <c r="E27" i="101"/>
  <c r="E19" i="101"/>
  <c r="E18" i="99"/>
  <c r="E20" i="99"/>
  <c r="E19" i="99"/>
  <c r="E21" i="94"/>
  <c r="E19" i="94"/>
  <c r="E19" i="91"/>
  <c r="E19" i="88"/>
  <c r="E19" i="85"/>
  <c r="E19" i="82"/>
  <c r="E18" i="116"/>
  <c r="E25" i="115"/>
  <c r="E21" i="115"/>
  <c r="E28" i="114"/>
  <c r="E18" i="113"/>
  <c r="E25" i="112"/>
  <c r="E21" i="112"/>
  <c r="E28" i="111"/>
  <c r="E18" i="110"/>
  <c r="E25" i="109"/>
  <c r="E21" i="109"/>
  <c r="E28" i="107"/>
  <c r="E18" i="106"/>
  <c r="E27" i="106"/>
  <c r="E25" i="105"/>
  <c r="E21" i="105"/>
  <c r="E28" i="104"/>
  <c r="E18" i="103"/>
  <c r="E27" i="103"/>
  <c r="E25" i="102"/>
  <c r="E21" i="102"/>
  <c r="E28" i="101"/>
  <c r="E18" i="100"/>
  <c r="E27" i="100"/>
  <c r="E25" i="99"/>
  <c r="E21" i="99"/>
  <c r="E28" i="97"/>
  <c r="E18" i="96"/>
  <c r="E27" i="96"/>
  <c r="E25" i="95"/>
  <c r="E21" i="95"/>
  <c r="E28" i="94"/>
  <c r="E18" i="93"/>
  <c r="E27" i="93"/>
  <c r="E25" i="92"/>
  <c r="E21" i="92"/>
  <c r="E19" i="92"/>
  <c r="E28" i="91"/>
  <c r="E18" i="90"/>
  <c r="E27" i="90"/>
  <c r="E21" i="89"/>
  <c r="E19" i="89"/>
  <c r="E20" i="88"/>
  <c r="E28" i="88"/>
  <c r="E19" i="87"/>
  <c r="E21" i="87"/>
  <c r="E21" i="86"/>
  <c r="E19" i="86"/>
  <c r="E20" i="85"/>
  <c r="E28" i="85"/>
  <c r="E27" i="84"/>
  <c r="E26" i="84"/>
  <c r="E21" i="83"/>
  <c r="E19" i="83"/>
  <c r="E20" i="82"/>
  <c r="E28" i="82"/>
  <c r="E27" i="81"/>
  <c r="E18" i="107"/>
  <c r="E25" i="106"/>
  <c r="E19" i="106"/>
  <c r="E18" i="104"/>
  <c r="E25" i="103"/>
  <c r="E19" i="103"/>
  <c r="E18" i="101"/>
  <c r="E25" i="100"/>
  <c r="E19" i="100"/>
  <c r="E18" i="97"/>
  <c r="E25" i="96"/>
  <c r="E19" i="96"/>
  <c r="E18" i="94"/>
  <c r="E25" i="93"/>
  <c r="E19" i="93"/>
  <c r="E20" i="92"/>
  <c r="E18" i="91"/>
  <c r="E27" i="91"/>
  <c r="E26" i="91"/>
  <c r="E25" i="90"/>
  <c r="E19" i="90"/>
  <c r="E20" i="89"/>
  <c r="E28" i="89"/>
  <c r="E18" i="88"/>
  <c r="E27" i="88"/>
  <c r="E26" i="88"/>
  <c r="E26" i="87"/>
  <c r="E20" i="87"/>
  <c r="E28" i="87"/>
  <c r="E20" i="86"/>
  <c r="E28" i="86"/>
  <c r="E18" i="85"/>
  <c r="E27" i="85"/>
  <c r="E26" i="85"/>
  <c r="E25" i="84"/>
  <c r="E21" i="84"/>
  <c r="E19" i="84"/>
  <c r="E20" i="83"/>
  <c r="E28" i="83"/>
  <c r="E18" i="82"/>
  <c r="E27" i="82"/>
  <c r="E26" i="82"/>
  <c r="E25" i="81"/>
  <c r="E21" i="81"/>
  <c r="E19" i="81"/>
  <c r="E20" i="43"/>
  <c r="E19" i="44"/>
  <c r="E26" i="3"/>
  <c r="E21" i="49"/>
  <c r="E20" i="57"/>
  <c r="E26" i="64"/>
  <c r="E25" i="55"/>
  <c r="E19" i="48"/>
  <c r="E26" i="30"/>
  <c r="E21" i="77"/>
  <c r="E18" i="73"/>
  <c r="E26" i="76"/>
  <c r="E25" i="73"/>
  <c r="E18" i="77"/>
  <c r="E28" i="77"/>
  <c r="E27" i="71"/>
  <c r="E25" i="54"/>
  <c r="E20" i="54"/>
  <c r="E20" i="70"/>
  <c r="E18" i="66"/>
  <c r="E21" i="62"/>
  <c r="E21" i="58"/>
  <c r="E26" i="73"/>
  <c r="E18" i="39"/>
  <c r="E20" i="66"/>
  <c r="E27" i="47"/>
  <c r="E27" i="43"/>
  <c r="E18" i="38"/>
  <c r="E26" i="43"/>
  <c r="E21" i="50"/>
  <c r="E21" i="46"/>
  <c r="E21" i="42"/>
  <c r="E21" i="45"/>
  <c r="E20" i="39"/>
  <c r="E20" i="58"/>
  <c r="E19" i="45"/>
  <c r="E20" i="38"/>
  <c r="E21" i="47"/>
  <c r="E18" i="58"/>
  <c r="E20" i="77"/>
  <c r="E19" i="70"/>
  <c r="E19" i="66"/>
  <c r="E19" i="62"/>
  <c r="E19" i="58"/>
  <c r="E21" i="70"/>
  <c r="E20" i="53"/>
  <c r="E19" i="38"/>
  <c r="E25" i="67"/>
  <c r="E21" i="63"/>
  <c r="E26" i="47"/>
  <c r="E21" i="29"/>
  <c r="E27" i="68"/>
  <c r="E25" i="76"/>
  <c r="E18" i="50"/>
  <c r="E18" i="54"/>
  <c r="E25" i="66"/>
  <c r="E25" i="62"/>
  <c r="E19" i="55"/>
  <c r="E27" i="76"/>
  <c r="E26" i="59"/>
  <c r="E18" i="67"/>
  <c r="E21" i="54"/>
  <c r="E28" i="62"/>
  <c r="E21" i="59"/>
  <c r="E28" i="54"/>
  <c r="E18" i="41"/>
  <c r="E19" i="54"/>
  <c r="E18" i="68"/>
  <c r="E28" i="66"/>
  <c r="E26" i="55"/>
  <c r="E25" i="46"/>
  <c r="E18" i="70"/>
  <c r="E18" i="62"/>
  <c r="E28" i="39"/>
  <c r="E28" i="53"/>
  <c r="C13" i="120"/>
  <c r="E13" i="120" s="1"/>
  <c r="E25" i="58"/>
  <c r="E28" i="50"/>
  <c r="E18" i="47"/>
  <c r="E28" i="42"/>
  <c r="E28" i="38"/>
  <c r="E18" i="75"/>
  <c r="E25" i="59"/>
  <c r="E20" i="50"/>
  <c r="E18" i="42"/>
  <c r="E27" i="41"/>
  <c r="E18" i="3"/>
  <c r="E19" i="50"/>
  <c r="E20" i="47"/>
  <c r="E25" i="44"/>
  <c r="E19" i="42"/>
  <c r="E18" i="56"/>
  <c r="E18" i="46"/>
  <c r="E26" i="44"/>
  <c r="E20" i="42"/>
  <c r="E20" i="61"/>
  <c r="E19" i="46"/>
  <c r="E27" i="44"/>
  <c r="E26" i="68"/>
  <c r="E20" i="46"/>
  <c r="E19" i="77"/>
  <c r="E18" i="63"/>
  <c r="E27" i="60"/>
  <c r="E20" i="69"/>
  <c r="E25" i="48"/>
  <c r="E28" i="46"/>
  <c r="E18" i="64"/>
  <c r="E26" i="60"/>
  <c r="E26" i="48"/>
  <c r="E26" i="63"/>
  <c r="E27" i="46"/>
  <c r="E28" i="76"/>
  <c r="E27" i="48"/>
  <c r="E26" i="41"/>
  <c r="E19" i="29"/>
  <c r="E26" i="67"/>
  <c r="E27" i="56"/>
  <c r="E18" i="43"/>
  <c r="E21" i="41"/>
  <c r="E27" i="73"/>
  <c r="E25" i="63"/>
  <c r="E19" i="41"/>
  <c r="E27" i="42"/>
  <c r="E19" i="33"/>
  <c r="E19" i="63"/>
  <c r="E18" i="60"/>
  <c r="E19" i="59"/>
  <c r="E25" i="70"/>
  <c r="E20" i="65"/>
  <c r="E18" i="59"/>
  <c r="E26" i="56"/>
  <c r="E28" i="49"/>
  <c r="E28" i="45"/>
  <c r="E28" i="41"/>
  <c r="E21" i="3"/>
  <c r="E28" i="73"/>
  <c r="E18" i="76"/>
  <c r="E18" i="71"/>
  <c r="E28" i="71"/>
  <c r="E26" i="71"/>
  <c r="E25" i="71"/>
  <c r="E26" i="72"/>
  <c r="E25" i="77"/>
  <c r="E27" i="72"/>
  <c r="E18" i="72"/>
  <c r="E21" i="71"/>
  <c r="E20" i="76"/>
  <c r="E25" i="3"/>
  <c r="E26" i="77"/>
  <c r="E27" i="77"/>
  <c r="E25" i="72"/>
  <c r="E20" i="71"/>
  <c r="E26" i="75"/>
  <c r="E20" i="73"/>
  <c r="E25" i="75"/>
  <c r="E27" i="75"/>
  <c r="E19" i="3"/>
  <c r="E19" i="75"/>
  <c r="E28" i="67"/>
  <c r="E28" i="63"/>
  <c r="E28" i="59"/>
  <c r="E20" i="75"/>
  <c r="E21" i="73"/>
  <c r="E19" i="69"/>
  <c r="E19" i="65"/>
  <c r="E19" i="61"/>
  <c r="E19" i="57"/>
  <c r="E19" i="53"/>
  <c r="E27" i="49"/>
  <c r="E19" i="47"/>
  <c r="E27" i="45"/>
  <c r="E19" i="43"/>
  <c r="E26" i="38"/>
  <c r="E20" i="3"/>
  <c r="E27" i="70"/>
  <c r="E21" i="68"/>
  <c r="E27" i="66"/>
  <c r="E21" i="64"/>
  <c r="E27" i="62"/>
  <c r="E21" i="60"/>
  <c r="E27" i="58"/>
  <c r="E21" i="56"/>
  <c r="E27" i="54"/>
  <c r="E27" i="50"/>
  <c r="E20" i="33"/>
  <c r="E28" i="75"/>
  <c r="E19" i="73"/>
  <c r="E26" i="70"/>
  <c r="E20" i="68"/>
  <c r="E26" i="66"/>
  <c r="E20" i="64"/>
  <c r="E26" i="62"/>
  <c r="E20" i="60"/>
  <c r="E26" i="58"/>
  <c r="E20" i="56"/>
  <c r="E26" i="54"/>
  <c r="E27" i="30"/>
  <c r="E19" i="71"/>
  <c r="E19" i="67"/>
  <c r="E18" i="55"/>
  <c r="E28" i="3"/>
  <c r="E21" i="72"/>
  <c r="E19" i="68"/>
  <c r="E19" i="64"/>
  <c r="E19" i="60"/>
  <c r="E19" i="56"/>
  <c r="E21" i="76"/>
  <c r="E27" i="3"/>
  <c r="E20" i="72"/>
  <c r="E28" i="68"/>
  <c r="E28" i="64"/>
  <c r="E28" i="60"/>
  <c r="E28" i="56"/>
  <c r="E26" i="50"/>
  <c r="E20" i="48"/>
  <c r="E26" i="46"/>
  <c r="E20" i="44"/>
  <c r="E26" i="42"/>
  <c r="E19" i="39"/>
  <c r="E21" i="32"/>
  <c r="E21" i="75"/>
  <c r="E19" i="72"/>
  <c r="E20" i="67"/>
  <c r="E20" i="63"/>
  <c r="E20" i="59"/>
  <c r="E20" i="55"/>
  <c r="E20" i="49"/>
  <c r="E20" i="45"/>
  <c r="E20" i="41"/>
  <c r="E27" i="38"/>
  <c r="E19" i="76"/>
  <c r="E28" i="72"/>
  <c r="E21" i="69"/>
  <c r="E27" i="67"/>
  <c r="E21" i="65"/>
  <c r="E27" i="63"/>
  <c r="E21" i="61"/>
  <c r="E27" i="59"/>
  <c r="E21" i="57"/>
  <c r="E27" i="55"/>
  <c r="E21" i="53"/>
  <c r="E25" i="41"/>
  <c r="E18" i="33"/>
  <c r="E25" i="30"/>
  <c r="E26" i="31"/>
  <c r="E28" i="30"/>
  <c r="E20" i="30"/>
  <c r="E27" i="31"/>
  <c r="E25" i="29"/>
  <c r="E21" i="31"/>
  <c r="E18" i="29"/>
  <c r="E21" i="30"/>
  <c r="E25" i="31"/>
  <c r="E28" i="31"/>
  <c r="E26" i="29"/>
  <c r="E18" i="31"/>
  <c r="E28" i="29"/>
  <c r="E18" i="30"/>
  <c r="E19" i="31"/>
  <c r="E20" i="29"/>
  <c r="E19" i="30"/>
  <c r="E9" i="27"/>
  <c r="E20" i="31"/>
  <c r="E27" i="29"/>
  <c r="E19" i="32"/>
  <c r="E18" i="32"/>
  <c r="E20" i="32"/>
  <c r="C13" i="28"/>
  <c r="E13" i="28" s="1"/>
  <c r="D13" i="58"/>
  <c r="E13" i="58" s="1"/>
  <c r="D13" i="68"/>
  <c r="E13" i="68" s="1"/>
  <c r="C13" i="83"/>
  <c r="E13" i="83" s="1"/>
  <c r="E19" i="10"/>
  <c r="D13" i="14"/>
  <c r="E13" i="14" s="1"/>
  <c r="C13" i="70"/>
  <c r="E13" i="70" s="1"/>
  <c r="C13" i="76"/>
  <c r="E13" i="76" s="1"/>
  <c r="E26" i="20"/>
  <c r="E26" i="23"/>
  <c r="E19" i="34"/>
  <c r="C13" i="10"/>
  <c r="E13" i="10" s="1"/>
  <c r="E26" i="15"/>
  <c r="E19" i="19"/>
  <c r="E19" i="23"/>
  <c r="C13" i="24"/>
  <c r="E13" i="24" s="1"/>
  <c r="C13" i="31"/>
  <c r="E13" i="31" s="1"/>
  <c r="C13" i="61"/>
  <c r="E13" i="61" s="1"/>
  <c r="D13" i="81"/>
  <c r="D13" i="127"/>
  <c r="E26" i="17"/>
  <c r="D13" i="23"/>
  <c r="E13" i="23" s="1"/>
  <c r="C13" i="34"/>
  <c r="E13" i="34" s="1"/>
  <c r="D13" i="91"/>
  <c r="E26" i="16"/>
  <c r="E28" i="37"/>
  <c r="E19" i="21"/>
  <c r="C13" i="57"/>
  <c r="E13" i="57" s="1"/>
  <c r="E26" i="18"/>
  <c r="E19" i="28"/>
  <c r="D13" i="35"/>
  <c r="E13" i="35" s="1"/>
  <c r="E18" i="25"/>
  <c r="C13" i="39"/>
  <c r="C13" i="84"/>
  <c r="E13" i="84" s="1"/>
  <c r="E9" i="51"/>
  <c r="E26" i="26"/>
  <c r="D13" i="26"/>
  <c r="E13" i="26" s="1"/>
  <c r="D13" i="100"/>
  <c r="E13" i="100" s="1"/>
  <c r="C13" i="127"/>
  <c r="C13" i="88"/>
  <c r="E13" i="88" s="1"/>
  <c r="E9" i="80"/>
  <c r="E9" i="79"/>
  <c r="E27" i="24"/>
  <c r="D13" i="114"/>
  <c r="E9" i="6"/>
  <c r="D13" i="42"/>
  <c r="E13" i="42" s="1"/>
  <c r="C13" i="81"/>
  <c r="C13" i="103"/>
  <c r="E13" i="103" s="1"/>
  <c r="D13" i="107"/>
  <c r="E13" i="107" s="1"/>
  <c r="C13" i="114"/>
  <c r="C13" i="12"/>
  <c r="E13" i="12" s="1"/>
  <c r="D13" i="41"/>
  <c r="E13" i="41" s="1"/>
  <c r="C13" i="77"/>
  <c r="E13" i="77" s="1"/>
  <c r="C13" i="98"/>
  <c r="E13" i="98" s="1"/>
  <c r="C13" i="126"/>
  <c r="E13" i="126" s="1"/>
  <c r="E19" i="18"/>
  <c r="D13" i="50"/>
  <c r="E13" i="50" s="1"/>
  <c r="E9" i="52"/>
  <c r="E9" i="36"/>
  <c r="E9" i="22"/>
  <c r="C13" i="73"/>
  <c r="E13" i="73" s="1"/>
  <c r="C13" i="124"/>
  <c r="E13" i="124" s="1"/>
  <c r="D13" i="119"/>
  <c r="E13" i="119" s="1"/>
  <c r="E26" i="14"/>
  <c r="E19" i="24"/>
  <c r="D13" i="39"/>
  <c r="E19" i="8"/>
  <c r="D13" i="17"/>
  <c r="E13" i="17" s="1"/>
  <c r="F13" i="17" s="1"/>
  <c r="E19" i="13"/>
  <c r="E21" i="17"/>
  <c r="D13" i="37"/>
  <c r="E13" i="37" s="1"/>
  <c r="D13" i="121"/>
  <c r="E13" i="121" s="1"/>
  <c r="E18" i="18"/>
  <c r="C13" i="91"/>
  <c r="D13" i="113"/>
  <c r="D13" i="106"/>
  <c r="E13" i="106" s="1"/>
  <c r="C13" i="110"/>
  <c r="E13" i="110" s="1"/>
  <c r="D13" i="21"/>
  <c r="E13" i="21" s="1"/>
  <c r="C13" i="104"/>
  <c r="E13" i="104" s="1"/>
  <c r="E20" i="37"/>
  <c r="E18" i="20"/>
  <c r="E25" i="5"/>
  <c r="E18" i="10"/>
  <c r="E18" i="23"/>
  <c r="E21" i="25"/>
  <c r="D13" i="101"/>
  <c r="E13" i="101" s="1"/>
  <c r="C13" i="109"/>
  <c r="E13" i="109" s="1"/>
  <c r="D13" i="112"/>
  <c r="E13" i="112" s="1"/>
  <c r="C13" i="113"/>
  <c r="D13" i="117"/>
  <c r="E13" i="117" s="1"/>
  <c r="E18" i="15"/>
  <c r="E19" i="5"/>
  <c r="E21" i="10"/>
  <c r="E21" i="23"/>
  <c r="D13" i="97"/>
  <c r="E13" i="97" s="1"/>
  <c r="D13" i="118"/>
  <c r="E13" i="118" s="1"/>
  <c r="E18" i="35"/>
  <c r="E21" i="35"/>
  <c r="E13" i="71"/>
  <c r="C13" i="5"/>
  <c r="E13" i="5" s="1"/>
  <c r="E19" i="26"/>
  <c r="E28" i="5"/>
  <c r="E19" i="7"/>
  <c r="E20" i="10"/>
  <c r="E18" i="11"/>
  <c r="E18" i="19"/>
  <c r="E26" i="19"/>
  <c r="E20" i="23"/>
  <c r="E20" i="25"/>
  <c r="E26" i="25"/>
  <c r="E13" i="43"/>
  <c r="D13" i="46"/>
  <c r="E13" i="46" s="1"/>
  <c r="D13" i="95"/>
  <c r="E13" i="95" s="1"/>
  <c r="E19" i="9"/>
  <c r="E21" i="9"/>
  <c r="C13" i="9"/>
  <c r="E13" i="9" s="1"/>
  <c r="E20" i="20"/>
  <c r="E18" i="37"/>
  <c r="E18" i="7"/>
  <c r="E26" i="5"/>
  <c r="E19" i="15"/>
  <c r="E27" i="28"/>
  <c r="E13" i="33"/>
  <c r="E13" i="86"/>
  <c r="E20" i="12"/>
  <c r="E21" i="37"/>
  <c r="E13" i="8"/>
  <c r="E21" i="11"/>
  <c r="E21" i="12"/>
  <c r="E18" i="12"/>
  <c r="E13" i="18"/>
  <c r="E21" i="19"/>
  <c r="E21" i="20"/>
  <c r="D13" i="44"/>
  <c r="E13" i="44" s="1"/>
  <c r="E27" i="5"/>
  <c r="E21" i="7"/>
  <c r="E20" i="8"/>
  <c r="E21" i="14"/>
  <c r="E18" i="14"/>
  <c r="E20" i="16"/>
  <c r="D13" i="16"/>
  <c r="E13" i="16" s="1"/>
  <c r="E13" i="20"/>
  <c r="E28" i="21"/>
  <c r="E28" i="24"/>
  <c r="E21" i="28"/>
  <c r="D13" i="53"/>
  <c r="E13" i="53" s="1"/>
  <c r="D13" i="115"/>
  <c r="E13" i="115" s="1"/>
  <c r="E21" i="34"/>
  <c r="E18" i="34"/>
  <c r="E27" i="37"/>
  <c r="E13" i="7"/>
  <c r="E21" i="8"/>
  <c r="E18" i="8"/>
  <c r="E18" i="9"/>
  <c r="E21" i="15"/>
  <c r="E21" i="16"/>
  <c r="E18" i="16"/>
  <c r="E18" i="17"/>
  <c r="E19" i="20"/>
  <c r="E18" i="26"/>
  <c r="E13" i="128"/>
  <c r="E20" i="7"/>
  <c r="E20" i="14"/>
  <c r="E20" i="28"/>
  <c r="E20" i="21"/>
  <c r="E25" i="23"/>
  <c r="E18" i="28"/>
  <c r="E20" i="35"/>
  <c r="E13" i="38"/>
  <c r="E13" i="67"/>
  <c r="E13" i="96"/>
  <c r="E13" i="105"/>
  <c r="D13" i="111"/>
  <c r="E13" i="111" s="1"/>
  <c r="E21" i="5"/>
  <c r="E20" i="5"/>
  <c r="E18" i="21"/>
  <c r="E21" i="24"/>
  <c r="E20" i="24"/>
  <c r="E27" i="26"/>
  <c r="E13" i="29"/>
  <c r="E13" i="45"/>
  <c r="E13" i="47"/>
  <c r="E13" i="49"/>
  <c r="E13" i="59"/>
  <c r="E13" i="63"/>
  <c r="E13" i="69"/>
  <c r="E13" i="85"/>
  <c r="E13" i="87"/>
  <c r="E13" i="94"/>
  <c r="D13" i="116"/>
  <c r="E13" i="116" s="1"/>
  <c r="E13" i="122"/>
  <c r="E13" i="125"/>
  <c r="E13" i="129"/>
  <c r="E9" i="108"/>
  <c r="E28" i="20"/>
  <c r="E21" i="21"/>
  <c r="E13" i="25"/>
  <c r="E28" i="26"/>
  <c r="E20" i="9"/>
  <c r="E20" i="11"/>
  <c r="E20" i="15"/>
  <c r="E20" i="17"/>
  <c r="E20" i="19"/>
  <c r="E28" i="23"/>
  <c r="E27" i="23"/>
  <c r="E18" i="24"/>
  <c r="E26" i="7"/>
  <c r="E27" i="7"/>
  <c r="E28" i="7"/>
  <c r="E25" i="7"/>
  <c r="E18" i="5"/>
  <c r="E26" i="8"/>
  <c r="E25" i="8"/>
  <c r="E27" i="8"/>
  <c r="E28" i="8"/>
  <c r="E25" i="9"/>
  <c r="E28" i="10"/>
  <c r="E27" i="10"/>
  <c r="E25" i="11"/>
  <c r="E13" i="11"/>
  <c r="F13" i="11" s="1"/>
  <c r="E28" i="12"/>
  <c r="E27" i="12"/>
  <c r="E25" i="13"/>
  <c r="E13" i="13"/>
  <c r="E28" i="14"/>
  <c r="E27" i="14"/>
  <c r="E25" i="15"/>
  <c r="E13" i="15"/>
  <c r="E28" i="16"/>
  <c r="E27" i="16"/>
  <c r="E25" i="17"/>
  <c r="E28" i="18"/>
  <c r="E27" i="18"/>
  <c r="E25" i="19"/>
  <c r="E13" i="19"/>
  <c r="E27" i="20"/>
  <c r="E25" i="21"/>
  <c r="E25" i="24"/>
  <c r="E25" i="26"/>
  <c r="E13" i="82"/>
  <c r="E13" i="90"/>
  <c r="E13" i="92"/>
  <c r="E13" i="93"/>
  <c r="E13" i="102"/>
  <c r="E28" i="9"/>
  <c r="E27" i="9"/>
  <c r="E25" i="10"/>
  <c r="E28" i="11"/>
  <c r="E27" i="11"/>
  <c r="E25" i="12"/>
  <c r="E28" i="13"/>
  <c r="E27" i="13"/>
  <c r="E25" i="14"/>
  <c r="E28" i="15"/>
  <c r="E27" i="15"/>
  <c r="E25" i="16"/>
  <c r="E28" i="17"/>
  <c r="E27" i="17"/>
  <c r="E25" i="18"/>
  <c r="E28" i="19"/>
  <c r="E27" i="19"/>
  <c r="E25" i="20"/>
  <c r="E27" i="21"/>
  <c r="E20" i="34"/>
  <c r="E26" i="37"/>
  <c r="E25" i="37"/>
  <c r="E13" i="89"/>
  <c r="E13" i="99"/>
  <c r="E13" i="30"/>
  <c r="E13" i="32"/>
  <c r="E13" i="48"/>
  <c r="E13" i="54"/>
  <c r="E13" i="56"/>
  <c r="E13" i="60"/>
  <c r="E13" i="62"/>
  <c r="E13" i="64"/>
  <c r="E13" i="66"/>
  <c r="E13" i="72"/>
  <c r="E13" i="75"/>
  <c r="G13" i="129"/>
  <c r="G13" i="128"/>
  <c r="G13" i="127"/>
  <c r="G13" i="126"/>
  <c r="G13" i="125"/>
  <c r="G13" i="124"/>
  <c r="G9" i="123"/>
  <c r="G13" i="122"/>
  <c r="G13" i="121"/>
  <c r="G13" i="120"/>
  <c r="G13" i="119"/>
  <c r="G13" i="118"/>
  <c r="G13" i="117"/>
  <c r="G13" i="116"/>
  <c r="G13" i="115"/>
  <c r="G13" i="114"/>
  <c r="G13" i="113"/>
  <c r="G13" i="112"/>
  <c r="G13" i="111"/>
  <c r="G13" i="110"/>
  <c r="G13" i="109"/>
  <c r="G9" i="108"/>
  <c r="G13" i="107"/>
  <c r="G13" i="106"/>
  <c r="G13" i="105"/>
  <c r="G13" i="104"/>
  <c r="G13" i="103"/>
  <c r="G13" i="102"/>
  <c r="G13" i="101"/>
  <c r="G13" i="100"/>
  <c r="G13" i="99"/>
  <c r="G13" i="98"/>
  <c r="G13" i="97"/>
  <c r="G13" i="96"/>
  <c r="G13" i="95"/>
  <c r="G13" i="94"/>
  <c r="G13" i="93"/>
  <c r="G13" i="92"/>
  <c r="G13" i="91"/>
  <c r="G13" i="90"/>
  <c r="G13" i="89"/>
  <c r="G13" i="88"/>
  <c r="G13" i="87"/>
  <c r="G13" i="86"/>
  <c r="G13" i="85"/>
  <c r="G13" i="84"/>
  <c r="G13" i="83"/>
  <c r="G13" i="82"/>
  <c r="G13" i="81"/>
  <c r="G9" i="80"/>
  <c r="G9" i="79"/>
  <c r="G11" i="78"/>
  <c r="G13" i="77"/>
  <c r="G13" i="76"/>
  <c r="G13" i="75"/>
  <c r="G13" i="73"/>
  <c r="G13" i="72"/>
  <c r="G13" i="71"/>
  <c r="G13" i="70"/>
  <c r="G13" i="69"/>
  <c r="G13" i="68"/>
  <c r="G13" i="67"/>
  <c r="G13" i="66"/>
  <c r="G13" i="65"/>
  <c r="G13" i="64"/>
  <c r="G13" i="63"/>
  <c r="G13" i="62"/>
  <c r="G13" i="61"/>
  <c r="G13" i="60"/>
  <c r="G13" i="59"/>
  <c r="G13" i="58"/>
  <c r="G13" i="57"/>
  <c r="G13" i="56"/>
  <c r="G13" i="55"/>
  <c r="G13" i="54"/>
  <c r="G13" i="53"/>
  <c r="G9" i="52"/>
  <c r="G9" i="51"/>
  <c r="G13" i="50"/>
  <c r="G13" i="49"/>
  <c r="G13" i="48"/>
  <c r="G13" i="47"/>
  <c r="G13" i="46"/>
  <c r="G13" i="45"/>
  <c r="G13" i="44"/>
  <c r="G13" i="43"/>
  <c r="G13" i="42"/>
  <c r="G13" i="41"/>
  <c r="G9" i="40"/>
  <c r="G13" i="39"/>
  <c r="G13" i="38"/>
  <c r="G13" i="37"/>
  <c r="G9" i="36"/>
  <c r="G13" i="35"/>
  <c r="G13" i="34"/>
  <c r="G13" i="33"/>
  <c r="G13" i="32"/>
  <c r="G13" i="31"/>
  <c r="G13" i="30"/>
  <c r="G13" i="29"/>
  <c r="G13" i="28"/>
  <c r="G9" i="27"/>
  <c r="D13" i="3"/>
  <c r="E13" i="3" s="1"/>
  <c r="G13" i="26"/>
  <c r="G13" i="25"/>
  <c r="G13" i="24"/>
  <c r="G13" i="23"/>
  <c r="G9" i="22"/>
  <c r="G13" i="21"/>
  <c r="G13" i="20"/>
  <c r="G13" i="19"/>
  <c r="G13" i="18"/>
  <c r="G13" i="17"/>
  <c r="G13" i="16"/>
  <c r="G13" i="15"/>
  <c r="G13" i="14"/>
  <c r="G13" i="13"/>
  <c r="G13" i="12"/>
  <c r="G13" i="11"/>
  <c r="G13" i="10"/>
  <c r="G13" i="9"/>
  <c r="G13" i="8"/>
  <c r="G13" i="7"/>
  <c r="G9" i="6"/>
  <c r="G13" i="5"/>
  <c r="G13" i="3"/>
  <c r="F13" i="89" l="1"/>
  <c r="F12" i="89"/>
  <c r="F9" i="89"/>
  <c r="F11" i="89"/>
  <c r="F8" i="89"/>
  <c r="F7" i="89"/>
  <c r="F10" i="89"/>
  <c r="F13" i="92"/>
  <c r="F11" i="92"/>
  <c r="F8" i="92"/>
  <c r="F7" i="92"/>
  <c r="F10" i="92"/>
  <c r="F12" i="92"/>
  <c r="F9" i="92"/>
  <c r="F9" i="108"/>
  <c r="F8" i="108"/>
  <c r="F13" i="122"/>
  <c r="F12" i="122"/>
  <c r="F11" i="122"/>
  <c r="F10" i="122"/>
  <c r="F13" i="87"/>
  <c r="F12" i="87"/>
  <c r="F11" i="87"/>
  <c r="F13" i="111"/>
  <c r="F12" i="111"/>
  <c r="F11" i="111"/>
  <c r="F10" i="111"/>
  <c r="E6" i="95"/>
  <c r="F13" i="95"/>
  <c r="F12" i="95"/>
  <c r="F11" i="95"/>
  <c r="F13" i="97"/>
  <c r="F12" i="97"/>
  <c r="F13" i="101"/>
  <c r="F10" i="101"/>
  <c r="F12" i="101"/>
  <c r="F11" i="101"/>
  <c r="F13" i="110"/>
  <c r="F12" i="110"/>
  <c r="F13" i="124"/>
  <c r="F10" i="124"/>
  <c r="F12" i="124"/>
  <c r="F11" i="124"/>
  <c r="F13" i="100"/>
  <c r="F11" i="100"/>
  <c r="F8" i="100"/>
  <c r="F10" i="100"/>
  <c r="F12" i="100"/>
  <c r="F9" i="100"/>
  <c r="F13" i="93"/>
  <c r="F11" i="93"/>
  <c r="F8" i="93"/>
  <c r="F7" i="93"/>
  <c r="F10" i="93"/>
  <c r="F12" i="93"/>
  <c r="F9" i="93"/>
  <c r="F13" i="99"/>
  <c r="F12" i="99"/>
  <c r="F9" i="99"/>
  <c r="F11" i="99"/>
  <c r="F8" i="99"/>
  <c r="F10" i="99"/>
  <c r="F13" i="102"/>
  <c r="F10" i="102"/>
  <c r="F12" i="102"/>
  <c r="F9" i="102"/>
  <c r="F11" i="102"/>
  <c r="F13" i="90"/>
  <c r="F11" i="90"/>
  <c r="F8" i="90"/>
  <c r="F10" i="90"/>
  <c r="F12" i="90"/>
  <c r="F9" i="90"/>
  <c r="F13" i="129"/>
  <c r="F10" i="129"/>
  <c r="F12" i="129"/>
  <c r="F11" i="129"/>
  <c r="F13" i="116"/>
  <c r="F12" i="116"/>
  <c r="F11" i="116"/>
  <c r="F13" i="105"/>
  <c r="F12" i="105"/>
  <c r="F9" i="105"/>
  <c r="F11" i="105"/>
  <c r="F8" i="105"/>
  <c r="F7" i="105"/>
  <c r="F10" i="105"/>
  <c r="F13" i="112"/>
  <c r="F12" i="112"/>
  <c r="F11" i="112"/>
  <c r="F13" i="104"/>
  <c r="F12" i="104"/>
  <c r="F9" i="104"/>
  <c r="F11" i="104"/>
  <c r="F8" i="104"/>
  <c r="F7" i="104"/>
  <c r="F10" i="104"/>
  <c r="F13" i="106"/>
  <c r="F12" i="106"/>
  <c r="F13" i="126"/>
  <c r="F10" i="126"/>
  <c r="F12" i="126"/>
  <c r="F11" i="126"/>
  <c r="F13" i="107"/>
  <c r="F12" i="107"/>
  <c r="F9" i="107"/>
  <c r="F11" i="107"/>
  <c r="F10" i="107"/>
  <c r="F13" i="88"/>
  <c r="F11" i="88"/>
  <c r="F10" i="88"/>
  <c r="F12" i="88"/>
  <c r="F13" i="120"/>
  <c r="F11" i="120"/>
  <c r="F10" i="120"/>
  <c r="F12" i="120"/>
  <c r="F13" i="94"/>
  <c r="F11" i="94"/>
  <c r="F8" i="94"/>
  <c r="F7" i="94"/>
  <c r="F10" i="94"/>
  <c r="F12" i="94"/>
  <c r="F9" i="94"/>
  <c r="F13" i="96"/>
  <c r="F7" i="96"/>
  <c r="F10" i="96"/>
  <c r="F12" i="96"/>
  <c r="F9" i="96"/>
  <c r="F11" i="96"/>
  <c r="F8" i="96"/>
  <c r="F13" i="115"/>
  <c r="F12" i="115"/>
  <c r="F11" i="115"/>
  <c r="F13" i="118"/>
  <c r="F12" i="118"/>
  <c r="F11" i="118"/>
  <c r="F13" i="117"/>
  <c r="F11" i="117"/>
  <c r="F12" i="117"/>
  <c r="F13" i="109"/>
  <c r="F11" i="109"/>
  <c r="F10" i="109"/>
  <c r="F12" i="109"/>
  <c r="F13" i="121"/>
  <c r="F11" i="121"/>
  <c r="F10" i="121"/>
  <c r="F12" i="121"/>
  <c r="F9" i="121"/>
  <c r="F13" i="119"/>
  <c r="F12" i="119"/>
  <c r="F11" i="119"/>
  <c r="F13" i="98"/>
  <c r="F10" i="98"/>
  <c r="F8" i="98"/>
  <c r="F11" i="98"/>
  <c r="F9" i="98"/>
  <c r="F12" i="98"/>
  <c r="E6" i="103"/>
  <c r="F13" i="103"/>
  <c r="F12" i="103"/>
  <c r="F9" i="103"/>
  <c r="F11" i="103"/>
  <c r="F8" i="103"/>
  <c r="F7" i="103"/>
  <c r="F10" i="103"/>
  <c r="F13" i="64"/>
  <c r="F12" i="64"/>
  <c r="F13" i="32"/>
  <c r="F12" i="32"/>
  <c r="F11" i="32"/>
  <c r="F9" i="32"/>
  <c r="F8" i="32"/>
  <c r="F7" i="32"/>
  <c r="F10" i="32"/>
  <c r="F13" i="49"/>
  <c r="F11" i="49"/>
  <c r="F7" i="49"/>
  <c r="F12" i="49"/>
  <c r="F10" i="49"/>
  <c r="F9" i="49"/>
  <c r="F8" i="49"/>
  <c r="F13" i="33"/>
  <c r="F9" i="33"/>
  <c r="F8" i="33"/>
  <c r="F7" i="33"/>
  <c r="F10" i="33"/>
  <c r="F12" i="33"/>
  <c r="F11" i="33"/>
  <c r="F13" i="43"/>
  <c r="F11" i="43"/>
  <c r="F7" i="43"/>
  <c r="F12" i="43"/>
  <c r="F8" i="43"/>
  <c r="F10" i="43"/>
  <c r="F9" i="43"/>
  <c r="E6" i="71"/>
  <c r="F13" i="71"/>
  <c r="F12" i="71"/>
  <c r="F9" i="71"/>
  <c r="F7" i="71"/>
  <c r="F10" i="71"/>
  <c r="F8" i="71"/>
  <c r="F11" i="71"/>
  <c r="F13" i="50"/>
  <c r="F7" i="50"/>
  <c r="F12" i="50"/>
  <c r="F8" i="50"/>
  <c r="F10" i="50"/>
  <c r="F9" i="50"/>
  <c r="F11" i="50"/>
  <c r="F9" i="79"/>
  <c r="F8" i="79"/>
  <c r="F7" i="79"/>
  <c r="F13" i="61"/>
  <c r="F12" i="61"/>
  <c r="F9" i="61"/>
  <c r="F7" i="61"/>
  <c r="F10" i="61"/>
  <c r="F11" i="61"/>
  <c r="F8" i="61"/>
  <c r="F13" i="10"/>
  <c r="F8" i="10"/>
  <c r="F12" i="10"/>
  <c r="F7" i="10"/>
  <c r="F9" i="10"/>
  <c r="F11" i="10"/>
  <c r="F10" i="10"/>
  <c r="F13" i="14"/>
  <c r="F10" i="14"/>
  <c r="F8" i="14"/>
  <c r="F11" i="14"/>
  <c r="F12" i="14"/>
  <c r="F7" i="14"/>
  <c r="F9" i="14"/>
  <c r="F13" i="3"/>
  <c r="F12" i="3"/>
  <c r="F9" i="3"/>
  <c r="F7" i="3"/>
  <c r="F10" i="3"/>
  <c r="F8" i="3"/>
  <c r="F11" i="3"/>
  <c r="F13" i="66"/>
  <c r="F12" i="66"/>
  <c r="F9" i="66"/>
  <c r="F7" i="66"/>
  <c r="F10" i="66"/>
  <c r="F8" i="66"/>
  <c r="F11" i="66"/>
  <c r="F13" i="60"/>
  <c r="F12" i="60"/>
  <c r="F9" i="60"/>
  <c r="F7" i="60"/>
  <c r="F10" i="60"/>
  <c r="F8" i="60"/>
  <c r="F11" i="60"/>
  <c r="F13" i="48"/>
  <c r="F10" i="48"/>
  <c r="F9" i="48"/>
  <c r="F7" i="48"/>
  <c r="F12" i="48"/>
  <c r="F8" i="48"/>
  <c r="F11" i="48"/>
  <c r="F13" i="19"/>
  <c r="F8" i="19"/>
  <c r="F12" i="19"/>
  <c r="F7" i="19"/>
  <c r="F9" i="19"/>
  <c r="F11" i="19"/>
  <c r="F10" i="19"/>
  <c r="F13" i="85"/>
  <c r="F10" i="85"/>
  <c r="F11" i="85"/>
  <c r="F9" i="85"/>
  <c r="F12" i="85"/>
  <c r="F13" i="59"/>
  <c r="F12" i="59"/>
  <c r="F9" i="59"/>
  <c r="F7" i="59"/>
  <c r="F10" i="59"/>
  <c r="F11" i="59"/>
  <c r="F8" i="59"/>
  <c r="F13" i="45"/>
  <c r="F10" i="45"/>
  <c r="F9" i="45"/>
  <c r="F11" i="45"/>
  <c r="F7" i="45"/>
  <c r="F12" i="45"/>
  <c r="F8" i="45"/>
  <c r="F13" i="38"/>
  <c r="F8" i="38"/>
  <c r="F12" i="38"/>
  <c r="F7" i="38"/>
  <c r="F9" i="38"/>
  <c r="F11" i="38"/>
  <c r="F10" i="38"/>
  <c r="E6" i="7"/>
  <c r="F13" i="7"/>
  <c r="F7" i="7"/>
  <c r="F12" i="7"/>
  <c r="F11" i="7"/>
  <c r="F10" i="7"/>
  <c r="F9" i="7"/>
  <c r="F8" i="7"/>
  <c r="F13" i="20"/>
  <c r="F7" i="20"/>
  <c r="F9" i="20"/>
  <c r="F11" i="20"/>
  <c r="F10" i="20"/>
  <c r="F8" i="20"/>
  <c r="F12" i="20"/>
  <c r="F13" i="8"/>
  <c r="F12" i="8"/>
  <c r="F7" i="8"/>
  <c r="F9" i="8"/>
  <c r="F11" i="8"/>
  <c r="F10" i="8"/>
  <c r="F8" i="8"/>
  <c r="F13" i="86"/>
  <c r="F11" i="86"/>
  <c r="F12" i="86"/>
  <c r="F9" i="86"/>
  <c r="F10" i="86"/>
  <c r="F13" i="46"/>
  <c r="F11" i="46"/>
  <c r="F7" i="46"/>
  <c r="F12" i="46"/>
  <c r="F8" i="46"/>
  <c r="F10" i="46"/>
  <c r="F9" i="46"/>
  <c r="F13" i="5"/>
  <c r="F9" i="5"/>
  <c r="F12" i="5"/>
  <c r="F7" i="5"/>
  <c r="F10" i="5"/>
  <c r="F8" i="5"/>
  <c r="F11" i="5"/>
  <c r="F13" i="73"/>
  <c r="F12" i="73"/>
  <c r="F9" i="73"/>
  <c r="F7" i="73"/>
  <c r="F10" i="73"/>
  <c r="F11" i="73"/>
  <c r="F8" i="73"/>
  <c r="F9" i="52"/>
  <c r="F8" i="52"/>
  <c r="F7" i="52"/>
  <c r="F13" i="41"/>
  <c r="F7" i="41"/>
  <c r="F12" i="41"/>
  <c r="F8" i="41"/>
  <c r="F10" i="41"/>
  <c r="F9" i="41"/>
  <c r="F11" i="41"/>
  <c r="F13" i="42"/>
  <c r="F10" i="42"/>
  <c r="F9" i="42"/>
  <c r="F11" i="42"/>
  <c r="F7" i="42"/>
  <c r="F12" i="42"/>
  <c r="F8" i="42"/>
  <c r="F13" i="26"/>
  <c r="F10" i="26"/>
  <c r="F9" i="26"/>
  <c r="F11" i="26"/>
  <c r="F7" i="26"/>
  <c r="F12" i="26"/>
  <c r="F8" i="26"/>
  <c r="F13" i="84"/>
  <c r="F11" i="84"/>
  <c r="F8" i="84"/>
  <c r="F12" i="84"/>
  <c r="F9" i="84"/>
  <c r="F7" i="84"/>
  <c r="F10" i="84"/>
  <c r="F13" i="35"/>
  <c r="F12" i="35"/>
  <c r="F11" i="35"/>
  <c r="F9" i="35"/>
  <c r="F8" i="35"/>
  <c r="F7" i="35"/>
  <c r="F10" i="35"/>
  <c r="F13" i="57"/>
  <c r="F11" i="57"/>
  <c r="F8" i="57"/>
  <c r="F7" i="57"/>
  <c r="F10" i="57"/>
  <c r="F12" i="57"/>
  <c r="F9" i="57"/>
  <c r="F13" i="23"/>
  <c r="F10" i="23"/>
  <c r="F9" i="23"/>
  <c r="F11" i="23"/>
  <c r="F7" i="23"/>
  <c r="F12" i="23"/>
  <c r="F8" i="23"/>
  <c r="F13" i="24"/>
  <c r="F11" i="24"/>
  <c r="F7" i="24"/>
  <c r="F12" i="24"/>
  <c r="F8" i="24"/>
  <c r="F10" i="24"/>
  <c r="F9" i="24"/>
  <c r="F13" i="70"/>
  <c r="F12" i="70"/>
  <c r="F9" i="70"/>
  <c r="F7" i="70"/>
  <c r="F10" i="70"/>
  <c r="F11" i="70"/>
  <c r="F8" i="70"/>
  <c r="F13" i="83"/>
  <c r="F11" i="83"/>
  <c r="F8" i="83"/>
  <c r="F12" i="83"/>
  <c r="F9" i="83"/>
  <c r="F7" i="83"/>
  <c r="F10" i="83"/>
  <c r="F13" i="28"/>
  <c r="F7" i="28"/>
  <c r="F10" i="28"/>
  <c r="F12" i="28"/>
  <c r="F11" i="28"/>
  <c r="F9" i="28"/>
  <c r="F8" i="28"/>
  <c r="F9" i="27"/>
  <c r="F7" i="27"/>
  <c r="F8" i="27"/>
  <c r="F13" i="56"/>
  <c r="F12" i="56"/>
  <c r="F9" i="56"/>
  <c r="F11" i="56"/>
  <c r="F10" i="56"/>
  <c r="F13" i="82"/>
  <c r="F13" i="15"/>
  <c r="F8" i="15"/>
  <c r="F12" i="15"/>
  <c r="F7" i="15"/>
  <c r="F9" i="15"/>
  <c r="F11" i="15"/>
  <c r="F10" i="15"/>
  <c r="F13" i="69"/>
  <c r="F11" i="69"/>
  <c r="F12" i="69"/>
  <c r="F10" i="69"/>
  <c r="F13" i="29"/>
  <c r="F12" i="29"/>
  <c r="F11" i="29"/>
  <c r="F9" i="29"/>
  <c r="F8" i="29"/>
  <c r="F7" i="29"/>
  <c r="F10" i="29"/>
  <c r="F13" i="16"/>
  <c r="F7" i="16"/>
  <c r="F9" i="16"/>
  <c r="F11" i="16"/>
  <c r="F10" i="16"/>
  <c r="F8" i="16"/>
  <c r="F12" i="16"/>
  <c r="F13" i="21"/>
  <c r="F11" i="21"/>
  <c r="F10" i="21"/>
  <c r="F8" i="21"/>
  <c r="F12" i="21"/>
  <c r="F7" i="21"/>
  <c r="F9" i="21"/>
  <c r="F9" i="22"/>
  <c r="F8" i="22"/>
  <c r="F7" i="22"/>
  <c r="F13" i="12"/>
  <c r="F7" i="12"/>
  <c r="F9" i="12"/>
  <c r="F11" i="12"/>
  <c r="F10" i="12"/>
  <c r="F8" i="12"/>
  <c r="F12" i="12"/>
  <c r="E6" i="6"/>
  <c r="F9" i="6"/>
  <c r="F7" i="6"/>
  <c r="F8" i="6"/>
  <c r="F13" i="68"/>
  <c r="F12" i="68"/>
  <c r="F9" i="68"/>
  <c r="F7" i="68"/>
  <c r="F10" i="68"/>
  <c r="F11" i="68"/>
  <c r="F8" i="68"/>
  <c r="F13" i="72"/>
  <c r="F12" i="72"/>
  <c r="F9" i="72"/>
  <c r="F7" i="72"/>
  <c r="F10" i="72"/>
  <c r="F11" i="72"/>
  <c r="F8" i="72"/>
  <c r="F13" i="62"/>
  <c r="F11" i="62"/>
  <c r="F12" i="62"/>
  <c r="F13" i="54"/>
  <c r="F12" i="54"/>
  <c r="F9" i="54"/>
  <c r="F11" i="54"/>
  <c r="F8" i="54"/>
  <c r="F7" i="54"/>
  <c r="F10" i="54"/>
  <c r="F13" i="30"/>
  <c r="F9" i="30"/>
  <c r="F8" i="30"/>
  <c r="F7" i="30"/>
  <c r="F10" i="30"/>
  <c r="F12" i="30"/>
  <c r="F11" i="30"/>
  <c r="F13" i="13"/>
  <c r="F11" i="13"/>
  <c r="F10" i="13"/>
  <c r="F8" i="13"/>
  <c r="F12" i="13"/>
  <c r="F7" i="13"/>
  <c r="F9" i="13"/>
  <c r="F13" i="25"/>
  <c r="F7" i="25"/>
  <c r="F12" i="25"/>
  <c r="F8" i="25"/>
  <c r="F10" i="25"/>
  <c r="F9" i="25"/>
  <c r="F11" i="25"/>
  <c r="F13" i="63"/>
  <c r="F11" i="63"/>
  <c r="F8" i="63"/>
  <c r="F12" i="63"/>
  <c r="F9" i="63"/>
  <c r="F7" i="63"/>
  <c r="F10" i="63"/>
  <c r="F13" i="47"/>
  <c r="F7" i="47"/>
  <c r="F12" i="47"/>
  <c r="F8" i="47"/>
  <c r="F10" i="47"/>
  <c r="F9" i="47"/>
  <c r="F11" i="47"/>
  <c r="F13" i="67"/>
  <c r="F12" i="67"/>
  <c r="F9" i="67"/>
  <c r="F7" i="67"/>
  <c r="F10" i="67"/>
  <c r="F11" i="67"/>
  <c r="F8" i="67"/>
  <c r="F13" i="53"/>
  <c r="F12" i="53"/>
  <c r="F9" i="53"/>
  <c r="F11" i="53"/>
  <c r="F8" i="53"/>
  <c r="F10" i="53"/>
  <c r="F7" i="53"/>
  <c r="F13" i="44"/>
  <c r="F7" i="44"/>
  <c r="F12" i="44"/>
  <c r="F8" i="44"/>
  <c r="F10" i="44"/>
  <c r="F9" i="44"/>
  <c r="F11" i="44"/>
  <c r="F13" i="18"/>
  <c r="F11" i="18"/>
  <c r="F10" i="18"/>
  <c r="F8" i="18"/>
  <c r="F12" i="18"/>
  <c r="F7" i="18"/>
  <c r="F9" i="18"/>
  <c r="F13" i="9"/>
  <c r="F11" i="9"/>
  <c r="F10" i="9"/>
  <c r="F8" i="9"/>
  <c r="F12" i="9"/>
  <c r="F7" i="9"/>
  <c r="F9" i="9"/>
  <c r="F13" i="37"/>
  <c r="F11" i="37"/>
  <c r="F10" i="37"/>
  <c r="F8" i="37"/>
  <c r="F12" i="37"/>
  <c r="F7" i="37"/>
  <c r="F9" i="37"/>
  <c r="F9" i="36"/>
  <c r="F7" i="36"/>
  <c r="F8" i="36"/>
  <c r="F9" i="80"/>
  <c r="F7" i="80"/>
  <c r="F8" i="80"/>
  <c r="F9" i="51"/>
  <c r="F7" i="51"/>
  <c r="F8" i="51"/>
  <c r="F13" i="34"/>
  <c r="F10" i="34"/>
  <c r="F12" i="34"/>
  <c r="F11" i="34"/>
  <c r="F9" i="34"/>
  <c r="F8" i="34"/>
  <c r="F7" i="34"/>
  <c r="F13" i="31"/>
  <c r="F9" i="31"/>
  <c r="F11" i="31"/>
  <c r="F10" i="31"/>
  <c r="F8" i="31"/>
  <c r="F12" i="31"/>
  <c r="F7" i="31"/>
  <c r="F13" i="58"/>
  <c r="F11" i="58"/>
  <c r="F7" i="58"/>
  <c r="F12" i="58"/>
  <c r="F9" i="58"/>
  <c r="F10" i="58"/>
  <c r="F8" i="58"/>
  <c r="F13" i="55"/>
  <c r="F11" i="55"/>
  <c r="F12" i="55"/>
  <c r="F10" i="55"/>
  <c r="E13" i="39"/>
  <c r="E6" i="39" s="1"/>
  <c r="F6" i="39" s="1"/>
  <c r="E6" i="42"/>
  <c r="F6" i="42" s="1"/>
  <c r="E6" i="23"/>
  <c r="F6" i="23" s="1"/>
  <c r="E6" i="83"/>
  <c r="F6" i="83" s="1"/>
  <c r="E6" i="45"/>
  <c r="F6" i="45" s="1"/>
  <c r="E6" i="46"/>
  <c r="F6" i="46" s="1"/>
  <c r="E6" i="112"/>
  <c r="F6" i="112" s="1"/>
  <c r="F8" i="112"/>
  <c r="F7" i="112"/>
  <c r="F10" i="112"/>
  <c r="F9" i="112"/>
  <c r="E6" i="104"/>
  <c r="F6" i="104" s="1"/>
  <c r="E6" i="52"/>
  <c r="F6" i="52" s="1"/>
  <c r="E6" i="126"/>
  <c r="F6" i="126" s="1"/>
  <c r="F7" i="126"/>
  <c r="F9" i="126"/>
  <c r="F8" i="126"/>
  <c r="E6" i="41"/>
  <c r="F6" i="41" s="1"/>
  <c r="E6" i="107"/>
  <c r="F6" i="107" s="1"/>
  <c r="F7" i="107"/>
  <c r="F8" i="107"/>
  <c r="E6" i="88"/>
  <c r="F6" i="88" s="1"/>
  <c r="F8" i="88"/>
  <c r="F7" i="88"/>
  <c r="F9" i="88"/>
  <c r="E6" i="26"/>
  <c r="F6" i="26" s="1"/>
  <c r="E6" i="84"/>
  <c r="F6" i="84" s="1"/>
  <c r="E6" i="35"/>
  <c r="F6" i="35" s="1"/>
  <c r="E6" i="57"/>
  <c r="F6" i="57" s="1"/>
  <c r="E6" i="28"/>
  <c r="F6" i="28" s="1"/>
  <c r="E6" i="27"/>
  <c r="F6" i="27" s="1"/>
  <c r="E6" i="120"/>
  <c r="F6" i="120" s="1"/>
  <c r="F8" i="120"/>
  <c r="F7" i="120"/>
  <c r="F9" i="120"/>
  <c r="E6" i="72"/>
  <c r="F6" i="72" s="1"/>
  <c r="E6" i="60"/>
  <c r="F6" i="60" s="1"/>
  <c r="E6" i="102"/>
  <c r="F7" i="102"/>
  <c r="F8" i="102"/>
  <c r="F10" i="17"/>
  <c r="F9" i="17"/>
  <c r="F11" i="17"/>
  <c r="F7" i="17"/>
  <c r="F12" i="17"/>
  <c r="F8" i="17"/>
  <c r="F11" i="11"/>
  <c r="F7" i="11"/>
  <c r="F12" i="11"/>
  <c r="F8" i="11"/>
  <c r="F10" i="11"/>
  <c r="F9" i="11"/>
  <c r="E6" i="116"/>
  <c r="F6" i="116" s="1"/>
  <c r="F8" i="116"/>
  <c r="F7" i="116"/>
  <c r="F10" i="116"/>
  <c r="F9" i="116"/>
  <c r="E6" i="59"/>
  <c r="F6" i="59" s="1"/>
  <c r="E6" i="67"/>
  <c r="F6" i="67" s="1"/>
  <c r="E6" i="3"/>
  <c r="F6" i="3" s="1"/>
  <c r="E6" i="70"/>
  <c r="F6" i="70" s="1"/>
  <c r="E6" i="64"/>
  <c r="F6" i="64" s="1"/>
  <c r="F11" i="64"/>
  <c r="F8" i="64"/>
  <c r="F7" i="64"/>
  <c r="F10" i="64"/>
  <c r="F9" i="64"/>
  <c r="E6" i="56"/>
  <c r="F6" i="56" s="1"/>
  <c r="F8" i="56"/>
  <c r="F7" i="56"/>
  <c r="E6" i="48"/>
  <c r="F6" i="48" s="1"/>
  <c r="E6" i="32"/>
  <c r="F6" i="32" s="1"/>
  <c r="E6" i="89"/>
  <c r="F6" i="89" s="1"/>
  <c r="E6" i="93"/>
  <c r="F6" i="93" s="1"/>
  <c r="F13" i="125"/>
  <c r="E6" i="125"/>
  <c r="F6" i="125" s="1"/>
  <c r="F7" i="125"/>
  <c r="F10" i="125"/>
  <c r="F12" i="125"/>
  <c r="F9" i="125"/>
  <c r="F11" i="125"/>
  <c r="F8" i="125"/>
  <c r="E6" i="94"/>
  <c r="F6" i="94" s="1"/>
  <c r="E6" i="69"/>
  <c r="F6" i="69" s="1"/>
  <c r="F8" i="69"/>
  <c r="F7" i="69"/>
  <c r="F9" i="69"/>
  <c r="E6" i="49"/>
  <c r="F6" i="49" s="1"/>
  <c r="E6" i="29"/>
  <c r="F6" i="29" s="1"/>
  <c r="E6" i="105"/>
  <c r="E6" i="38"/>
  <c r="F6" i="38" s="1"/>
  <c r="E6" i="14"/>
  <c r="F6" i="14" s="1"/>
  <c r="E6" i="53"/>
  <c r="F6" i="53" s="1"/>
  <c r="E6" i="33"/>
  <c r="F6" i="33" s="1"/>
  <c r="E6" i="43"/>
  <c r="F6" i="43" s="1"/>
  <c r="F6" i="71"/>
  <c r="E6" i="118"/>
  <c r="F6" i="118" s="1"/>
  <c r="F8" i="118"/>
  <c r="F7" i="118"/>
  <c r="F10" i="118"/>
  <c r="F9" i="118"/>
  <c r="E6" i="117"/>
  <c r="F6" i="117" s="1"/>
  <c r="F8" i="117"/>
  <c r="F7" i="117"/>
  <c r="F10" i="117"/>
  <c r="F9" i="117"/>
  <c r="E6" i="109"/>
  <c r="F6" i="109" s="1"/>
  <c r="F8" i="109"/>
  <c r="F7" i="109"/>
  <c r="F9" i="109"/>
  <c r="E6" i="121"/>
  <c r="F6" i="121" s="1"/>
  <c r="F8" i="121"/>
  <c r="F7" i="121"/>
  <c r="E6" i="119"/>
  <c r="F6" i="119" s="1"/>
  <c r="F8" i="119"/>
  <c r="F7" i="119"/>
  <c r="F10" i="119"/>
  <c r="F9" i="119"/>
  <c r="E6" i="22"/>
  <c r="F6" i="22" s="1"/>
  <c r="E6" i="98"/>
  <c r="F6" i="98" s="1"/>
  <c r="F7" i="98"/>
  <c r="E6" i="12"/>
  <c r="F6" i="12" s="1"/>
  <c r="F6" i="6"/>
  <c r="E6" i="61"/>
  <c r="F6" i="61" s="1"/>
  <c r="E6" i="10"/>
  <c r="F6" i="10" s="1"/>
  <c r="E6" i="66"/>
  <c r="F6" i="66" s="1"/>
  <c r="E6" i="50"/>
  <c r="F6" i="50" s="1"/>
  <c r="E6" i="99"/>
  <c r="F6" i="99" s="1"/>
  <c r="F7" i="99"/>
  <c r="E6" i="90"/>
  <c r="F6" i="90" s="1"/>
  <c r="F7" i="90"/>
  <c r="E6" i="129"/>
  <c r="F6" i="129" s="1"/>
  <c r="F7" i="129"/>
  <c r="F9" i="129"/>
  <c r="F8" i="129"/>
  <c r="E6" i="85"/>
  <c r="F6" i="85" s="1"/>
  <c r="F8" i="85"/>
  <c r="F7" i="85"/>
  <c r="E6" i="106"/>
  <c r="F6" i="106" s="1"/>
  <c r="F7" i="106"/>
  <c r="F10" i="106"/>
  <c r="F9" i="106"/>
  <c r="F11" i="106"/>
  <c r="F8" i="106"/>
  <c r="E6" i="128"/>
  <c r="F6" i="128" s="1"/>
  <c r="F13" i="128"/>
  <c r="F7" i="128"/>
  <c r="F10" i="128"/>
  <c r="F12" i="128"/>
  <c r="F9" i="128"/>
  <c r="F11" i="128"/>
  <c r="F8" i="128"/>
  <c r="E6" i="115"/>
  <c r="F6" i="115" s="1"/>
  <c r="F8" i="115"/>
  <c r="F7" i="115"/>
  <c r="F10" i="115"/>
  <c r="F9" i="115"/>
  <c r="E6" i="20"/>
  <c r="F6" i="20" s="1"/>
  <c r="E6" i="8"/>
  <c r="F6" i="8" s="1"/>
  <c r="E6" i="86"/>
  <c r="F6" i="86" s="1"/>
  <c r="F8" i="86"/>
  <c r="F7" i="86"/>
  <c r="E6" i="75"/>
  <c r="F6" i="75" s="1"/>
  <c r="F11" i="75"/>
  <c r="F8" i="75"/>
  <c r="F7" i="75"/>
  <c r="F10" i="75"/>
  <c r="F12" i="75"/>
  <c r="F9" i="75"/>
  <c r="E6" i="68"/>
  <c r="F6" i="68" s="1"/>
  <c r="E6" i="62"/>
  <c r="F6" i="62" s="1"/>
  <c r="F8" i="62"/>
  <c r="F7" i="62"/>
  <c r="F10" i="62"/>
  <c r="F9" i="62"/>
  <c r="E6" i="54"/>
  <c r="F6" i="54" s="1"/>
  <c r="E6" i="30"/>
  <c r="F6" i="30" s="1"/>
  <c r="E6" i="92"/>
  <c r="F6" i="92" s="1"/>
  <c r="E6" i="82"/>
  <c r="E6" i="13"/>
  <c r="F6" i="13" s="1"/>
  <c r="E6" i="108"/>
  <c r="F6" i="108" s="1"/>
  <c r="F7" i="108"/>
  <c r="E6" i="122"/>
  <c r="F6" i="122" s="1"/>
  <c r="F8" i="122"/>
  <c r="F7" i="122"/>
  <c r="F9" i="122"/>
  <c r="E6" i="87"/>
  <c r="F6" i="87" s="1"/>
  <c r="F10" i="87"/>
  <c r="F7" i="87"/>
  <c r="F9" i="87"/>
  <c r="F8" i="87"/>
  <c r="E6" i="63"/>
  <c r="F6" i="63" s="1"/>
  <c r="E6" i="47"/>
  <c r="F6" i="47" s="1"/>
  <c r="E6" i="111"/>
  <c r="F6" i="111" s="1"/>
  <c r="F8" i="111"/>
  <c r="F7" i="111"/>
  <c r="F9" i="111"/>
  <c r="E6" i="96"/>
  <c r="F6" i="96" s="1"/>
  <c r="E6" i="44"/>
  <c r="F6" i="44" s="1"/>
  <c r="E6" i="18"/>
  <c r="F6" i="18" s="1"/>
  <c r="E6" i="97"/>
  <c r="F6" i="97" s="1"/>
  <c r="F11" i="97"/>
  <c r="F8" i="97"/>
  <c r="F7" i="97"/>
  <c r="F10" i="97"/>
  <c r="F9" i="97"/>
  <c r="E6" i="101"/>
  <c r="F6" i="101" s="1"/>
  <c r="F8" i="101"/>
  <c r="F7" i="101"/>
  <c r="F9" i="101"/>
  <c r="E6" i="110"/>
  <c r="F6" i="110" s="1"/>
  <c r="F11" i="110"/>
  <c r="F8" i="110"/>
  <c r="F7" i="110"/>
  <c r="F10" i="110"/>
  <c r="F9" i="110"/>
  <c r="E6" i="37"/>
  <c r="F6" i="37" s="1"/>
  <c r="E6" i="124"/>
  <c r="F6" i="124" s="1"/>
  <c r="F7" i="124"/>
  <c r="F9" i="124"/>
  <c r="F8" i="124"/>
  <c r="E6" i="36"/>
  <c r="F6" i="36" s="1"/>
  <c r="E6" i="77"/>
  <c r="F6" i="77" s="1"/>
  <c r="F9" i="77"/>
  <c r="F12" i="77"/>
  <c r="F7" i="77"/>
  <c r="F10" i="77"/>
  <c r="F8" i="77"/>
  <c r="F11" i="77"/>
  <c r="E13" i="81"/>
  <c r="E6" i="80"/>
  <c r="F6" i="80" s="1"/>
  <c r="E6" i="100"/>
  <c r="F6" i="100" s="1"/>
  <c r="F7" i="100"/>
  <c r="E6" i="51"/>
  <c r="F6" i="51" s="1"/>
  <c r="E6" i="34"/>
  <c r="F6" i="34" s="1"/>
  <c r="E6" i="31"/>
  <c r="F6" i="31" s="1"/>
  <c r="E6" i="76"/>
  <c r="F6" i="76" s="1"/>
  <c r="F11" i="76"/>
  <c r="F8" i="76"/>
  <c r="F7" i="76"/>
  <c r="F10" i="76"/>
  <c r="F12" i="76"/>
  <c r="F9" i="76"/>
  <c r="E6" i="58"/>
  <c r="F6" i="58" s="1"/>
  <c r="E6" i="55"/>
  <c r="F6" i="55" s="1"/>
  <c r="F7" i="55"/>
  <c r="F8" i="55"/>
  <c r="F9" i="55"/>
  <c r="F6" i="7"/>
  <c r="E6" i="79"/>
  <c r="F6" i="79" s="1"/>
  <c r="E6" i="73"/>
  <c r="F6" i="73" s="1"/>
  <c r="F6" i="103"/>
  <c r="F6" i="105"/>
  <c r="F9" i="95"/>
  <c r="F8" i="95"/>
  <c r="F7" i="95"/>
  <c r="F10" i="95"/>
  <c r="F6" i="102"/>
  <c r="E6" i="5"/>
  <c r="F6" i="5" s="1"/>
  <c r="F6" i="95"/>
  <c r="E13" i="127"/>
  <c r="E26" i="28"/>
  <c r="E13" i="91"/>
  <c r="E13" i="114"/>
  <c r="E28" i="28"/>
  <c r="E13" i="113"/>
  <c r="E25" i="28"/>
  <c r="E20" i="26"/>
  <c r="E21" i="26"/>
  <c r="E21" i="13"/>
  <c r="E20" i="18"/>
  <c r="E21" i="18"/>
  <c r="E20" i="13"/>
  <c r="E27" i="25"/>
  <c r="E18" i="13"/>
  <c r="E25" i="25"/>
  <c r="E28" i="25"/>
  <c r="E6" i="16"/>
  <c r="F6" i="16" s="1"/>
  <c r="E6" i="25"/>
  <c r="F6" i="25" s="1"/>
  <c r="E6" i="19"/>
  <c r="F6" i="19" s="1"/>
  <c r="E6" i="17"/>
  <c r="F6" i="17" s="1"/>
  <c r="E6" i="15"/>
  <c r="F6" i="15" s="1"/>
  <c r="E6" i="11"/>
  <c r="F6" i="11" s="1"/>
  <c r="E6" i="9"/>
  <c r="F6" i="9" s="1"/>
  <c r="E6" i="21"/>
  <c r="F6" i="21" s="1"/>
  <c r="E6" i="24"/>
  <c r="F6" i="24" s="1"/>
  <c r="C11" i="78"/>
  <c r="D11" i="78"/>
  <c r="F13" i="113" l="1"/>
  <c r="F11" i="113"/>
  <c r="F12" i="113"/>
  <c r="F13" i="91"/>
  <c r="F11" i="91"/>
  <c r="F8" i="91"/>
  <c r="F7" i="91"/>
  <c r="F10" i="91"/>
  <c r="F12" i="91"/>
  <c r="F9" i="91"/>
  <c r="F13" i="114"/>
  <c r="F10" i="114"/>
  <c r="F12" i="114"/>
  <c r="F11" i="114"/>
  <c r="F13" i="39"/>
  <c r="F7" i="39"/>
  <c r="F9" i="39"/>
  <c r="F11" i="39"/>
  <c r="F10" i="39"/>
  <c r="F8" i="39"/>
  <c r="F12" i="39"/>
  <c r="F13" i="81"/>
  <c r="F11" i="81"/>
  <c r="F12" i="81"/>
  <c r="E11" i="78"/>
  <c r="F13" i="75"/>
  <c r="F13" i="77"/>
  <c r="E6" i="114"/>
  <c r="F6" i="114" s="1"/>
  <c r="F7" i="114"/>
  <c r="F8" i="114"/>
  <c r="F9" i="114"/>
  <c r="F13" i="127"/>
  <c r="E6" i="127"/>
  <c r="F6" i="127" s="1"/>
  <c r="F7" i="127"/>
  <c r="F10" i="127"/>
  <c r="F12" i="127"/>
  <c r="F9" i="127"/>
  <c r="F11" i="127"/>
  <c r="F8" i="127"/>
  <c r="F13" i="76"/>
  <c r="F8" i="78"/>
  <c r="F7" i="78"/>
  <c r="E6" i="113"/>
  <c r="F6" i="113" s="1"/>
  <c r="F8" i="113"/>
  <c r="F7" i="113"/>
  <c r="F10" i="113"/>
  <c r="F9" i="113"/>
  <c r="E6" i="91"/>
  <c r="F6" i="91" s="1"/>
  <c r="F8" i="81"/>
  <c r="F7" i="81"/>
  <c r="F10" i="81"/>
  <c r="F9" i="81"/>
  <c r="E6" i="40"/>
  <c r="F6" i="40" s="1"/>
  <c r="E6" i="81"/>
  <c r="F6" i="81" s="1"/>
  <c r="E6" i="78" l="1"/>
  <c r="F6" i="78" s="1"/>
  <c r="F11" i="78"/>
  <c r="F10" i="78"/>
  <c r="F9" i="78"/>
</calcChain>
</file>

<file path=xl/sharedStrings.xml><?xml version="1.0" encoding="utf-8"?>
<sst xmlns="http://schemas.openxmlformats.org/spreadsheetml/2006/main" count="8544" uniqueCount="512">
  <si>
    <t>ORIENTAÇÕES DE ANÁLISE DE RESULTADO E INFORMAÇÕES GERAIS</t>
  </si>
  <si>
    <t>EIXO 4 POLÍTICAS DE ENSINO PESQUISA E EXTENSÃO</t>
  </si>
  <si>
    <t>O Eixo 4 possui 4 tipos de questões, com escalas e opções de respostas diferentes (ver aba TítuloQuestões):</t>
  </si>
  <si>
    <t>A</t>
  </si>
  <si>
    <t>Questões tipo A</t>
  </si>
  <si>
    <t>B</t>
  </si>
  <si>
    <t>Questões tipo B</t>
  </si>
  <si>
    <t>C</t>
  </si>
  <si>
    <t>Questões tipo C</t>
  </si>
  <si>
    <t>P</t>
  </si>
  <si>
    <t>Questões tipo P</t>
  </si>
  <si>
    <t>A aba "Eixo 4" é o arquivo base, ou seja, as respostas coletadas na pesquisa (não há identificação de servidores).</t>
  </si>
  <si>
    <r>
      <t xml:space="preserve">PERCENTUAIS GERAIS DE DE PARTICIPAÇÃO POR EIXO </t>
    </r>
    <r>
      <rPr>
        <b/>
        <vertAlign val="superscript"/>
        <sz val="10"/>
        <color rgb="FFFF0000"/>
        <rFont val="Arial"/>
        <family val="2"/>
      </rPr>
      <t>1</t>
    </r>
  </si>
  <si>
    <t>Eixo 4</t>
  </si>
  <si>
    <t>Qtde. Servidores</t>
  </si>
  <si>
    <t>Eixo 4 (%)</t>
  </si>
  <si>
    <t>tecnico</t>
  </si>
  <si>
    <t>docente</t>
  </si>
  <si>
    <t>total</t>
  </si>
  <si>
    <t>Considera a quantidade de servidores Geral/Unidades com base na folha de pagamento de dezembro/2021 (ativos), conforme dados abertos da Progepe, do qual foram segmentados os servidores por unidades. O arquivo está disponível em pasta específica neste Drive para conferência. Na segmentação é importante atentar para os servidores em Lotação Temporária, cujas unidades não foram identificadas, e outras variáveis, como afastamentos e cessões para outros órgãos.</t>
  </si>
  <si>
    <t>Para análise, considere os critérios abaixo, quando possível:</t>
  </si>
  <si>
    <t>Cada questão/subquestão apresenta os percentuais de participação seguida de critérios para análise dos resultados conforme descrição abaixo, com vistas a apoiar a tomada de decisão e a formulação de ações quando necessário.</t>
  </si>
  <si>
    <t xml:space="preserve">QUESTÕES TIPO A </t>
  </si>
  <si>
    <t>Atenção</t>
  </si>
  <si>
    <t>Não sei responder/Não se aplica</t>
  </si>
  <si>
    <t>EXCELENTE/ÓTIMO</t>
  </si>
  <si>
    <t>Urgência</t>
  </si>
  <si>
    <t>Péssimo + Ruim</t>
  </si>
  <si>
    <t>BOM</t>
  </si>
  <si>
    <t>Aprimoramento</t>
  </si>
  <si>
    <t>Regular</t>
  </si>
  <si>
    <t>REGULAR</t>
  </si>
  <si>
    <t>Manutenção</t>
  </si>
  <si>
    <t>Bom + Excelente</t>
  </si>
  <si>
    <t>D</t>
  </si>
  <si>
    <t>RUIM</t>
  </si>
  <si>
    <t>E</t>
  </si>
  <si>
    <t>PÉSSIMO</t>
  </si>
  <si>
    <t>Questões tipo B e P</t>
  </si>
  <si>
    <t>F</t>
  </si>
  <si>
    <t xml:space="preserve">NÃO SEI RESPONDER </t>
  </si>
  <si>
    <t>As questões tipo B e P dispensam critérios</t>
  </si>
  <si>
    <t>G</t>
  </si>
  <si>
    <t>NÃO SE APLICA</t>
  </si>
  <si>
    <t>H</t>
  </si>
  <si>
    <t>SEM RESPOSTA</t>
  </si>
  <si>
    <t>Critérios de classificação</t>
  </si>
  <si>
    <t>Tipo de ação</t>
  </si>
  <si>
    <t>A+B</t>
  </si>
  <si>
    <t>MANUTENÇÃO</t>
  </si>
  <si>
    <t>APRIMORAMENTO</t>
  </si>
  <si>
    <t>D+E</t>
  </si>
  <si>
    <t>URGÊNCIA</t>
  </si>
  <si>
    <t>F+G (e/ou)</t>
  </si>
  <si>
    <t>ATENCÃO</t>
  </si>
  <si>
    <t>Vínculo</t>
  </si>
  <si>
    <t>Setor</t>
  </si>
  <si>
    <t>4.01</t>
  </si>
  <si>
    <t>4.02</t>
  </si>
  <si>
    <t>4.03</t>
  </si>
  <si>
    <t>4.04</t>
  </si>
  <si>
    <t>4.05</t>
  </si>
  <si>
    <t>4.06</t>
  </si>
  <si>
    <t>4.07</t>
  </si>
  <si>
    <t>4.08</t>
  </si>
  <si>
    <t>4.09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</si>
  <si>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</si>
  <si>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</si>
  <si>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</si>
  <si>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</si>
  <si>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</si>
  <si>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</si>
  <si>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</si>
  <si>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</si>
  <si>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</si>
  <si>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4.19</t>
  </si>
  <si>
    <t>4.20</t>
  </si>
  <si>
    <t>4.21</t>
  </si>
  <si>
    <t>4.22</t>
  </si>
  <si>
    <t>4.23</t>
  </si>
  <si>
    <t>4.24</t>
  </si>
  <si>
    <t>4.25</t>
  </si>
  <si>
    <t>4.26</t>
  </si>
  <si>
    <t>4.27</t>
  </si>
  <si>
    <t>4.28</t>
  </si>
  <si>
    <t>4.29</t>
  </si>
  <si>
    <t>4.30</t>
  </si>
  <si>
    <t>4.31</t>
  </si>
  <si>
    <t>4.32</t>
  </si>
  <si>
    <t>4.33</t>
  </si>
  <si>
    <t>4.34</t>
  </si>
  <si>
    <t>4.35</t>
  </si>
  <si>
    <t>4.36</t>
  </si>
  <si>
    <t>4.37</t>
  </si>
  <si>
    <t>4.38</t>
  </si>
  <si>
    <t>4.39</t>
  </si>
  <si>
    <t>4.40</t>
  </si>
  <si>
    <t>4.41</t>
  </si>
  <si>
    <t>4.42</t>
  </si>
  <si>
    <t>4.43</t>
  </si>
  <si>
    <t>4.44</t>
  </si>
  <si>
    <t>4.45</t>
  </si>
  <si>
    <t>4.46</t>
  </si>
  <si>
    <t>4.47</t>
  </si>
  <si>
    <t>4.48</t>
  </si>
  <si>
    <t>4.49</t>
  </si>
  <si>
    <t>4.50</t>
  </si>
  <si>
    <t>4.51</t>
  </si>
  <si>
    <t>4.52</t>
  </si>
  <si>
    <t>4.53</t>
  </si>
  <si>
    <t>4.54</t>
  </si>
  <si>
    <t>4.55</t>
  </si>
  <si>
    <t>4.56</t>
  </si>
  <si>
    <t>4.57</t>
  </si>
  <si>
    <t>4.58</t>
  </si>
  <si>
    <t>4.59</t>
  </si>
  <si>
    <t>4.60</t>
  </si>
  <si>
    <t>4.61</t>
  </si>
  <si>
    <t>4.62</t>
  </si>
  <si>
    <t>4.63</t>
  </si>
  <si>
    <t>4.64</t>
  </si>
  <si>
    <t>4.65</t>
  </si>
  <si>
    <t>4.66</t>
  </si>
  <si>
    <t>4.67</t>
  </si>
  <si>
    <t>4.68</t>
  </si>
  <si>
    <t>4.69</t>
  </si>
  <si>
    <t>4.70</t>
  </si>
  <si>
    <t>4.71</t>
  </si>
  <si>
    <t>4.72</t>
  </si>
  <si>
    <t>4.73</t>
  </si>
  <si>
    <t>4.74</t>
  </si>
  <si>
    <t>4.75</t>
  </si>
  <si>
    <t>4.76</t>
  </si>
  <si>
    <t>4.77</t>
  </si>
  <si>
    <t>4.78</t>
  </si>
  <si>
    <t>4.79</t>
  </si>
  <si>
    <t>4.80</t>
  </si>
  <si>
    <t>4.81</t>
  </si>
  <si>
    <t>4.82</t>
  </si>
  <si>
    <t>4.83</t>
  </si>
  <si>
    <t>4.84</t>
  </si>
  <si>
    <t>4.85</t>
  </si>
  <si>
    <t>4.86</t>
  </si>
  <si>
    <t>4.87</t>
  </si>
  <si>
    <t>4.88</t>
  </si>
  <si>
    <t>4.89</t>
  </si>
  <si>
    <t>4.90</t>
  </si>
  <si>
    <t>4.91</t>
  </si>
  <si>
    <t>4.92</t>
  </si>
  <si>
    <t>4.93</t>
  </si>
  <si>
    <t>4.94</t>
  </si>
  <si>
    <t>4.95</t>
  </si>
  <si>
    <t>4.96</t>
  </si>
  <si>
    <t>4.97</t>
  </si>
  <si>
    <t>4.98</t>
  </si>
  <si>
    <t>4.99</t>
  </si>
  <si>
    <t>4.100</t>
  </si>
  <si>
    <t>4.101</t>
  </si>
  <si>
    <t>4.102</t>
  </si>
  <si>
    <t>4.103</t>
  </si>
  <si>
    <t>4.104</t>
  </si>
  <si>
    <t>4.105</t>
  </si>
  <si>
    <t>4.106</t>
  </si>
  <si>
    <t>4.107</t>
  </si>
  <si>
    <t>4.108</t>
  </si>
  <si>
    <t>4.109</t>
  </si>
  <si>
    <t>4.110</t>
  </si>
  <si>
    <t>4.111</t>
  </si>
  <si>
    <t>4.112</t>
  </si>
  <si>
    <t>4.113</t>
  </si>
  <si>
    <t>4.114</t>
  </si>
  <si>
    <t>4.115</t>
  </si>
  <si>
    <t>4.116</t>
  </si>
  <si>
    <t>4.117</t>
  </si>
  <si>
    <t>4.118</t>
  </si>
  <si>
    <t>4.119</t>
  </si>
  <si>
    <t>4.120</t>
  </si>
  <si>
    <t>4.121</t>
  </si>
  <si>
    <t>4.122</t>
  </si>
  <si>
    <t>4.123</t>
  </si>
  <si>
    <t>4.124</t>
  </si>
  <si>
    <t>4.125</t>
  </si>
  <si>
    <t>4.126</t>
  </si>
  <si>
    <t>4.127</t>
  </si>
  <si>
    <t>4.128</t>
  </si>
  <si>
    <t>4.129</t>
  </si>
  <si>
    <t>4.130</t>
  </si>
  <si>
    <t>4.131</t>
  </si>
  <si>
    <t>4.132</t>
  </si>
  <si>
    <t>4.133</t>
  </si>
  <si>
    <t>4.134</t>
  </si>
  <si>
    <t>4.135</t>
  </si>
  <si>
    <t>4.136</t>
  </si>
  <si>
    <t>AC</t>
  </si>
  <si>
    <t>Não</t>
  </si>
  <si>
    <t>NULL</t>
  </si>
  <si>
    <t>Técnico</t>
  </si>
  <si>
    <t>Excelente</t>
  </si>
  <si>
    <t>Não são atividades do meu interesse</t>
  </si>
  <si>
    <t>Sim</t>
  </si>
  <si>
    <t>Bom</t>
  </si>
  <si>
    <t>Outro</t>
  </si>
  <si>
    <t>Ruim</t>
  </si>
  <si>
    <t>Não sei responder</t>
  </si>
  <si>
    <t>Péssimo</t>
  </si>
  <si>
    <t>Não se aplica</t>
  </si>
  <si>
    <t>Não tive condições em acessar as ações</t>
  </si>
  <si>
    <t>Não tive conhecimento das ações</t>
  </si>
  <si>
    <t>Docente</t>
  </si>
  <si>
    <t>Número_Questão</t>
  </si>
  <si>
    <t>Tipo_Questão</t>
  </si>
  <si>
    <t>Título_Questão</t>
  </si>
  <si>
    <t>TítuloGráfico</t>
  </si>
  <si>
    <t>Observações</t>
  </si>
  <si>
    <t>Por gentileza, escolha Sim se você deseja avaliar temas do ensino da graduação; se quiser prosseguir, escolha Não:</t>
  </si>
  <si>
    <t>Eixo 4: Questão 1</t>
  </si>
  <si>
    <t>Com relação ao ensino da graduação, avalie: [A consonância entre os fins da instituição e o currículo e a organização didático-pedagógica (métodos, metodologias, planos de ensino e de aprendizagem e avaliação da aprendizagem)]</t>
  </si>
  <si>
    <t>Eixo 4: Questão 2</t>
  </si>
  <si>
    <t>Com relação ao ensino da graduação, avalie: [As práticas pedagógicas que facilitam o processo participativo de construção do conhecimento]</t>
  </si>
  <si>
    <t>Eixo 4: Questão 3</t>
  </si>
  <si>
    <t>Com relação ao ensino da graduação, avalie: [As práticas institucionais que estimulam o uso de novas tecnologias no ensino]</t>
  </si>
  <si>
    <t>Eixo 4: Questão 4</t>
  </si>
  <si>
    <r>
      <t xml:space="preserve">Com relação ao ensino da graduação, avalie: [As ações de orientação e de acompanhamento dos cursos que recebem avaliação </t>
    </r>
    <r>
      <rPr>
        <i/>
        <sz val="10"/>
        <rFont val="Arial"/>
        <family val="2"/>
      </rPr>
      <t>in loco</t>
    </r>
    <r>
      <rPr>
        <sz val="10"/>
        <rFont val="Arial"/>
        <family val="2"/>
      </rPr>
      <t>]</t>
    </r>
  </si>
  <si>
    <t>Eixo 4: Questão 5</t>
  </si>
  <si>
    <t>Com relação ao ensino da graduação, avalie: [A oferta de disciplinas de pós-graduação a estudantes egressos da graduação]</t>
  </si>
  <si>
    <t>Eixo 4: Questão 6</t>
  </si>
  <si>
    <t>Com relação ao ensino da graduação, avalie: [A integração entre graduação e pós-graduação e pesquisa]</t>
  </si>
  <si>
    <t>Eixo 4: Questão 7</t>
  </si>
  <si>
    <t>Com relação ao ensino da graduação, avalie: [O planejamento, a organização e as orientações para a realização da Feira de Profissões]</t>
  </si>
  <si>
    <t>Eixo 4: Questão 8</t>
  </si>
  <si>
    <t>Com relação ao ensino da graduação, avalie: [As políticas de orientação de revisão curricular para a implantação de disciplinas híbridas]</t>
  </si>
  <si>
    <t>Eixo 4: Questão 9</t>
  </si>
  <si>
    <t>Com relação ao ensino da graduação, avalie: [As políticas de revisão curricular para adequação aos objetivos institucionais, às demandas sociais e às necessidades individuais]</t>
  </si>
  <si>
    <t>Eixo 4: Questão 10</t>
  </si>
  <si>
    <t>Com relação ao ensino da graduação, avalie: [As políticas e ações que visam à redução da evasão nos cursos]</t>
  </si>
  <si>
    <t>Eixo 4: Questão 11</t>
  </si>
  <si>
    <t>Com relação ao ensino da graduação, avalie: [As políticas e ações de acompanhamento de egressos visando à atualização do currículo conforme demanda da sociedade e do mercado de trabalho]</t>
  </si>
  <si>
    <t>Eixo 4: Questão 12</t>
  </si>
  <si>
    <t>Com relação ao ensino da graduação, avalie: [Os programas de monitoria e tutoria com vistas a diminuir a retenção nos cursos]</t>
  </si>
  <si>
    <t>Eixo 4: Questão 13</t>
  </si>
  <si>
    <t>Com relação ao ensino da graduação, avalie: [A atuação do coordenador do curso com o qual você tem mais contato]</t>
  </si>
  <si>
    <t>Eixo 4: Questão 14</t>
  </si>
  <si>
    <t>Com relação ao ensino da graduação, avalie: [A articulação da gestão do curso com a gestão institucional]</t>
  </si>
  <si>
    <t>Eixo 4: Questão 15</t>
  </si>
  <si>
    <t>Com relação ao ensino da graduação, avalie: [A implementação das políticas institucionais constantes no PPI e no PDI, no âmbito do curso]</t>
  </si>
  <si>
    <t>Eixo 4: Questão 16</t>
  </si>
  <si>
    <t>Com relação ao ensino da graduação, avalie: [A orientação e os procedimentos para a formalização de Estágios]</t>
  </si>
  <si>
    <t>Eixo 4: Questão 17</t>
  </si>
  <si>
    <t>Aberta</t>
  </si>
  <si>
    <t>Comentários e sugestões para o tema do ensino da graduação:</t>
  </si>
  <si>
    <t>Eixo 4: Questão 18</t>
  </si>
  <si>
    <t>ver arquivo específico</t>
  </si>
  <si>
    <t>As próximas questões abordam temas da pesquisa científica e tecnológica. Por gentileza, escolha Sim para avaliar; se quiser prosseguir, escolha Não:</t>
  </si>
  <si>
    <t>Eixo 4: Questão 19</t>
  </si>
  <si>
    <t>Sobre as políticas e ações que envolvem o desenvolvimento da pesquisa científica e tecnológica, avalie: [O banco de projetos de pesquisa científica e desenvolvimento tecnológico (BPP/UFPR)]</t>
  </si>
  <si>
    <t>Eixo 4: Questão 20</t>
  </si>
  <si>
    <t>Sobre as políticas e ações que envolvem o desenvolvimento da pesquisa científica e tecnológica, avalie: [A atuação do Comitê Setorial de Pesquisa – CSPq]</t>
  </si>
  <si>
    <t>Eixo 4: Questão 21</t>
  </si>
  <si>
    <t>Sobre as políticas e ações que envolvem o desenvolvimento da pesquisa científica e tecnológica, avalie: [As políticas de acompanhamento de projetos de pesquisa científica e tecnológica]</t>
  </si>
  <si>
    <t>Eixo 4: Questão 22</t>
  </si>
  <si>
    <t>Sobre as políticas e ações que envolvem o desenvolvimento da pesquisa científica e tecnológica, avalie: [O acesso a bases de indexação pela UFPR]</t>
  </si>
  <si>
    <t>Eixo 4: Questão 23</t>
  </si>
  <si>
    <t>A pergunta a seguir é sobre os editais anuais de apoio à pesquisa ofertados pela UFPR. Antes de responder, por gentileza, escolha seu perfil</t>
  </si>
  <si>
    <t>Eixo 4: Questão 24</t>
  </si>
  <si>
    <t>Informativa para uso da PRPPG</t>
  </si>
  <si>
    <t>Com relação à oferta de editais anuais de apoio à pesquisa destinados aos docentes, avalie os itens a seguir: [Edital de Apoio a Atividades de Pesquisa]</t>
  </si>
  <si>
    <t>Eixo 4: Questão 25</t>
  </si>
  <si>
    <t>Com relação à oferta de editais anuais de apoio à pesquisa destinados aos docentes, avalie os itens a seguir: [Edital de Apoio à Manutenção de Equipamentos de Pesquisa]</t>
  </si>
  <si>
    <t>Eixo 4: Questão 26</t>
  </si>
  <si>
    <t>Com relação à oferta de editais anuais de apoio à pesquisa destinados aos docentes, avalie os itens a seguir: [Edital de Apoio a Publicações Científicas Internacionais]</t>
  </si>
  <si>
    <t>Eixo 4: Questão 27</t>
  </si>
  <si>
    <t>Com relação à oferta de editais anuais de apoio à pesquisa destinados aos docentes, avalie os itens a seguir: [Edital de apoio à participação e organização de eventos]</t>
  </si>
  <si>
    <t>Eixo 4: Questão 28</t>
  </si>
  <si>
    <t>Com relação à oferta de editais anuais de apoio à pesquisa destinados aos técnicos, avalie os itens a seguir: [Edital de Apoio a Atividades de Pesquisa]</t>
  </si>
  <si>
    <t>Eixo 4: Questão 29</t>
  </si>
  <si>
    <t>Com relação à oferta de editais anuais de apoio à pesquisa destinados aos técnicos, avalie os itens a seguir: [Edital de Apoio à Manutenção de Equipamentos de Pesquisa]</t>
  </si>
  <si>
    <t>Eixo 4: Questão 30</t>
  </si>
  <si>
    <t>Com relação à oferta de editais anuais de apoio à pesquisa destinados aos técnicos, avalie os itens a seguir: [Edital de Apoio a Publicações Científicas Internacionais]</t>
  </si>
  <si>
    <t>Eixo 4: Questão 31</t>
  </si>
  <si>
    <t>Com relação à oferta de editais anuais de apoio à pesquisa destinados aos técnicos, avalie os itens a seguir: [Edital de apoio à participação e organização de eventos]</t>
  </si>
  <si>
    <t>Eixo 4: Questão 32</t>
  </si>
  <si>
    <t>Você participa de algum grupo de pesquisa?</t>
  </si>
  <si>
    <t>Eixo 4: Questão 33</t>
  </si>
  <si>
    <t>Com relação aos grupos de pesquisa, avalie: [O grupo de pesquisa como fórum de discussão e ampliação de conhecimento]</t>
  </si>
  <si>
    <t>Eixo 4: Questão 34</t>
  </si>
  <si>
    <t>Com relação aos grupos de pesquisa, avalie: [O fomento à Rede de Contatos Futuros (pesquisadores, empresas, etc.)]</t>
  </si>
  <si>
    <t>Eixo 4: Questão 35</t>
  </si>
  <si>
    <t>Com relação aos grupos de pesquisa, avalie: [O impacto da interação com outros grupos de pesquisa no projeto de pesquisa em andamento]</t>
  </si>
  <si>
    <t>Eixo 4: Questão 36</t>
  </si>
  <si>
    <t>Comentários e sugestões para o tema da pesquisa científica e tecnológica:</t>
  </si>
  <si>
    <t>Eixo 4: Questão 37</t>
  </si>
  <si>
    <t>Você orienta ou participa do Programa de Iniciação Científica e Tecnológica?</t>
  </si>
  <si>
    <t>Eixo 4: Questão 38</t>
  </si>
  <si>
    <t xml:space="preserve">A </t>
  </si>
  <si>
    <t>Considerando o Programa de Iniciação Científica e Tecnológica, avalie: [As políticas e normas do Programa de Iniciação Científica e de Desenvolvimento Tecnológico e Inovação (PICDTI) da UFPR]</t>
  </si>
  <si>
    <t>Eixo 4: Questão 39</t>
  </si>
  <si>
    <t>Considerando o Programa de Iniciação Científica e Tecnológica, avalie: [Os programas institucionais de bolsas (PIBIC, PIBIC - Af, PIBITI e PIBIC EM) quanto aos editais]</t>
  </si>
  <si>
    <t>Eixo 4: Questão 40</t>
  </si>
  <si>
    <t>Considerando o Programa de Iniciação Científica e Tecnológica, avalie: [Os programas institucionais de bolsas (PIBIC, PIBIC - Af, PIBITI e PIBIC EM) quanto ao processo seletivo]</t>
  </si>
  <si>
    <t>Eixo 4: Questão 41</t>
  </si>
  <si>
    <t>Considerando o Programa de Iniciação Científica e Tecnológica, avalie: [Os programas institucionais de bolsas (PIBIC, PIBIC - Af, PIBITI e PIBIC EM) quanto ao cadastro de informações]</t>
  </si>
  <si>
    <t>Eixo 4: Questão 42</t>
  </si>
  <si>
    <t>Considerando o Programa de Iniciação Científica e Tecnológica, avalie: [A disponibilidade de bolsas]</t>
  </si>
  <si>
    <t>Eixo 4: Questão 43</t>
  </si>
  <si>
    <t>Considerando o Programa de Iniciação Científica e Tecnológica, avalie: [A compatibilidade da formação do aluno com o projeto]</t>
  </si>
  <si>
    <t>Eixo 4: Questão 44</t>
  </si>
  <si>
    <t>Considerando o Programa de Iniciação Científica e Tecnológica, avalie: [A disponibilidade do aluno para as atividades de pesquisa]</t>
  </si>
  <si>
    <t>Eixo 4: Questão 45</t>
  </si>
  <si>
    <t>Considerando o Programa de Iniciação Científica e Tecnológica, avalie: [As melhorias das expectativas profissionais do aluno (acesso à PG ou ao mercado de trabalho)]</t>
  </si>
  <si>
    <t>Eixo 4: Questão 46</t>
  </si>
  <si>
    <t>Considerando o Programa de Iniciação Científica e Tecnológica, avalie: [O desempenho do aluno em relação ao seu desenvolvimento, considerando os objetivos acadêmicos e sociais do programa]</t>
  </si>
  <si>
    <t>Eixo 4: Questão 47</t>
  </si>
  <si>
    <t>Considerando o Programa de Iniciação Científica e Tecnológica, avalie: [O calendário de atividades]</t>
  </si>
  <si>
    <t>Eixo 4: Questão 48</t>
  </si>
  <si>
    <t>Comentários e sugestões para o tema da iniciação científica e tecnológica:</t>
  </si>
  <si>
    <t>Eixo 4: Questão 49</t>
  </si>
  <si>
    <t>Você está envolvido/a e/ou participou de atividades de extensão na UFPR (na condição de coordenação de atividade, membro de equipe, Comitê Setorial de Extensão, CAEX ou gestão/planejamento da política de extensão)?</t>
  </si>
  <si>
    <t>Eixo 4: Questão 50</t>
  </si>
  <si>
    <t>Você está acompanhando o processo de adequação do currículo dos cursos de graduação visando à inclusão da extensão, conforme a Meta 12.7 da Lei n.º 13.005/2014 (Plano Nacional de educação 2014-2024), a Resolução CNE n.º 7 de 18/12/2018 e a Resolução n.º 86/20-CEPE?</t>
  </si>
  <si>
    <t>Eixo 4: Questão 51</t>
  </si>
  <si>
    <t>Avalie as ações de orientação da Comissão de Implantação da Creditação da Extensão na UFPR (PROEC e PROGRAD) para revisão curricular visando implementar a creditação da extensão nos cursos:</t>
  </si>
  <si>
    <t>Eixo 4: Questão 52</t>
  </si>
  <si>
    <t>Avalie o suporte do Comitê Setorial de Extensão para o desenvolvimento das atividades extensionistas, considerando os seguintes pontos: [Incentivo para o desenvolvimento da extensão]</t>
  </si>
  <si>
    <t>Eixo 4: Questão 53</t>
  </si>
  <si>
    <t>Avalie o suporte do Comitê Setorial de Extensão para o desenvolvimento das atividades extensionistas, considerando os seguintes pontos: [Orientações sobre a tramitação de propostas e relatórios]</t>
  </si>
  <si>
    <t>Eixo 4: Questão 54</t>
  </si>
  <si>
    <t>Avalie o suporte do Comitê Setorial de Extensão para o desenvolvimento das atividades extensionistas, considerando os seguintes pontos: [Emissão de pareceres sobre as propostas]</t>
  </si>
  <si>
    <t>Eixo 4: Questão 55</t>
  </si>
  <si>
    <t>Avalie o suporte do Comitê Setorial de Extensão para o desenvolvimento das atividades extensionistas, considerando os seguintes pontos: [Publicização de orientações sobre a Extensão]</t>
  </si>
  <si>
    <t>Eixo 4: Questão 56</t>
  </si>
  <si>
    <t>Avalie o suporte do Comitê Setorial de Extensão para o desenvolvimento das atividades extensionistas, considerando os seguintes pontos: [Representação no CAEX (Comitê Assessor de Extensão)]</t>
  </si>
  <si>
    <t>Eixo 4: Questão 57</t>
  </si>
  <si>
    <t>Avalie o suporte do Comitê Setorial de Extensão para o desenvolvimento das atividades extensionistas, considerando os seguintes pontos: [Suporte para o desenvolvimento da extensão durante a pandemia]</t>
  </si>
  <si>
    <t>Eixo 4: Questão 58</t>
  </si>
  <si>
    <t>Avalie o suporte do Comitê Setorial de Extensão para o desenvolvimento das atividades extensionistas, considerando os seguintes pontos: [Cumprimento de prazos]</t>
  </si>
  <si>
    <t>Eixo 4: Questão 59</t>
  </si>
  <si>
    <t>Avalie o suporte do Comitê Setorial de Extensão para o desenvolvimento das atividades extensionistas, considerando os seguintes pontos: [Informações sobre a creditação da extensão]</t>
  </si>
  <si>
    <t>Eixo 4: Questão 60</t>
  </si>
  <si>
    <t>Como você avalia as ações institucionais de incentivo e apoio para o desenvolvimento integrado de atividades extensionistas (SIEPE integrando os campi, Ações articuladas fomentadas pelo Edital de Fortalecimento da Extensão, Criação de Redes Temáticas)?</t>
  </si>
  <si>
    <t>Eixo 4: Questão 61</t>
  </si>
  <si>
    <t>Avalie a contribuição da extensão no processo de formação de estudantes (de graduação e pós-graduação), considerando: [A formação acadêmica e profissional (habilidades e competências teóricas e metodológicas)]</t>
  </si>
  <si>
    <t>Eixo 4: Questão 62</t>
  </si>
  <si>
    <t>Avalie a contribuição da extensão no processo de formação de estudantes (de graduação e pós-graduação), considerando: [A formação cidadã]</t>
  </si>
  <si>
    <t>Eixo 4: Questão 63</t>
  </si>
  <si>
    <t>Avalie o suporte financeiro para a realização das ações extensionistas, nos quesitos: [Editais de bolsas para estudantes]</t>
  </si>
  <si>
    <t>Eixo 4: Questão 64</t>
  </si>
  <si>
    <t>Avalie o suporte financeiro para a realização das ações extensionistas, nos quesitos: [Editais de fomento para a Extensão]</t>
  </si>
  <si>
    <t>Eixo 4: Questão 65</t>
  </si>
  <si>
    <t>Com relação ao Edital de Bolsa Extensão, avalie: [A divulgação e as informações prestadas sobre o Edital]</t>
  </si>
  <si>
    <t>Eixo 4: Questão 66</t>
  </si>
  <si>
    <t>Com relação ao Edital de Bolsa Extensão, avalie: [O quantitativo de bolsas ofertadas no Edital]</t>
  </si>
  <si>
    <t>Eixo 4: Questão 67</t>
  </si>
  <si>
    <t>Com relação ao Edital de Bolsa Extensão, avalie: [O processo de inscrição ao Edital e de distribuição das bolsas]</t>
  </si>
  <si>
    <t>Eixo 4: Questão 68</t>
  </si>
  <si>
    <t>Com relação ao Edital de Bolsa Extensão, avalie: [A vigência das bolsas]</t>
  </si>
  <si>
    <t>Eixo 4: Questão 69</t>
  </si>
  <si>
    <t>Comentários e sugestões para o tema da extensão universitária:</t>
  </si>
  <si>
    <t>Eixo 4: Questão 70</t>
  </si>
  <si>
    <t>Com relação às atividades artístico-culturais, avalie as ações a seguir: [Festival de Inverno da UFPR]</t>
  </si>
  <si>
    <t>Eixo 4: Questão 71</t>
  </si>
  <si>
    <t>Com relação às atividades artístico-culturais, avalie as ações a seguir: [Meses temáticos (Março da Mulher, Abril Indígena, Junho LGBTI, Mês da Consciência Negra)]</t>
  </si>
  <si>
    <t>Eixo 4: Questão 72</t>
  </si>
  <si>
    <t>Com relação às atividades artístico-culturais, avalie as ações a seguir: [Temporada Grupos Artísticos (Companhia de Teatro, Coro, Grupo de MPB, Orquestra Filarmônica, Téssera Companhia de Dança)]</t>
  </si>
  <si>
    <t>Eixo 4: Questão 73</t>
  </si>
  <si>
    <t>Com relação às atividades artístico-culturais, avalie as ações a seguir: [Exposições e atividades educativas do Museu de Arte da UFPR – MusA]</t>
  </si>
  <si>
    <t>Eixo 4: Questão 74</t>
  </si>
  <si>
    <t>Com relação às atividades artístico-culturais, avalie as ações a seguir: [Exposições virtuais do Museu de Arqueologia e Etnologia da UFPR – MAE]</t>
  </si>
  <si>
    <t>Eixo 4: Questão 75</t>
  </si>
  <si>
    <t>Com relação às atividades artístico-culturais, avalie as ações a seguir: [Materiais educativos e outras programações do Museu de Arqueologia e Etnologia da UFPR – MAE (mesas redondas, entrevistas, oficinas)]</t>
  </si>
  <si>
    <t>Eixo 4: Questão 76</t>
  </si>
  <si>
    <t>Com relação às atividades artístico-culturais, avalie as ações a seguir: [Feira do Livro]</t>
  </si>
  <si>
    <t>Eixo 4: Questão 77</t>
  </si>
  <si>
    <t>Se desejar, especifique e avalie outras atividades artístico-culturais das quais você participou e que não foram elencadas na questão anterior:</t>
  </si>
  <si>
    <t>Eixo 4: Questão 78</t>
  </si>
  <si>
    <t>Se você não participou de nenhuma atividade artístico-cultural ofertada pela UFPR, marque o motivo:</t>
  </si>
  <si>
    <t>Eixo 4: Questão 79</t>
  </si>
  <si>
    <t>Informativa para uso da Proec</t>
  </si>
  <si>
    <t>Se você não participou de nenhuma atividade artístico-cultural ofertada pela UFPR: [Outro Motivo]</t>
  </si>
  <si>
    <t>Eixo 4: Questão 80</t>
  </si>
  <si>
    <t>Considerando as atividades mencionadas anteriormente, você julga importante o acesso por meio de plataformas digitais?</t>
  </si>
  <si>
    <t>Eixo 4: Questão 81</t>
  </si>
  <si>
    <t>Qual a plataforma digital de sua preferência?</t>
  </si>
  <si>
    <t>Eixo 4: Questão 82</t>
  </si>
  <si>
    <t>Por quê?</t>
  </si>
  <si>
    <t>Eixo 4: Questão 83</t>
  </si>
  <si>
    <t>Comentários e sugestões para o tema das atividades artístico-culturais:</t>
  </si>
  <si>
    <t>Eixo 4: Questão 84</t>
  </si>
  <si>
    <t>Por favor, escolha Sim se deseja contribuir com a avaliação da pós-graduação stricto sensu. Caso contrário, escolha Não para prosseguir:</t>
  </si>
  <si>
    <t>Eixo 4: Questão 85</t>
  </si>
  <si>
    <t>Considerando os programas de pós-graduação, avalie: [A clareza das normatizações sobre os programas de pós-graduação (regimento, processo seletivo, resoluções, etc.)]</t>
  </si>
  <si>
    <t>Eixo 4: Questão 86</t>
  </si>
  <si>
    <t>Considerando os programas de pós-graduação, avalie: [A oferta de disciplinas transversais]</t>
  </si>
  <si>
    <t>Eixo 4: Questão 87</t>
  </si>
  <si>
    <t>Considerando os programas de pós-graduação, avalie: [A orientação e as normas para a revisão dos currículos dos programas]</t>
  </si>
  <si>
    <t>Eixo 4: Questão 88</t>
  </si>
  <si>
    <t>Considerando os programas de pós-graduação, avalie: [As políticas de acolhimento de pesquisadores externos (exemplo: Editais PRINT/UFPR)]</t>
  </si>
  <si>
    <t>Eixo 4: Questão 89</t>
  </si>
  <si>
    <t>Considerando os programas de pós-graduação, avalie: [As ações institucionais para criação, expansão e manutenção da pós-graduação stricto sensu]</t>
  </si>
  <si>
    <t>Eixo 4: Questão 90</t>
  </si>
  <si>
    <t>Considerando os programas de pós-graduação, avalie: [As ações de melhoria da qualidade da pós-graduação stricto sensu]</t>
  </si>
  <si>
    <t>Eixo 4: Questão 91</t>
  </si>
  <si>
    <t>Com relação ao programa de pós-graduação onde você atua majoritariamente, avalie os seguintes itens: [Planejamento]</t>
  </si>
  <si>
    <t>Eixo 4: Questão 92</t>
  </si>
  <si>
    <t>Com relação ao programa de pós-graduação onde você atua majoritariamente, avalie os seguintes itens: [Processo Seletivo de Bolsas]</t>
  </si>
  <si>
    <t>Eixo 4: Questão 93</t>
  </si>
  <si>
    <t>Com relação ao programa de pós-graduação onde você atua majoritariamente, avalie os seguintes itens: [Disponibilidade de Bolsas]</t>
  </si>
  <si>
    <t>Eixo 4: Questão 94</t>
  </si>
  <si>
    <t>Com relação ao programa de pós-graduação onde você atua majoritariamente, avalie os seguintes itens: [Disponibilidade de disciplinas compatíveis com os créditos exigidos]</t>
  </si>
  <si>
    <t>Eixo 4: Questão 95</t>
  </si>
  <si>
    <t>Com relação ao programa de pós-graduação onde você atua majoritariamente, avalie os seguintes itens: [Pertinência das disciplinas com a área]</t>
  </si>
  <si>
    <t>Eixo 4: Questão 96</t>
  </si>
  <si>
    <t>Com relação ao programa de pós-graduação onde você atua majoritariamente, avalie os seguintes itens: [Aplicabilidade direta das disciplinas para a pesquisa]</t>
  </si>
  <si>
    <t>Eixo 4: Questão 97</t>
  </si>
  <si>
    <t>Com relação ao programa de pós-graduação onde você atua majoritariamente, avalie os seguintes itens: [Feedback do aluno quanto às disciplinas ofertadas]</t>
  </si>
  <si>
    <t>Eixo 4: Questão 98</t>
  </si>
  <si>
    <t>Com relação ao programa de pós-graduação onde você atua majoritariamente, avalie os seguintes itens: [Profundidade dos conteúdos nas disciplinas ofertadas]</t>
  </si>
  <si>
    <t>Eixo 4: Questão 99</t>
  </si>
  <si>
    <t>Com relação ao programa de pós-graduação onde você atua majoritariamente, avalie os seguintes itens: [Procedimentos usados para avaliação e feedback do desempenho discente nas disciplinas ofertadas]</t>
  </si>
  <si>
    <t>Eixo 4: Questão 100</t>
  </si>
  <si>
    <t>Com relação ao programa de pós-graduação onde você atua majoritariamente, avalie os seguintes itens: [Número de orientadores disponíveis no PPG]</t>
  </si>
  <si>
    <t>Eixo 4: Questão 101</t>
  </si>
  <si>
    <t>Com relação ao programa de pós-graduação onde você atua majoritariamente, avalie os seguintes itens: [Conhecimento e atualização dos orientadores disponíveis]</t>
  </si>
  <si>
    <t>Eixo 4: Questão 102</t>
  </si>
  <si>
    <t>Com relação ao programa de pós-graduação onde você atua majoritariamente, avalie os seguintes itens: [Disponibilidade do corpo docente para atividades de orientação]</t>
  </si>
  <si>
    <t>Eixo 4: Questão 103</t>
  </si>
  <si>
    <t>Sobre a Avaliação Quadrienal do Programa de Pós-Graduação, opine: [Pertinência dos conteúdos abordados]</t>
  </si>
  <si>
    <t>Eixo 4: Questão 104</t>
  </si>
  <si>
    <t>Sobre a Avaliação Quadrienal do Programa de Pós-Graduação, opine: [Profundidade dos temas]</t>
  </si>
  <si>
    <t>Eixo 4: Questão 105</t>
  </si>
  <si>
    <t>Sobre a Avaliação Quadrienal do Programa de Pós-Graduação, opine: [Quantidade de reuniões, workshops, lives e demais eventos de orientação sobre o tema]</t>
  </si>
  <si>
    <t>Eixo 4: Questão 106</t>
  </si>
  <si>
    <t>Sobre a Avaliação Quadrienal do Programa de Pós-Graduação, opine: [Qualidade da informação]</t>
  </si>
  <si>
    <t>Eixo 4: Questão 107</t>
  </si>
  <si>
    <t>Sobre a Avaliação Quadrienal do Programa de Pós-Graduação, opine: [Efetividade da contribuição para a melhoria da avaliação do programa]</t>
  </si>
  <si>
    <t>Eixo 4: Questão 108</t>
  </si>
  <si>
    <t>Tendo em vista as Novas Diretrizes de Avaliação dos Programas de Pós-Graduação definidas pela CAPES, avalie os itens seguintes. Considere a organização e adequação das diretrizes com o(s) programa(s) ao(s) quais você está vinculado/a [Construção do planejamento do Programa (diagnóstico, discussão e participação dos diversos atores)]</t>
  </si>
  <si>
    <t>Eixo 4: Questão 109</t>
  </si>
  <si>
    <t>Tendo em vista as Novas Diretrizes de Avaliação dos Programas de Pós-Graduação definidas pela CAPES, avalie os itens seguintes. Considere a organização e adequação das diretrizes com o(s) programa(s) ao(s) quais você está vinculado/a [Autoavaliação (criação da comissão, definição do planejamento, incluindo métodos, critérios, práticas, etapas, sensibilização e uso dos resultados na gestão do programa)]</t>
  </si>
  <si>
    <t>Eixo 4: Questão 110</t>
  </si>
  <si>
    <t>Tendo em vista as Novas Diretrizes de Avaliação dos Programas de Pós-Graduação definidas pela CAPES, avalie os itens seguintes. Considere a organização e adequação das diretrizes com o(s) programa(s) ao(s) quais você está vinculado/a [Aplicação da abordagem multidimensional em relação ao levantamento das condições de qualidade dos programas de pós-graduação]</t>
  </si>
  <si>
    <t>Eixo 4: Questão 111</t>
  </si>
  <si>
    <t>Tendo em vista as Novas Diretrizes de Avaliação dos Programas de Pós-Graduação definidas pela CAPES, avalie os itens seguintes. Considere a organização e adequação das diretrizes com o(s) programa(s) ao(s) quais você está vinculado/a [Integração entre a Autoavaliação do programa de pós-graduação e os processos de Autoavaliação Institucional conduzidos pela CPA em parceria com a PRPPG]</t>
  </si>
  <si>
    <t>Eixo 4: Questão 112</t>
  </si>
  <si>
    <t>Comentários e sugestões para o tema da pós-graduação stricto sensu:</t>
  </si>
  <si>
    <t>Eixo 4: Questão 113</t>
  </si>
  <si>
    <t>Por favor, escolha Sim se deseja contribuir com a avaliação da pós-graduação lato sensu. Caso contrário, escolha Não para prosseguir:</t>
  </si>
  <si>
    <t>Eixo 4: Questão 114</t>
  </si>
  <si>
    <t>Considerando as políticas para a pós-graduação lato sensu, avalie as ações institucionais de: [Criação, ampliação e manutenção]</t>
  </si>
  <si>
    <t>Eixo 4: Questão 115</t>
  </si>
  <si>
    <t>Considerando as políticas para a pós-graduação lato sensu, avalie as ações institucionais de: [Melhoria da qualidade]</t>
  </si>
  <si>
    <t>Eixo 4: Questão 116</t>
  </si>
  <si>
    <t>Considerando as políticas para a pós-graduação lato sensu, avalie as ações institucionais de: [Acompanhamento de ocupação e evasão]</t>
  </si>
  <si>
    <t>Eixo 4: Questão 117</t>
  </si>
  <si>
    <t>Considerando as políticas para a pós-graduação lato sensu, avalie as ações institucionais de: [Avaliação e revisão dos currículos dos cursos em função das mudanças do mercado e da sociedade]</t>
  </si>
  <si>
    <t>Eixo 4: Questão 118</t>
  </si>
  <si>
    <t>Sobre os cursos de pós-graduação lato sensu, avalie os itens a seguir: [Clareza do processo seletivo para o ingresso de estudantes nos cursos]</t>
  </si>
  <si>
    <t>Eixo 4: Questão 119</t>
  </si>
  <si>
    <t>Sobre os cursos de pós-graduação lato sensu, avalie os itens a seguir: [Clareza do processo seletivo de bolsas destinadas aos estudantes]</t>
  </si>
  <si>
    <t>Eixo 4: Questão 120</t>
  </si>
  <si>
    <t>Sobre os cursos de pós-graduação lato sensu, avalie os itens a seguir: [Disponibilidade de bolsas aos estudantes]</t>
  </si>
  <si>
    <t>Eixo 4: Questão 121</t>
  </si>
  <si>
    <t>Sobre os cursos de pós-graduação lato sensu, avalie os itens a seguir: [Compatibilidade entre a oferta de disciplinas e os propósitos do curso]</t>
  </si>
  <si>
    <t>Eixo 4: Questão 122</t>
  </si>
  <si>
    <t>Sobre os cursos de pós-graduação lato sensu, avalie os itens a seguir: [Nível de satisfação dos estudantes quanto às disciplinas ofertadas]</t>
  </si>
  <si>
    <t>Eixo 4: Questão 123</t>
  </si>
  <si>
    <t>Sobre os cursos de pós-graduação lato sensu, avalie os itens a seguir: [Adequação da carga horária das disciplinas para as finalidades aos quais o curso se propõe]</t>
  </si>
  <si>
    <t>Eixo 4: Questão 124</t>
  </si>
  <si>
    <t>Sobre os cursos de pós-graduação lato sensu, avalie os itens a seguir: [Nível de qualificação profissional e acadêmica do corpo docente do curso]</t>
  </si>
  <si>
    <t>Eixo 4: Questão 125</t>
  </si>
  <si>
    <t>Sobre os cursos de pós-graduação lato sensu, avalie os itens a seguir: [Compatibilidade entre a quantidade de orientadores e as demandas monográficas do curso]</t>
  </si>
  <si>
    <t>Eixo 4: Questão 126</t>
  </si>
  <si>
    <t>Sobre os cursos de pós-graduação lato sensu, avalie os itens a seguir: [Metodologias de medição de avaliação de desempenho discente nas disciplinas ofertadas]</t>
  </si>
  <si>
    <t>Eixo 4: Questão 127</t>
  </si>
  <si>
    <t>Sobre os cursos de pós-graduação lato sensu, avalie os itens a seguir: [Qualidade da produção intelectual dos estudantes em relação aos objetivos de aprofundamento de conhecimento proposta para o curso]</t>
  </si>
  <si>
    <t>Eixo 4: Questão 128</t>
  </si>
  <si>
    <t>Comentários e sugestões para o tema da pós-graduação lato sensu:</t>
  </si>
  <si>
    <t>Eixo 4: Questão 129</t>
  </si>
  <si>
    <t>Considerando o planejamento e as políticas para a internacionalização da UFPR, escolha Sim para avaliar e Não para prosseguir:</t>
  </si>
  <si>
    <t>Eixo 4: Questão 130</t>
  </si>
  <si>
    <t>Sobre as ações para a internacionalização, no contexto das políticas acadêmicas, avalie: [A oferta de disciplinas em língua inglesa]</t>
  </si>
  <si>
    <t>Eixo 4: Questão 131</t>
  </si>
  <si>
    <t>Sobre as ações para a internacionalização, no contexto das políticas acadêmicas, avalie: [A oferta de cursos de capacitação para disciplinas em língua inglesa]</t>
  </si>
  <si>
    <t>Eixo 4: Questão 132</t>
  </si>
  <si>
    <t>Sobre as ações para a internacionalização, no contexto das políticas acadêmicas, avalie: [A oferta de cursos de língua portuguesa para estrangeiros]</t>
  </si>
  <si>
    <t>Eixo 4: Questão 133</t>
  </si>
  <si>
    <t>Sobre as ações para a internacionalização, no contexto das políticas acadêmicas, avalie: [A oferta de avaliações de proficiência em língua estrangeira]</t>
  </si>
  <si>
    <t>Eixo 4: Questão 134</t>
  </si>
  <si>
    <t>Sobre as ações para a internacionalização, no contexto das políticas acadêmicas, avalie: [O apoio à escrita de artigos científicos em língua inglesa]</t>
  </si>
  <si>
    <t>Eixo 4: Questão 135</t>
  </si>
  <si>
    <t>Sobre as ações para a internacionalização, no contexto das políticas acadêmicas, avalie: [A capacitação dos docentes para participação de editais internacionais de cooperação]</t>
  </si>
  <si>
    <t>Eixo 4: Questão 136</t>
  </si>
  <si>
    <t>4.137</t>
  </si>
  <si>
    <t>Comentários e sugestões para o tema da internacionalização:</t>
  </si>
  <si>
    <t>Eixo 4: Questão 137</t>
  </si>
  <si>
    <t>Título gráfico</t>
  </si>
  <si>
    <t>Resposta</t>
  </si>
  <si>
    <t>Técnicos</t>
  </si>
  <si>
    <t>Docentes</t>
  </si>
  <si>
    <t>Freq</t>
  </si>
  <si>
    <t>% Total</t>
  </si>
  <si>
    <t>% Válidas</t>
  </si>
  <si>
    <t>Sem resposta</t>
  </si>
  <si>
    <t>Total</t>
  </si>
  <si>
    <t>Legendas</t>
  </si>
  <si>
    <t>Ações</t>
  </si>
  <si>
    <t xml:space="preserve">Não sei responder </t>
  </si>
  <si>
    <t>Não responderam</t>
  </si>
  <si>
    <t>R1</t>
  </si>
  <si>
    <t>R2</t>
  </si>
  <si>
    <t>R3</t>
  </si>
  <si>
    <t>Legenda</t>
  </si>
  <si>
    <t>Descrição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</si>
</sst>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  <charset val="1"/>
    </font>
    <font>
      <b/>
      <sz val="11"/>
      <color rgb="FF000000"/>
      <name val="Calibri"/>
      <family val="2"/>
      <scheme val="minor"/>
    </font>
    <font>
      <b/>
      <sz val="11"/>
      <color rgb="FF000000"/>
      <name val="Calibri"/>
      <family val="2"/>
      <charset val="1"/>
    </font>
    <font>
      <sz val="11"/>
      <color rgb="FF444444"/>
      <name val="Calibri"/>
      <family val="2"/>
      <charset val="1"/>
    </font>
    <font>
      <sz val="11"/>
      <color theme="1"/>
      <name val="Calibri"/>
      <family val="2"/>
      <scheme val="minor"/>
    </font>
    <font>
      <i/>
      <sz val="1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u/>
      <sz val="12"/>
      <color theme="6" tint="-0.499984740745262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vertAlign val="superscript"/>
      <sz val="10"/>
      <color rgb="FFFF0000"/>
      <name val="Arial"/>
      <family val="2"/>
    </font>
    <font>
      <sz val="10"/>
      <color theme="4"/>
      <name val="Arial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theme="5"/>
      <name val="Calibri"/>
      <family val="2"/>
    </font>
    <font>
      <b/>
      <sz val="11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</fonts>
  <fills count="25">
    <fill>
      <patternFill patternType="none"/>
    </fill>
    <fill>
      <patternFill patternType="gray125"/>
    </fill>
    <fill>
      <patternFill patternType="solid">
        <fgColor rgb="FFB4C6E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theme="8" tint="-0.14999847407452621"/>
        <bgColor theme="5" tint="0.79998168889431442"/>
      </patternFill>
    </fill>
    <fill>
      <patternFill patternType="solid">
        <fgColor rgb="FFC65911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70C0"/>
        <bgColor rgb="FF000000"/>
      </patternFill>
    </fill>
    <fill>
      <patternFill patternType="solid">
        <fgColor rgb="FF4472C4"/>
        <bgColor rgb="FF000000"/>
      </patternFill>
    </fill>
    <fill>
      <patternFill patternType="solid">
        <fgColor rgb="FF548235"/>
        <bgColor rgb="FF000000"/>
      </patternFill>
    </fill>
    <fill>
      <patternFill patternType="solid">
        <fgColor theme="8" tint="-0.34998626667073579"/>
        <bgColor indexed="64"/>
      </patternFill>
    </fill>
    <fill>
      <patternFill patternType="solid">
        <fgColor theme="5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70AD47"/>
        <bgColor rgb="FF000000"/>
      </patternFill>
    </fill>
    <fill>
      <patternFill patternType="solid">
        <fgColor rgb="FF5B9BD5"/>
        <bgColor rgb="FF000000"/>
      </patternFill>
    </fill>
    <fill>
      <patternFill patternType="solid">
        <fgColor theme="6" tint="0.79998168889431442"/>
        <bgColor theme="6" tint="0.79998168889431442"/>
      </patternFill>
    </fill>
  </fills>
  <borders count="13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7" tint="0.39997558519241921"/>
      </left>
      <right/>
      <top style="thin">
        <color theme="7" tint="0.39997558519241921"/>
      </top>
      <bottom style="thin">
        <color theme="7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/>
      <right/>
      <top/>
      <bottom style="thin">
        <color indexed="64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/>
      <right style="thin">
        <color theme="6" tint="0.39997558519241921"/>
      </right>
      <top style="thin">
        <color theme="6" tint="0.39997558519241921"/>
      </top>
      <bottom style="thin">
        <color theme="6" tint="0.39997558519241921"/>
      </bottom>
      <diagonal/>
    </border>
  </borders>
  <cellStyleXfs count="2">
    <xf numFmtId="0" fontId="0" fillId="0" borderId="0"/>
    <xf numFmtId="9" fontId="8" fillId="0" borderId="0" applyFont="0" applyFill="0" applyBorder="0" applyAlignment="0" applyProtection="0"/>
  </cellStyleXfs>
  <cellXfs count="104">
    <xf numFmtId="0" fontId="0" fillId="0" borderId="0" xfId="0"/>
    <xf numFmtId="0" fontId="1" fillId="0" borderId="0" xfId="0" applyFont="1"/>
    <xf numFmtId="0" fontId="3" fillId="0" borderId="0" xfId="0" applyFont="1"/>
    <xf numFmtId="2" fontId="3" fillId="0" borderId="0" xfId="0" applyNumberFormat="1" applyFont="1"/>
    <xf numFmtId="0" fontId="4" fillId="0" borderId="0" xfId="0" quotePrefix="1" applyFont="1"/>
    <xf numFmtId="0" fontId="3" fillId="0" borderId="1" xfId="0" applyFont="1" applyBorder="1" applyAlignment="1">
      <alignment horizontal="center"/>
    </xf>
    <xf numFmtId="2" fontId="3" fillId="0" borderId="1" xfId="0" applyNumberFormat="1" applyFont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2" fontId="3" fillId="0" borderId="5" xfId="0" applyNumberFormat="1" applyFont="1" applyBorder="1"/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/>
    </xf>
    <xf numFmtId="0" fontId="6" fillId="0" borderId="0" xfId="0" quotePrefix="1" applyFont="1"/>
    <xf numFmtId="0" fontId="3" fillId="0" borderId="0" xfId="0" applyFont="1" applyAlignment="1">
      <alignment horizontal="right"/>
    </xf>
    <xf numFmtId="2" fontId="4" fillId="0" borderId="0" xfId="0" quotePrefix="1" applyNumberFormat="1" applyFont="1"/>
    <xf numFmtId="0" fontId="3" fillId="4" borderId="0" xfId="0" applyFont="1" applyFill="1"/>
    <xf numFmtId="0" fontId="3" fillId="5" borderId="0" xfId="0" applyFont="1" applyFill="1"/>
    <xf numFmtId="0" fontId="3" fillId="0" borderId="3" xfId="0" applyFont="1" applyBorder="1" applyAlignment="1">
      <alignment horizontal="right"/>
    </xf>
    <xf numFmtId="2" fontId="4" fillId="0" borderId="3" xfId="0" quotePrefix="1" applyNumberFormat="1" applyFont="1" applyBorder="1"/>
    <xf numFmtId="2" fontId="3" fillId="0" borderId="0" xfId="0" applyNumberFormat="1" applyFont="1" applyAlignment="1">
      <alignment horizontal="right"/>
    </xf>
    <xf numFmtId="0" fontId="3" fillId="0" borderId="1" xfId="0" applyFont="1" applyBorder="1"/>
    <xf numFmtId="0" fontId="4" fillId="0" borderId="3" xfId="0" quotePrefix="1" applyFont="1" applyBorder="1"/>
    <xf numFmtId="0" fontId="0" fillId="0" borderId="3" xfId="0" applyBorder="1"/>
    <xf numFmtId="2" fontId="3" fillId="0" borderId="3" xfId="0" applyNumberFormat="1" applyFont="1" applyBorder="1"/>
    <xf numFmtId="2" fontId="0" fillId="0" borderId="0" xfId="0" applyNumberFormat="1"/>
    <xf numFmtId="0" fontId="0" fillId="0" borderId="1" xfId="0" applyBorder="1"/>
    <xf numFmtId="3" fontId="3" fillId="0" borderId="0" xfId="0" applyNumberFormat="1" applyFont="1"/>
    <xf numFmtId="0" fontId="3" fillId="0" borderId="5" xfId="0" applyFont="1" applyBorder="1" applyAlignment="1">
      <alignment wrapText="1"/>
    </xf>
    <xf numFmtId="0" fontId="3" fillId="0" borderId="0" xfId="0" applyFont="1" applyAlignment="1">
      <alignment wrapText="1"/>
    </xf>
    <xf numFmtId="0" fontId="0" fillId="0" borderId="0" xfId="0" applyAlignment="1">
      <alignment wrapText="1"/>
    </xf>
    <xf numFmtId="0" fontId="0" fillId="3" borderId="0" xfId="0" applyFill="1"/>
    <xf numFmtId="0" fontId="3" fillId="6" borderId="3" xfId="0" applyFont="1" applyFill="1" applyBorder="1"/>
    <xf numFmtId="0" fontId="3" fillId="7" borderId="0" xfId="0" applyFont="1" applyFill="1"/>
    <xf numFmtId="2" fontId="3" fillId="7" borderId="0" xfId="0" applyNumberFormat="1" applyFont="1" applyFill="1"/>
    <xf numFmtId="0" fontId="3" fillId="7" borderId="0" xfId="0" applyFont="1" applyFill="1" applyAlignment="1">
      <alignment horizontal="center"/>
    </xf>
    <xf numFmtId="2" fontId="3" fillId="7" borderId="0" xfId="0" applyNumberFormat="1" applyFont="1" applyFill="1" applyAlignment="1">
      <alignment horizontal="center"/>
    </xf>
    <xf numFmtId="0" fontId="3" fillId="7" borderId="0" xfId="0" applyFont="1" applyFill="1" applyAlignment="1">
      <alignment horizontal="right"/>
    </xf>
    <xf numFmtId="2" fontId="4" fillId="7" borderId="0" xfId="0" quotePrefix="1" applyNumberFormat="1" applyFont="1" applyFill="1"/>
    <xf numFmtId="2" fontId="3" fillId="7" borderId="0" xfId="0" applyNumberFormat="1" applyFont="1" applyFill="1" applyAlignment="1">
      <alignment horizontal="right"/>
    </xf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1" fillId="8" borderId="6" xfId="0" applyFont="1" applyFill="1" applyBorder="1" applyAlignment="1">
      <alignment horizontal="center"/>
    </xf>
    <xf numFmtId="0" fontId="11" fillId="0" borderId="6" xfId="0" applyFont="1" applyBorder="1"/>
    <xf numFmtId="0" fontId="13" fillId="0" borderId="0" xfId="0" applyFont="1" applyAlignment="1">
      <alignment horizontal="left" wrapText="1"/>
    </xf>
    <xf numFmtId="9" fontId="13" fillId="0" borderId="0" xfId="1" applyFont="1" applyFill="1" applyBorder="1" applyAlignment="1">
      <alignment horizontal="left" wrapText="1"/>
    </xf>
    <xf numFmtId="0" fontId="14" fillId="0" borderId="0" xfId="0" applyFont="1" applyAlignment="1">
      <alignment horizontal="left" vertical="center" wrapText="1"/>
    </xf>
    <xf numFmtId="2" fontId="15" fillId="0" borderId="0" xfId="0" applyNumberFormat="1" applyFont="1" applyAlignment="1">
      <alignment horizontal="left"/>
    </xf>
    <xf numFmtId="0" fontId="11" fillId="0" borderId="6" xfId="0" applyFont="1" applyBorder="1" applyAlignment="1">
      <alignment horizontal="center"/>
    </xf>
    <xf numFmtId="0" fontId="16" fillId="0" borderId="0" xfId="0" applyFont="1" applyAlignment="1">
      <alignment horizontal="left"/>
    </xf>
    <xf numFmtId="0" fontId="13" fillId="9" borderId="6" xfId="0" applyFont="1" applyFill="1" applyBorder="1" applyAlignment="1">
      <alignment horizontal="left" wrapText="1"/>
    </xf>
    <xf numFmtId="9" fontId="13" fillId="9" borderId="6" xfId="1" applyFont="1" applyFill="1" applyBorder="1" applyAlignment="1">
      <alignment horizontal="left" wrapText="1"/>
    </xf>
    <xf numFmtId="0" fontId="11" fillId="0" borderId="0" xfId="0" applyFont="1" applyAlignment="1">
      <alignment horizontal="center"/>
    </xf>
    <xf numFmtId="0" fontId="0" fillId="10" borderId="7" xfId="0" applyFill="1" applyBorder="1" applyAlignment="1">
      <alignment vertical="center"/>
    </xf>
    <xf numFmtId="0" fontId="14" fillId="0" borderId="6" xfId="0" applyFont="1" applyBorder="1" applyAlignment="1">
      <alignment horizontal="left"/>
    </xf>
    <xf numFmtId="2" fontId="15" fillId="0" borderId="6" xfId="0" applyNumberFormat="1" applyFont="1" applyBorder="1" applyAlignment="1">
      <alignment horizontal="left"/>
    </xf>
    <xf numFmtId="0" fontId="14" fillId="11" borderId="6" xfId="0" applyFont="1" applyFill="1" applyBorder="1" applyAlignment="1">
      <alignment horizontal="left" vertical="center" wrapText="1"/>
    </xf>
    <xf numFmtId="0" fontId="13" fillId="0" borderId="6" xfId="0" applyFont="1" applyBorder="1" applyAlignment="1">
      <alignment horizontal="left"/>
    </xf>
    <xf numFmtId="0" fontId="14" fillId="0" borderId="0" xfId="0" applyFont="1" applyAlignment="1">
      <alignment horizontal="left" vertical="top" wrapText="1"/>
    </xf>
    <xf numFmtId="0" fontId="18" fillId="0" borderId="0" xfId="0" applyFont="1"/>
    <xf numFmtId="0" fontId="19" fillId="0" borderId="0" xfId="0" applyFont="1"/>
    <xf numFmtId="0" fontId="22" fillId="0" borderId="0" xfId="0" applyFont="1"/>
    <xf numFmtId="0" fontId="11" fillId="18" borderId="0" xfId="0" applyFont="1" applyFill="1"/>
    <xf numFmtId="0" fontId="3" fillId="0" borderId="0" xfId="0" applyFont="1" applyAlignment="1">
      <alignment horizontal="center"/>
    </xf>
    <xf numFmtId="2" fontId="3" fillId="0" borderId="0" xfId="0" applyNumberFormat="1" applyFont="1" applyAlignment="1">
      <alignment horizontal="center"/>
    </xf>
    <xf numFmtId="0" fontId="3" fillId="6" borderId="10" xfId="0" applyFont="1" applyFill="1" applyBorder="1"/>
    <xf numFmtId="0" fontId="3" fillId="0" borderId="10" xfId="0" applyFont="1" applyBorder="1" applyAlignment="1">
      <alignment horizontal="right"/>
    </xf>
    <xf numFmtId="2" fontId="4" fillId="0" borderId="10" xfId="0" quotePrefix="1" applyNumberFormat="1" applyFont="1" applyBorder="1"/>
    <xf numFmtId="0" fontId="20" fillId="0" borderId="0" xfId="0" applyFont="1"/>
    <xf numFmtId="0" fontId="20" fillId="12" borderId="8" xfId="0" applyFont="1" applyFill="1" applyBorder="1" applyAlignment="1">
      <alignment horizontal="center"/>
    </xf>
    <xf numFmtId="0" fontId="22" fillId="14" borderId="6" xfId="0" applyFont="1" applyFill="1" applyBorder="1"/>
    <xf numFmtId="0" fontId="22" fillId="15" borderId="6" xfId="0" applyFont="1" applyFill="1" applyBorder="1"/>
    <xf numFmtId="0" fontId="22" fillId="16" borderId="6" xfId="0" applyFont="1" applyFill="1" applyBorder="1"/>
    <xf numFmtId="0" fontId="22" fillId="17" borderId="6" xfId="0" applyFont="1" applyFill="1" applyBorder="1"/>
    <xf numFmtId="0" fontId="21" fillId="12" borderId="6" xfId="0" applyFont="1" applyFill="1" applyBorder="1" applyAlignment="1">
      <alignment horizontal="center" vertical="center" wrapText="1"/>
    </xf>
    <xf numFmtId="0" fontId="18" fillId="21" borderId="6" xfId="0" applyFont="1" applyFill="1" applyBorder="1" applyAlignment="1">
      <alignment horizontal="center"/>
    </xf>
    <xf numFmtId="0" fontId="18" fillId="22" borderId="6" xfId="0" applyFont="1" applyFill="1" applyBorder="1"/>
    <xf numFmtId="0" fontId="18" fillId="23" borderId="6" xfId="0" applyFont="1" applyFill="1" applyBorder="1"/>
    <xf numFmtId="0" fontId="23" fillId="14" borderId="6" xfId="0" applyFont="1" applyFill="1" applyBorder="1"/>
    <xf numFmtId="0" fontId="18" fillId="20" borderId="6" xfId="0" applyFont="1" applyFill="1" applyBorder="1"/>
    <xf numFmtId="0" fontId="21" fillId="12" borderId="8" xfId="0" applyFont="1" applyFill="1" applyBorder="1"/>
    <xf numFmtId="0" fontId="23" fillId="13" borderId="8" xfId="0" applyFont="1" applyFill="1" applyBorder="1"/>
    <xf numFmtId="0" fontId="21" fillId="0" borderId="0" xfId="0" applyFont="1"/>
    <xf numFmtId="0" fontId="23" fillId="0" borderId="0" xfId="0" applyFont="1"/>
    <xf numFmtId="0" fontId="22" fillId="19" borderId="6" xfId="0" applyFont="1" applyFill="1" applyBorder="1"/>
    <xf numFmtId="164" fontId="3" fillId="0" borderId="5" xfId="0" applyNumberFormat="1" applyFont="1" applyBorder="1"/>
    <xf numFmtId="164" fontId="3" fillId="0" borderId="0" xfId="0" applyNumberFormat="1" applyFont="1"/>
    <xf numFmtId="0" fontId="0" fillId="0" borderId="9" xfId="0" applyBorder="1"/>
    <xf numFmtId="0" fontId="2" fillId="2" borderId="2" xfId="0" applyFont="1" applyFill="1" applyBorder="1" applyAlignment="1">
      <alignment horizontal="left" vertical="top"/>
    </xf>
    <xf numFmtId="0" fontId="2" fillId="2" borderId="3" xfId="0" applyFont="1" applyFill="1" applyBorder="1" applyAlignment="1">
      <alignment horizontal="left" vertical="top"/>
    </xf>
    <xf numFmtId="0" fontId="2" fillId="2" borderId="4" xfId="0" applyFont="1" applyFill="1" applyBorder="1" applyAlignment="1">
      <alignment horizontal="left" vertical="top"/>
    </xf>
    <xf numFmtId="0" fontId="0" fillId="0" borderId="0" xfId="0" applyAlignment="1">
      <alignment vertical="top"/>
    </xf>
    <xf numFmtId="0" fontId="7" fillId="0" borderId="0" xfId="0" applyFont="1"/>
    <xf numFmtId="0" fontId="1" fillId="0" borderId="0" xfId="0" applyFont="1" applyAlignment="1">
      <alignment vertical="top"/>
    </xf>
    <xf numFmtId="0" fontId="7" fillId="0" borderId="0" xfId="0" applyFont="1" applyAlignment="1">
      <alignment vertical="top"/>
    </xf>
    <xf numFmtId="0" fontId="0" fillId="24" borderId="11" xfId="0" applyFill="1" applyBorder="1"/>
    <xf numFmtId="0" fontId="0" fillId="24" borderId="9" xfId="0" applyFill="1" applyBorder="1"/>
    <xf numFmtId="0" fontId="0" fillId="24" borderId="12" xfId="0" applyFill="1" applyBorder="1"/>
    <xf numFmtId="0" fontId="0" fillId="0" borderId="11" xfId="0" applyBorder="1"/>
    <xf numFmtId="0" fontId="0" fillId="0" borderId="12" xfId="0" applyBorder="1"/>
    <xf numFmtId="0" fontId="17" fillId="0" borderId="0" xfId="0" applyFont="1" applyAlignment="1">
      <alignment horizontal="left" vertical="top" wrapText="1"/>
    </xf>
  </cellXfs>
  <cellStyles count="2">
    <cellStyle name="Normal" xfId="0" builtinId="0"/>
    <cellStyle name="Porcentagem" xfId="1" builtinId="5"/>
  </cellStyles>
  <dxfs count="149">
    <dxf>
      <alignment wrapText="0"/>
    </dxf>
    <dxf>
      <alignment wrapTex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alignment wrapText="0"/>
    </dxf>
    <dxf>
      <alignment wrapText="0"/>
    </dxf>
    <dxf>
      <border outline="0">
        <top style="thin">
          <color rgb="FF000000"/>
        </top>
      </border>
    </dxf>
    <dxf>
      <alignment wrapText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B4C6E7"/>
        </patternFill>
      </fill>
      <alignment horizontal="left" vertical="top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styles" Target="style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13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322.xml"/><Relationship Id="rId1" Type="http://schemas.microsoft.com/office/2011/relationships/chartStyle" Target="style322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323.xml"/><Relationship Id="rId1" Type="http://schemas.microsoft.com/office/2011/relationships/chartStyle" Target="style323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324.xml"/><Relationship Id="rId1" Type="http://schemas.microsoft.com/office/2011/relationships/chartStyle" Target="style324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325.xml"/><Relationship Id="rId1" Type="http://schemas.microsoft.com/office/2011/relationships/chartStyle" Target="style325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326.xml"/><Relationship Id="rId1" Type="http://schemas.microsoft.com/office/2011/relationships/chartStyle" Target="style326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327.xml"/><Relationship Id="rId1" Type="http://schemas.microsoft.com/office/2011/relationships/chartStyle" Target="style327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328.xml"/><Relationship Id="rId1" Type="http://schemas.microsoft.com/office/2011/relationships/chartStyle" Target="style328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329.xml"/><Relationship Id="rId1" Type="http://schemas.microsoft.com/office/2011/relationships/chartStyle" Target="style3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330.xml"/><Relationship Id="rId1" Type="http://schemas.microsoft.com/office/2011/relationships/chartStyle" Target="style330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331.xml"/><Relationship Id="rId1" Type="http://schemas.microsoft.com/office/2011/relationships/chartStyle" Target="style331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332.xml"/><Relationship Id="rId1" Type="http://schemas.microsoft.com/office/2011/relationships/chartStyle" Target="style332.xml"/></Relationships>
</file>

<file path=xl/charts/_rels/chart333.xml.rels><?xml version="1.0" encoding="UTF-8" standalone="yes"?>
<Relationships xmlns="http://schemas.openxmlformats.org/package/2006/relationships"><Relationship Id="rId2" Type="http://schemas.microsoft.com/office/2011/relationships/chartColorStyle" Target="colors333.xml"/><Relationship Id="rId1" Type="http://schemas.microsoft.com/office/2011/relationships/chartStyle" Target="style333.xml"/></Relationships>
</file>

<file path=xl/charts/_rels/chart334.xml.rels><?xml version="1.0" encoding="UTF-8" standalone="yes"?>
<Relationships xmlns="http://schemas.openxmlformats.org/package/2006/relationships"><Relationship Id="rId2" Type="http://schemas.microsoft.com/office/2011/relationships/chartColorStyle" Target="colors334.xml"/><Relationship Id="rId1" Type="http://schemas.microsoft.com/office/2011/relationships/chartStyle" Target="style334.xml"/></Relationships>
</file>

<file path=xl/charts/_rels/chart335.xml.rels><?xml version="1.0" encoding="UTF-8" standalone="yes"?>
<Relationships xmlns="http://schemas.openxmlformats.org/package/2006/relationships"><Relationship Id="rId2" Type="http://schemas.microsoft.com/office/2011/relationships/chartColorStyle" Target="colors335.xml"/><Relationship Id="rId1" Type="http://schemas.microsoft.com/office/2011/relationships/chartStyle" Target="style335.xml"/></Relationships>
</file>

<file path=xl/charts/_rels/chart336.xml.rels><?xml version="1.0" encoding="UTF-8" standalone="yes"?>
<Relationships xmlns="http://schemas.openxmlformats.org/package/2006/relationships"><Relationship Id="rId2" Type="http://schemas.microsoft.com/office/2011/relationships/chartColorStyle" Target="colors336.xml"/><Relationship Id="rId1" Type="http://schemas.microsoft.com/office/2011/relationships/chartStyle" Target="style336.xml"/></Relationships>
</file>

<file path=xl/charts/_rels/chart337.xml.rels><?xml version="1.0" encoding="UTF-8" standalone="yes"?>
<Relationships xmlns="http://schemas.openxmlformats.org/package/2006/relationships"><Relationship Id="rId2" Type="http://schemas.microsoft.com/office/2011/relationships/chartColorStyle" Target="colors337.xml"/><Relationship Id="rId1" Type="http://schemas.microsoft.com/office/2011/relationships/chartStyle" Target="style337.xml"/></Relationships>
</file>

<file path=xl/charts/_rels/chart338.xml.rels><?xml version="1.0" encoding="UTF-8" standalone="yes"?>
<Relationships xmlns="http://schemas.openxmlformats.org/package/2006/relationships"><Relationship Id="rId2" Type="http://schemas.microsoft.com/office/2011/relationships/chartColorStyle" Target="colors338.xml"/><Relationship Id="rId1" Type="http://schemas.microsoft.com/office/2011/relationships/chartStyle" Target="style338.xml"/></Relationships>
</file>

<file path=xl/charts/_rels/chart339.xml.rels><?xml version="1.0" encoding="UTF-8" standalone="yes"?>
<Relationships xmlns="http://schemas.openxmlformats.org/package/2006/relationships"><Relationship Id="rId2" Type="http://schemas.microsoft.com/office/2011/relationships/chartColorStyle" Target="colors339.xml"/><Relationship Id="rId1" Type="http://schemas.microsoft.com/office/2011/relationships/chartStyle" Target="style339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0.xml.rels><?xml version="1.0" encoding="UTF-8" standalone="yes"?>
<Relationships xmlns="http://schemas.openxmlformats.org/package/2006/relationships"><Relationship Id="rId2" Type="http://schemas.microsoft.com/office/2011/relationships/chartColorStyle" Target="colors340.xml"/><Relationship Id="rId1" Type="http://schemas.microsoft.com/office/2011/relationships/chartStyle" Target="style340.xml"/></Relationships>
</file>

<file path=xl/charts/_rels/chart341.xml.rels><?xml version="1.0" encoding="UTF-8" standalone="yes"?>
<Relationships xmlns="http://schemas.openxmlformats.org/package/2006/relationships"><Relationship Id="rId2" Type="http://schemas.microsoft.com/office/2011/relationships/chartColorStyle" Target="colors341.xml"/><Relationship Id="rId1" Type="http://schemas.microsoft.com/office/2011/relationships/chartStyle" Target="style341.xml"/></Relationships>
</file>

<file path=xl/charts/_rels/chart342.xml.rels><?xml version="1.0" encoding="UTF-8" standalone="yes"?>
<Relationships xmlns="http://schemas.openxmlformats.org/package/2006/relationships"><Relationship Id="rId2" Type="http://schemas.microsoft.com/office/2011/relationships/chartColorStyle" Target="colors342.xml"/><Relationship Id="rId1" Type="http://schemas.microsoft.com/office/2011/relationships/chartStyle" Target="style342.xml"/></Relationships>
</file>

<file path=xl/charts/_rels/chart343.xml.rels><?xml version="1.0" encoding="UTF-8" standalone="yes"?>
<Relationships xmlns="http://schemas.openxmlformats.org/package/2006/relationships"><Relationship Id="rId2" Type="http://schemas.microsoft.com/office/2011/relationships/chartColorStyle" Target="colors343.xml"/><Relationship Id="rId1" Type="http://schemas.microsoft.com/office/2011/relationships/chartStyle" Target="style343.xml"/></Relationships>
</file>

<file path=xl/charts/_rels/chart344.xml.rels><?xml version="1.0" encoding="UTF-8" standalone="yes"?>
<Relationships xmlns="http://schemas.openxmlformats.org/package/2006/relationships"><Relationship Id="rId2" Type="http://schemas.microsoft.com/office/2011/relationships/chartColorStyle" Target="colors344.xml"/><Relationship Id="rId1" Type="http://schemas.microsoft.com/office/2011/relationships/chartStyle" Target="style344.xml"/></Relationships>
</file>

<file path=xl/charts/_rels/chart345.xml.rels><?xml version="1.0" encoding="UTF-8" standalone="yes"?>
<Relationships xmlns="http://schemas.openxmlformats.org/package/2006/relationships"><Relationship Id="rId2" Type="http://schemas.microsoft.com/office/2011/relationships/chartColorStyle" Target="colors345.xml"/><Relationship Id="rId1" Type="http://schemas.microsoft.com/office/2011/relationships/chartStyle" Target="style345.xml"/></Relationships>
</file>

<file path=xl/charts/_rels/chart346.xml.rels><?xml version="1.0" encoding="UTF-8" standalone="yes"?>
<Relationships xmlns="http://schemas.openxmlformats.org/package/2006/relationships"><Relationship Id="rId2" Type="http://schemas.microsoft.com/office/2011/relationships/chartColorStyle" Target="colors346.xml"/><Relationship Id="rId1" Type="http://schemas.microsoft.com/office/2011/relationships/chartStyle" Target="style346.xml"/></Relationships>
</file>

<file path=xl/charts/_rels/chart347.xml.rels><?xml version="1.0" encoding="UTF-8" standalone="yes"?>
<Relationships xmlns="http://schemas.openxmlformats.org/package/2006/relationships"><Relationship Id="rId2" Type="http://schemas.microsoft.com/office/2011/relationships/chartColorStyle" Target="colors347.xml"/><Relationship Id="rId1" Type="http://schemas.microsoft.com/office/2011/relationships/chartStyle" Target="style347.xml"/></Relationships>
</file>

<file path=xl/charts/_rels/chart348.xml.rels><?xml version="1.0" encoding="UTF-8" standalone="yes"?>
<Relationships xmlns="http://schemas.openxmlformats.org/package/2006/relationships"><Relationship Id="rId2" Type="http://schemas.microsoft.com/office/2011/relationships/chartColorStyle" Target="colors348.xml"/><Relationship Id="rId1" Type="http://schemas.microsoft.com/office/2011/relationships/chartStyle" Target="style348.xml"/></Relationships>
</file>

<file path=xl/charts/_rels/chart349.xml.rels><?xml version="1.0" encoding="UTF-8" standalone="yes"?>
<Relationships xmlns="http://schemas.openxmlformats.org/package/2006/relationships"><Relationship Id="rId2" Type="http://schemas.microsoft.com/office/2011/relationships/chartColorStyle" Target="colors349.xml"/><Relationship Id="rId1" Type="http://schemas.microsoft.com/office/2011/relationships/chartStyle" Target="style34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0.xml.rels><?xml version="1.0" encoding="UTF-8" standalone="yes"?>
<Relationships xmlns="http://schemas.openxmlformats.org/package/2006/relationships"><Relationship Id="rId2" Type="http://schemas.microsoft.com/office/2011/relationships/chartColorStyle" Target="colors350.xml"/><Relationship Id="rId1" Type="http://schemas.microsoft.com/office/2011/relationships/chartStyle" Target="style350.xml"/></Relationships>
</file>

<file path=xl/charts/_rels/chart351.xml.rels><?xml version="1.0" encoding="UTF-8" standalone="yes"?>
<Relationships xmlns="http://schemas.openxmlformats.org/package/2006/relationships"><Relationship Id="rId2" Type="http://schemas.microsoft.com/office/2011/relationships/chartColorStyle" Target="colors351.xml"/><Relationship Id="rId1" Type="http://schemas.microsoft.com/office/2011/relationships/chartStyle" Target="style351.xml"/></Relationships>
</file>

<file path=xl/charts/_rels/chart352.xml.rels><?xml version="1.0" encoding="UTF-8" standalone="yes"?>
<Relationships xmlns="http://schemas.openxmlformats.org/package/2006/relationships"><Relationship Id="rId2" Type="http://schemas.microsoft.com/office/2011/relationships/chartColorStyle" Target="colors352.xml"/><Relationship Id="rId1" Type="http://schemas.microsoft.com/office/2011/relationships/chartStyle" Target="style352.xml"/></Relationships>
</file>

<file path=xl/charts/_rels/chart353.xml.rels><?xml version="1.0" encoding="UTF-8" standalone="yes"?>
<Relationships xmlns="http://schemas.openxmlformats.org/package/2006/relationships"><Relationship Id="rId2" Type="http://schemas.microsoft.com/office/2011/relationships/chartColorStyle" Target="colors353.xml"/><Relationship Id="rId1" Type="http://schemas.microsoft.com/office/2011/relationships/chartStyle" Target="style353.xml"/></Relationships>
</file>

<file path=xl/charts/_rels/chart354.xml.rels><?xml version="1.0" encoding="UTF-8" standalone="yes"?>
<Relationships xmlns="http://schemas.openxmlformats.org/package/2006/relationships"><Relationship Id="rId2" Type="http://schemas.microsoft.com/office/2011/relationships/chartColorStyle" Target="colors354.xml"/><Relationship Id="rId1" Type="http://schemas.microsoft.com/office/2011/relationships/chartStyle" Target="style354.xml"/></Relationships>
</file>

<file path=xl/charts/_rels/chart355.xml.rels><?xml version="1.0" encoding="UTF-8" standalone="yes"?>
<Relationships xmlns="http://schemas.openxmlformats.org/package/2006/relationships"><Relationship Id="rId2" Type="http://schemas.microsoft.com/office/2011/relationships/chartColorStyle" Target="colors355.xml"/><Relationship Id="rId1" Type="http://schemas.microsoft.com/office/2011/relationships/chartStyle" Target="style355.xml"/></Relationships>
</file>

<file path=xl/charts/_rels/chart356.xml.rels><?xml version="1.0" encoding="UTF-8" standalone="yes"?>
<Relationships xmlns="http://schemas.openxmlformats.org/package/2006/relationships"><Relationship Id="rId2" Type="http://schemas.microsoft.com/office/2011/relationships/chartColorStyle" Target="colors356.xml"/><Relationship Id="rId1" Type="http://schemas.microsoft.com/office/2011/relationships/chartStyle" Target="style356.xml"/></Relationships>
</file>

<file path=xl/charts/_rels/chart357.xml.rels><?xml version="1.0" encoding="UTF-8" standalone="yes"?>
<Relationships xmlns="http://schemas.openxmlformats.org/package/2006/relationships"><Relationship Id="rId2" Type="http://schemas.microsoft.com/office/2011/relationships/chartColorStyle" Target="colors357.xml"/><Relationship Id="rId1" Type="http://schemas.microsoft.com/office/2011/relationships/chartStyle" Target="style357.xml"/></Relationships>
</file>

<file path=xl/charts/_rels/chart358.xml.rels><?xml version="1.0" encoding="UTF-8" standalone="yes"?>
<Relationships xmlns="http://schemas.openxmlformats.org/package/2006/relationships"><Relationship Id="rId2" Type="http://schemas.microsoft.com/office/2011/relationships/chartColorStyle" Target="colors358.xml"/><Relationship Id="rId1" Type="http://schemas.microsoft.com/office/2011/relationships/chartStyle" Target="style358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QTPA!$C$5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QTPA!$B$6:$B$12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QTPA!$C$6:$C$12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5F0-41E2-B144-7D6CAB4E63E7}"/>
            </c:ext>
          </c:extLst>
        </c:ser>
        <c:ser>
          <c:idx val="1"/>
          <c:order val="1"/>
          <c:tx>
            <c:strRef>
              <c:f>QTPA!$D$5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QTPA!$B$6:$B$12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QTPA!$D$6:$D$12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6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5F0-41E2-B144-7D6CAB4E63E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627840"/>
        <c:axId val="84629376"/>
      </c:barChart>
      <c:catAx>
        <c:axId val="8462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629376"/>
        <c:crosses val="autoZero"/>
        <c:auto val="1"/>
        <c:lblAlgn val="ctr"/>
        <c:lblOffset val="100"/>
        <c:noMultiLvlLbl val="0"/>
      </c:catAx>
      <c:valAx>
        <c:axId val="84629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627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0F8-4743-938C-2A3D1D327DA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0F8-4743-938C-2A3D1D327DA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0F8-4743-938C-2A3D1D327DA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0F8-4743-938C-2A3D1D327DA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'Q4.02'!$D$25:$D$28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1A9-48A4-9CF1-0322C9A7AE2D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964-4E8F-838C-95105664161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964-4E8F-838C-95105664161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964-4E8F-838C-95105664161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964-4E8F-838C-95105664161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964-4E8F-838C-951056641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0AC-4D73-BA6C-BDFABDBC87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0AC-4D73-BA6C-BDFABDBC87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0AC-4D73-BA6C-BDFABDBC87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0AC-4D73-BA6C-BDFABDBC873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0AC-4D73-BA6C-BDFABDBC8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'Q4.36'!$C$6:$C$12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23D-4D84-8809-6B06F2B7A86B}"/>
            </c:ext>
          </c:extLst>
        </c:ser>
        <c:ser>
          <c:idx val="1"/>
          <c:order val="1"/>
          <c:tx>
            <c:strRef>
              <c:f>'Q4.36'!$D$5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'Q4.36'!$D$6:$D$12</c:f>
              <c:numCache>
                <c:formatCode>General</c:formatCode>
                <c:ptCount val="7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4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23D-4D84-8809-6B06F2B7A86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5552512"/>
        <c:axId val="145554048"/>
      </c:barChart>
      <c:catAx>
        <c:axId val="145552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5554048"/>
        <c:crosses val="autoZero"/>
        <c:auto val="1"/>
        <c:lblAlgn val="ctr"/>
        <c:lblOffset val="100"/>
        <c:noMultiLvlLbl val="0"/>
      </c:catAx>
      <c:valAx>
        <c:axId val="145554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5552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4A6-4877-8CE7-46F7714D42F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4A6-4877-8CE7-46F7714D42F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4A6-4877-8CE7-46F7714D42F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4A6-4877-8CE7-46F7714D42F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4A6-4877-8CE7-46F7714D4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C9B-45A7-A9D2-5226B2EB42E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C9B-45A7-A9D2-5226B2EB42E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C9B-45A7-A9D2-5226B2EB42E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C9B-45A7-A9D2-5226B2EB42E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C9B-45A7-A9D2-5226B2EB4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'Q4.38'!$C$5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'Q4.38'!$B$6:$B$8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'Q4.38'!$C$6:$C$8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474-4ADD-8EE6-9D526EDF9F86}"/>
            </c:ext>
          </c:extLst>
        </c:ser>
        <c:ser>
          <c:idx val="1"/>
          <c:order val="1"/>
          <c:tx>
            <c:strRef>
              <c:f>'Q4.38'!$D$5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'Q4.38'!$B$6:$B$8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'Q4.38'!$D$6:$D$8</c:f>
              <c:numCache>
                <c:formatCode>General</c:formatCode>
                <c:ptCount val="3"/>
                <c:pt idx="0">
                  <c:v>0</c:v>
                </c:pt>
                <c:pt idx="1">
                  <c:v>7</c:v>
                </c:pt>
                <c:pt idx="2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474-4ADD-8EE6-9D526EDF9F8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8150528"/>
        <c:axId val="148160512"/>
      </c:barChart>
      <c:catAx>
        <c:axId val="14815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8160512"/>
        <c:crosses val="autoZero"/>
        <c:auto val="1"/>
        <c:lblAlgn val="ctr"/>
        <c:lblOffset val="100"/>
        <c:noMultiLvlLbl val="0"/>
      </c:catAx>
      <c:valAx>
        <c:axId val="148160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8150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39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'Q4.39'!$C$6:$C$12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01B-4E04-98EC-CC6268237D0D}"/>
            </c:ext>
          </c:extLst>
        </c:ser>
        <c:ser>
          <c:idx val="1"/>
          <c:order val="1"/>
          <c:tx>
            <c:strRef>
              <c:f>'Q4.39'!$D$5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'Q4.39'!$D$6:$D$12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01B-4E04-98EC-CC6268237D0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8225024"/>
        <c:axId val="148230912"/>
      </c:barChart>
      <c:catAx>
        <c:axId val="14822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8230912"/>
        <c:crosses val="autoZero"/>
        <c:auto val="1"/>
        <c:lblAlgn val="ctr"/>
        <c:lblOffset val="100"/>
        <c:noMultiLvlLbl val="0"/>
      </c:catAx>
      <c:valAx>
        <c:axId val="14823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8225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6D2-4C81-9804-06C3CA5EB24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6D2-4C81-9804-06C3CA5EB24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6D2-4C81-9804-06C3CA5EB24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6D2-4C81-9804-06C3CA5EB2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6D2-4C81-9804-06C3CA5EB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FC-45B3-B681-B750D4598C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FC-45B3-B681-B750D4598C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FC-45B3-B681-B750D4598C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FC-45B3-B681-B750D4598C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BFC-45B3-B681-B750D4598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'Q4.40'!$C$6:$C$12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9C-4C14-BCF3-A9E024A99EB0}"/>
            </c:ext>
          </c:extLst>
        </c:ser>
        <c:ser>
          <c:idx val="1"/>
          <c:order val="1"/>
          <c:tx>
            <c:strRef>
              <c:f>'Q4.40'!$D$5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'Q4.40'!$D$6:$D$12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9C-4C14-BCF3-A9E024A99EB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9017344"/>
        <c:axId val="149018880"/>
      </c:barChart>
      <c:catAx>
        <c:axId val="14901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9018880"/>
        <c:crosses val="autoZero"/>
        <c:auto val="1"/>
        <c:lblAlgn val="ctr"/>
        <c:lblOffset val="100"/>
        <c:noMultiLvlLbl val="0"/>
      </c:catAx>
      <c:valAx>
        <c:axId val="149018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9017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'Q4.02'!$C$6:$C$12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A45-4679-BB80-13B9CF150BFE}"/>
            </c:ext>
          </c:extLst>
        </c:ser>
        <c:ser>
          <c:idx val="1"/>
          <c:order val="1"/>
          <c:tx>
            <c:strRef>
              <c:f>'Q4.02'!$D$5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'Q4.02'!$D$6:$D$12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6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A45-4679-BB80-13B9CF150BF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6864256"/>
        <c:axId val="86865792"/>
      </c:barChart>
      <c:catAx>
        <c:axId val="86864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6865792"/>
        <c:crosses val="autoZero"/>
        <c:auto val="1"/>
        <c:lblAlgn val="ctr"/>
        <c:lblOffset val="100"/>
        <c:noMultiLvlLbl val="0"/>
      </c:catAx>
      <c:valAx>
        <c:axId val="8686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6864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C79-4D41-8919-774A660CDCC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C79-4D41-8919-774A660CDCC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C79-4D41-8919-774A660CDCC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C79-4D41-8919-774A660CDCC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C79-4D41-8919-774A660CD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AC5-4AB2-AD01-FE67143383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AC5-4AB2-AD01-FE67143383C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AC5-4AB2-AD01-FE67143383C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AC5-4AB2-AD01-FE67143383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'Q4.40'!$D$25:$D$28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AC5-4AB2-AD01-FE6714338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'Q4.41'!$C$6:$C$12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46-4F03-81BD-310B4CB49E09}"/>
            </c:ext>
          </c:extLst>
        </c:ser>
        <c:ser>
          <c:idx val="1"/>
          <c:order val="1"/>
          <c:tx>
            <c:strRef>
              <c:f>'Q4.41'!$D$5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'Q4.41'!$D$6:$D$12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346-4F03-81BD-310B4CB49E0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1992576"/>
        <c:axId val="152002560"/>
      </c:barChart>
      <c:catAx>
        <c:axId val="151992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2002560"/>
        <c:crosses val="autoZero"/>
        <c:auto val="1"/>
        <c:lblAlgn val="ctr"/>
        <c:lblOffset val="100"/>
        <c:noMultiLvlLbl val="0"/>
      </c:catAx>
      <c:valAx>
        <c:axId val="152002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1992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6C0-41E4-8FE1-72A841E4F6C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6C0-41E4-8FE1-72A841E4F6C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6C0-41E4-8FE1-72A841E4F6C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6C0-41E4-8FE1-72A841E4F6C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6C0-41E4-8FE1-72A841E4F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272-4F64-82E7-DCE5169EB79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272-4F64-82E7-DCE5169EB79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272-4F64-82E7-DCE5169EB79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272-4F64-82E7-DCE5169EB79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272-4F64-82E7-DCE5169EB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'Q4.42'!$C$6:$C$12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D0D-4105-864B-03E0D12AEC2D}"/>
            </c:ext>
          </c:extLst>
        </c:ser>
        <c:ser>
          <c:idx val="1"/>
          <c:order val="1"/>
          <c:tx>
            <c:strRef>
              <c:f>'Q4.42'!$D$5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'Q4.42'!$D$6:$D$12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D0D-4105-864B-03E0D12AEC2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2518656"/>
        <c:axId val="152520192"/>
      </c:barChart>
      <c:catAx>
        <c:axId val="15251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2520192"/>
        <c:crosses val="autoZero"/>
        <c:auto val="1"/>
        <c:lblAlgn val="ctr"/>
        <c:lblOffset val="100"/>
        <c:noMultiLvlLbl val="0"/>
      </c:catAx>
      <c:valAx>
        <c:axId val="152520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2518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24E-4979-A64F-CB0BC4A7071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24E-4979-A64F-CB0BC4A7071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24E-4979-A64F-CB0BC4A7071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24E-4979-A64F-CB0BC4A707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24E-4979-A64F-CB0BC4A70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8F2-48A2-B253-B16552EB570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8F2-48A2-B253-B16552EB570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8F2-48A2-B253-B16552EB570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8F2-48A2-B253-B16552EB570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'Q4.42'!$D$25:$D$28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8F2-48A2-B253-B16552EB5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'Q4.43'!$C$6:$C$12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959-4175-81DD-FA9B5228295F}"/>
            </c:ext>
          </c:extLst>
        </c:ser>
        <c:ser>
          <c:idx val="1"/>
          <c:order val="1"/>
          <c:tx>
            <c:strRef>
              <c:f>'Q4.43'!$D$5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'Q4.43'!$D$6:$D$12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959-4175-81DD-FA9B5228295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2994560"/>
        <c:axId val="152996096"/>
      </c:barChart>
      <c:catAx>
        <c:axId val="152994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2996096"/>
        <c:crosses val="autoZero"/>
        <c:auto val="1"/>
        <c:lblAlgn val="ctr"/>
        <c:lblOffset val="100"/>
        <c:noMultiLvlLbl val="0"/>
      </c:catAx>
      <c:valAx>
        <c:axId val="15299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2994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BFB-4239-A59F-72702D84587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BFB-4239-A59F-72702D84587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BFB-4239-A59F-72702D84587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BFB-4239-A59F-72702D84587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BFB-4239-A59F-72702D845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'Q4.03'!$C$6:$C$12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FA-4851-B550-27D1072F3657}"/>
            </c:ext>
          </c:extLst>
        </c:ser>
        <c:ser>
          <c:idx val="1"/>
          <c:order val="1"/>
          <c:tx>
            <c:strRef>
              <c:f>'Q4.03'!$D$5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'Q4.03'!$D$6:$D$12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7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FA-4851-B550-27D1072F365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8089344"/>
        <c:axId val="88090880"/>
      </c:barChart>
      <c:catAx>
        <c:axId val="88089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090880"/>
        <c:crosses val="autoZero"/>
        <c:auto val="1"/>
        <c:lblAlgn val="ctr"/>
        <c:lblOffset val="100"/>
        <c:noMultiLvlLbl val="0"/>
      </c:catAx>
      <c:valAx>
        <c:axId val="88090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089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035-4B2C-A072-96A1B6B09D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035-4B2C-A072-96A1B6B09D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035-4B2C-A072-96A1B6B09D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035-4B2C-A072-96A1B6B09D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'Q4.43'!$D$25:$D$28</c:f>
              <c:numCache>
                <c:formatCode>General</c:formatCode>
                <c:ptCount val="4"/>
                <c:pt idx="0">
                  <c:v>3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035-4B2C-A072-96A1B6B09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'Q4.44'!$C$6:$C$12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7B-4832-B26C-C3994DA18C3E}"/>
            </c:ext>
          </c:extLst>
        </c:ser>
        <c:ser>
          <c:idx val="1"/>
          <c:order val="1"/>
          <c:tx>
            <c:strRef>
              <c:f>'Q4.44'!$D$5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'Q4.44'!$D$6:$D$12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F7B-4832-B26C-C3994DA18C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3610112"/>
        <c:axId val="153611648"/>
      </c:barChart>
      <c:catAx>
        <c:axId val="153610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3611648"/>
        <c:crosses val="autoZero"/>
        <c:auto val="1"/>
        <c:lblAlgn val="ctr"/>
        <c:lblOffset val="100"/>
        <c:noMultiLvlLbl val="0"/>
      </c:catAx>
      <c:valAx>
        <c:axId val="153611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3610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C78-4B00-9BE5-C5C77ABF346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C78-4B00-9BE5-C5C77ABF346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C78-4B00-9BE5-C5C77ABF346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C78-4B00-9BE5-C5C77ABF34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C78-4B00-9BE5-C5C77ABF3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B2C-4CF1-A017-287B19E4575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B2C-4CF1-A017-287B19E4575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B2C-4CF1-A017-287B19E4575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B2C-4CF1-A017-287B19E457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B2C-4CF1-A017-287B19E45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'Q4.45'!$C$6:$C$12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17D-4B55-9349-E3B14CCB76DE}"/>
            </c:ext>
          </c:extLst>
        </c:ser>
        <c:ser>
          <c:idx val="1"/>
          <c:order val="1"/>
          <c:tx>
            <c:strRef>
              <c:f>'Q4.45'!$D$5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'Q4.45'!$D$6:$D$12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17D-4B55-9349-E3B14CCB76D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8796800"/>
        <c:axId val="158823168"/>
      </c:barChart>
      <c:catAx>
        <c:axId val="15879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8823168"/>
        <c:crosses val="autoZero"/>
        <c:auto val="1"/>
        <c:lblAlgn val="ctr"/>
        <c:lblOffset val="100"/>
        <c:noMultiLvlLbl val="0"/>
      </c:catAx>
      <c:valAx>
        <c:axId val="1588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8796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171-4060-A894-6EBF2320036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171-4060-A894-6EBF2320036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171-4060-A894-6EBF2320036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171-4060-A894-6EBF2320036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171-4060-A894-6EBF23200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5BF-442E-854C-A36699B9074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5BF-442E-854C-A36699B9074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5BF-442E-854C-A36699B9074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5BF-442E-854C-A36699B9074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5BF-442E-854C-A36699B90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'Q4.46'!$C$6:$C$12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862-400B-9129-35309F882507}"/>
            </c:ext>
          </c:extLst>
        </c:ser>
        <c:ser>
          <c:idx val="1"/>
          <c:order val="1"/>
          <c:tx>
            <c:strRef>
              <c:f>'Q4.46'!$D$5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'Q4.46'!$D$6:$D$12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862-400B-9129-35309F88250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0457472"/>
        <c:axId val="160459008"/>
      </c:barChart>
      <c:catAx>
        <c:axId val="16045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459008"/>
        <c:crosses val="autoZero"/>
        <c:auto val="1"/>
        <c:lblAlgn val="ctr"/>
        <c:lblOffset val="100"/>
        <c:noMultiLvlLbl val="0"/>
      </c:catAx>
      <c:valAx>
        <c:axId val="160459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457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E94-423C-A9DB-96169470AC2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E94-423C-A9DB-96169470AC2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E94-423C-A9DB-96169470AC2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E94-423C-A9DB-96169470AC2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E94-423C-A9DB-96169470A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DDF-4759-81A9-4AB85AB7D13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DDF-4759-81A9-4AB85AB7D13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DDF-4759-81A9-4AB85AB7D13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DDF-4759-81A9-4AB85AB7D13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DDF-4759-81A9-4AB85AB7D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FE4-4859-89AA-126845F2ABA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FE4-4859-89AA-126845F2ABA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FE4-4859-89AA-126845F2ABA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FE4-4859-89AA-126845F2ABA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'Q4.03'!$D$18:$D$21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FE4-4859-89AA-126845F2A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'Q4.47'!$C$6:$C$12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D73-4F1A-A837-81822D804157}"/>
            </c:ext>
          </c:extLst>
        </c:ser>
        <c:ser>
          <c:idx val="1"/>
          <c:order val="1"/>
          <c:tx>
            <c:strRef>
              <c:f>'Q4.47'!$D$5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'Q4.47'!$D$6:$D$12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D73-4F1A-A837-81822D80415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0594176"/>
        <c:axId val="160612352"/>
      </c:barChart>
      <c:catAx>
        <c:axId val="160594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612352"/>
        <c:crosses val="autoZero"/>
        <c:auto val="1"/>
        <c:lblAlgn val="ctr"/>
        <c:lblOffset val="100"/>
        <c:noMultiLvlLbl val="0"/>
      </c:catAx>
      <c:valAx>
        <c:axId val="160612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594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E46-42C4-8994-BBFCA89B0F0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E46-42C4-8994-BBFCA89B0F0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E46-42C4-8994-BBFCA89B0F0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E46-42C4-8994-BBFCA89B0F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E46-42C4-8994-BBFCA89B0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211-40A6-B5A1-4D397D496C4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211-40A6-B5A1-4D397D496C4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211-40A6-B5A1-4D397D496C4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211-40A6-B5A1-4D397D496C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211-40A6-B5A1-4D397D496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'Q4.48'!$C$6:$C$12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721-49AA-A1A5-33EA49806A96}"/>
            </c:ext>
          </c:extLst>
        </c:ser>
        <c:ser>
          <c:idx val="1"/>
          <c:order val="1"/>
          <c:tx>
            <c:strRef>
              <c:f>'Q4.48'!$D$5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'Q4.48'!$D$6:$D$12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4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721-49AA-A1A5-33EA49806A9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1209728"/>
        <c:axId val="161350784"/>
      </c:barChart>
      <c:catAx>
        <c:axId val="16120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1350784"/>
        <c:crosses val="autoZero"/>
        <c:auto val="1"/>
        <c:lblAlgn val="ctr"/>
        <c:lblOffset val="100"/>
        <c:noMultiLvlLbl val="0"/>
      </c:catAx>
      <c:valAx>
        <c:axId val="16135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120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4E4-4692-9CC8-8934C03969E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4E4-4692-9CC8-8934C03969E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4E4-4692-9CC8-8934C03969E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4E4-4692-9CC8-8934C03969E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4E4-4692-9CC8-8934C0396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55A-4460-8095-BD43CDE0549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55A-4460-8095-BD43CDE0549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55A-4460-8095-BD43CDE0549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55A-4460-8095-BD43CDE054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'Q4.48'!$D$25:$D$28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55A-4460-8095-BD43CDE05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'Q4.50'!$C$5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'Q4.50'!$B$6:$B$8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'Q4.50'!$C$6:$C$8</c:f>
              <c:numCache>
                <c:formatCode>General</c:formatCode>
                <c:ptCount val="3"/>
                <c:pt idx="0">
                  <c:v>0</c:v>
                </c:pt>
                <c:pt idx="1">
                  <c:v>4</c:v>
                </c:pt>
                <c:pt idx="2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9DF-417B-9DA2-3DA1C1929E82}"/>
            </c:ext>
          </c:extLst>
        </c:ser>
        <c:ser>
          <c:idx val="1"/>
          <c:order val="1"/>
          <c:tx>
            <c:strRef>
              <c:f>'Q4.50'!$D$5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'Q4.50'!$B$6:$B$8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'Q4.50'!$D$6:$D$8</c:f>
              <c:numCache>
                <c:formatCode>General</c:formatCode>
                <c:ptCount val="3"/>
                <c:pt idx="0">
                  <c:v>0</c:v>
                </c:pt>
                <c:pt idx="1">
                  <c:v>11</c:v>
                </c:pt>
                <c:pt idx="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9DF-417B-9DA2-3DA1C1929E8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3582720"/>
        <c:axId val="163584256"/>
      </c:barChart>
      <c:catAx>
        <c:axId val="163582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3584256"/>
        <c:crosses val="autoZero"/>
        <c:auto val="1"/>
        <c:lblAlgn val="ctr"/>
        <c:lblOffset val="100"/>
        <c:noMultiLvlLbl val="0"/>
      </c:catAx>
      <c:valAx>
        <c:axId val="163584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3582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'Q4.51'!$C$5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'Q4.51'!$C$6:$C$8</c:f>
              <c:numCache>
                <c:formatCode>General</c:formatCode>
                <c:ptCount val="3"/>
                <c:pt idx="0">
                  <c:v>0</c:v>
                </c:pt>
                <c:pt idx="1">
                  <c:v>4</c:v>
                </c:pt>
                <c:pt idx="2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527-45FA-96B2-80CBFF7638E0}"/>
            </c:ext>
          </c:extLst>
        </c:ser>
        <c:ser>
          <c:idx val="1"/>
          <c:order val="1"/>
          <c:tx>
            <c:strRef>
              <c:f>'Q4.51'!$D$5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'Q4.51'!$D$6:$D$8</c:f>
              <c:numCache>
                <c:formatCode>General</c:formatCode>
                <c:ptCount val="3"/>
                <c:pt idx="0">
                  <c:v>0</c:v>
                </c:pt>
                <c:pt idx="1">
                  <c:v>10</c:v>
                </c:pt>
                <c:pt idx="2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527-45FA-96B2-80CBFF7638E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4095104"/>
        <c:axId val="164096640"/>
      </c:barChart>
      <c:catAx>
        <c:axId val="164095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096640"/>
        <c:crosses val="autoZero"/>
        <c:auto val="1"/>
        <c:lblAlgn val="ctr"/>
        <c:lblOffset val="100"/>
        <c:noMultiLvlLbl val="0"/>
      </c:catAx>
      <c:valAx>
        <c:axId val="164096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095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'Q4.52'!$C$6:$C$12</c:f>
              <c:numCache>
                <c:formatCode>General</c:formatCode>
                <c:ptCount val="7"/>
                <c:pt idx="0">
                  <c:v>7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825-4218-8E4D-21D2D915CB1A}"/>
            </c:ext>
          </c:extLst>
        </c:ser>
        <c:ser>
          <c:idx val="1"/>
          <c:order val="1"/>
          <c:tx>
            <c:strRef>
              <c:f>'Q4.52'!$D$5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'Q4.52'!$D$6:$D$12</c:f>
              <c:numCache>
                <c:formatCode>General</c:formatCode>
                <c:ptCount val="7"/>
                <c:pt idx="0">
                  <c:v>3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825-4218-8E4D-21D2D915CB1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4366208"/>
        <c:axId val="164367744"/>
      </c:barChart>
      <c:catAx>
        <c:axId val="164366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367744"/>
        <c:crosses val="autoZero"/>
        <c:auto val="1"/>
        <c:lblAlgn val="ctr"/>
        <c:lblOffset val="100"/>
        <c:noMultiLvlLbl val="0"/>
      </c:catAx>
      <c:valAx>
        <c:axId val="16436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366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A7F-4E92-92BA-97D8EB98C3B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A7F-4E92-92BA-97D8EB98C3B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A7F-4E92-92BA-97D8EB98C3B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A7F-4E92-92BA-97D8EB98C3B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'Q4.52'!$D$18:$D$21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A7F-4E92-92BA-97D8EB98C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BFC-4A1B-8E32-9FB896B7ACC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BFC-4A1B-8E32-9FB896B7ACC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BFC-4A1B-8E32-9FB896B7ACC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BFC-4A1B-8E32-9FB896B7ACC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BFC-4A1B-8E32-9FB896B7A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89B-49D7-A888-416A2B857CA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89B-49D7-A888-416A2B857CA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89B-49D7-A888-416A2B857CA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89B-49D7-A888-416A2B857CA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'Q4.52'!$D$25:$D$28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89B-49D7-A888-416A2B857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'Q4.53'!$C$6:$C$12</c:f>
              <c:numCache>
                <c:formatCode>General</c:formatCode>
                <c:ptCount val="7"/>
                <c:pt idx="0">
                  <c:v>7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C5A-4020-8365-8A0E66C6EC4B}"/>
            </c:ext>
          </c:extLst>
        </c:ser>
        <c:ser>
          <c:idx val="1"/>
          <c:order val="1"/>
          <c:tx>
            <c:strRef>
              <c:f>'Q4.53'!$D$5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'Q4.53'!$D$6:$D$12</c:f>
              <c:numCache>
                <c:formatCode>General</c:formatCode>
                <c:ptCount val="7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C5A-4020-8365-8A0E66C6EC4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4679040"/>
        <c:axId val="164832384"/>
      </c:barChart>
      <c:catAx>
        <c:axId val="16467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832384"/>
        <c:crosses val="autoZero"/>
        <c:auto val="1"/>
        <c:lblAlgn val="ctr"/>
        <c:lblOffset val="100"/>
        <c:noMultiLvlLbl val="0"/>
      </c:catAx>
      <c:valAx>
        <c:axId val="164832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679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64E-4813-8D6E-B5A5FABA00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64E-4813-8D6E-B5A5FABA00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64E-4813-8D6E-B5A5FABA00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64E-4813-8D6E-B5A5FABA00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'Q4.53'!$D$18:$D$21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64E-4813-8D6E-B5A5FABA0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EA6-4E24-9FCD-C03AC4C35B2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EA6-4E24-9FCD-C03AC4C35B2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EA6-4E24-9FCD-C03AC4C35B2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EA6-4E24-9FCD-C03AC4C35B2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'Q4.53'!$D$25:$D$28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EA6-4E24-9FCD-C03AC4C35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'Q4.54'!$C$6:$C$12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0C-47EA-9D15-0B356D4B3344}"/>
            </c:ext>
          </c:extLst>
        </c:ser>
        <c:ser>
          <c:idx val="1"/>
          <c:order val="1"/>
          <c:tx>
            <c:strRef>
              <c:f>'Q4.54'!$D$5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'Q4.54'!$D$6:$D$12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6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60C-47EA-9D15-0B356D4B334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5004032"/>
        <c:axId val="165005568"/>
      </c:barChart>
      <c:catAx>
        <c:axId val="165004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5005568"/>
        <c:crosses val="autoZero"/>
        <c:auto val="1"/>
        <c:lblAlgn val="ctr"/>
        <c:lblOffset val="100"/>
        <c:noMultiLvlLbl val="0"/>
      </c:catAx>
      <c:valAx>
        <c:axId val="165005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5004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995-4ED7-B16A-5386A3A397C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995-4ED7-B16A-5386A3A397C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995-4ED7-B16A-5386A3A397C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995-4ED7-B16A-5386A3A397C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995-4ED7-B16A-5386A3A39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F12-44CF-80CC-A30B6ADB531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F12-44CF-80CC-A30B6ADB531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F12-44CF-80CC-A30B6ADB531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F12-44CF-80CC-A30B6ADB53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'Q4.54'!$D$25:$D$28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F12-44CF-80CC-A30B6ADB5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'Q4.55'!$C$6:$C$12</c:f>
              <c:numCache>
                <c:formatCode>General</c:formatCode>
                <c:ptCount val="7"/>
                <c:pt idx="0">
                  <c:v>7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60-4D0A-B700-DC0F9EB20788}"/>
            </c:ext>
          </c:extLst>
        </c:ser>
        <c:ser>
          <c:idx val="1"/>
          <c:order val="1"/>
          <c:tx>
            <c:strRef>
              <c:f>'Q4.55'!$D$5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'Q4.55'!$D$6:$D$12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5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C60-4D0A-B700-DC0F9EB207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5263616"/>
        <c:axId val="165277696"/>
      </c:barChart>
      <c:catAx>
        <c:axId val="165263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5277696"/>
        <c:crosses val="autoZero"/>
        <c:auto val="1"/>
        <c:lblAlgn val="ctr"/>
        <c:lblOffset val="100"/>
        <c:noMultiLvlLbl val="0"/>
      </c:catAx>
      <c:valAx>
        <c:axId val="165277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5263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5A1-46D3-BABB-F5A1D6EB617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5A1-46D3-BABB-F5A1D6EB617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5A1-46D3-BABB-F5A1D6EB617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5A1-46D3-BABB-F5A1D6EB61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'Q4.55'!$D$18:$D$21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5A1-46D3-BABB-F5A1D6EB6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8CA-447C-80F4-9158A98675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8CA-447C-80F4-9158A98675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8CA-447C-80F4-9158A98675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8CA-447C-80F4-9158A986757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'Q4.55'!$D$25:$D$28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8CA-447C-80F4-9158A9867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'Q4.04'!$C$6:$C$12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90-44EE-B071-53F6686254C7}"/>
            </c:ext>
          </c:extLst>
        </c:ser>
        <c:ser>
          <c:idx val="1"/>
          <c:order val="1"/>
          <c:tx>
            <c:strRef>
              <c:f>'Q4.04'!$D$5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'Q4.04'!$D$6:$D$12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4</c:v>
                </c:pt>
                <c:pt idx="5">
                  <c:v>4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190-44EE-B071-53F6686254C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8446848"/>
        <c:axId val="88448384"/>
      </c:barChart>
      <c:catAx>
        <c:axId val="88446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448384"/>
        <c:crosses val="autoZero"/>
        <c:auto val="1"/>
        <c:lblAlgn val="ctr"/>
        <c:lblOffset val="100"/>
        <c:noMultiLvlLbl val="0"/>
      </c:catAx>
      <c:valAx>
        <c:axId val="88448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446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'Q4.56'!$C$6:$C$12</c:f>
              <c:numCache>
                <c:formatCode>General</c:formatCode>
                <c:ptCount val="7"/>
                <c:pt idx="0">
                  <c:v>7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9ED-4B23-8DF5-E56743CEE893}"/>
            </c:ext>
          </c:extLst>
        </c:ser>
        <c:ser>
          <c:idx val="1"/>
          <c:order val="1"/>
          <c:tx>
            <c:strRef>
              <c:f>'Q4.56'!$D$5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'Q4.56'!$D$6:$D$12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9ED-4B23-8DF5-E56743CEE8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5703680"/>
        <c:axId val="165705216"/>
      </c:barChart>
      <c:catAx>
        <c:axId val="16570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5705216"/>
        <c:crosses val="autoZero"/>
        <c:auto val="1"/>
        <c:lblAlgn val="ctr"/>
        <c:lblOffset val="100"/>
        <c:noMultiLvlLbl val="0"/>
      </c:catAx>
      <c:valAx>
        <c:axId val="165705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5703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E21-4845-8F19-6E0C66D52C0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E21-4845-8F19-6E0C66D52C0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E21-4845-8F19-6E0C66D52C0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E21-4845-8F19-6E0C66D52C0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'Q4.56'!$D$18:$D$21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E21-4845-8F19-6E0C66D52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7A7-46D3-9D2C-55A903B3E45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7A7-46D3-9D2C-55A903B3E45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7A7-46D3-9D2C-55A903B3E45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7A7-46D3-9D2C-55A903B3E45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'Q4.56'!$D$25:$D$28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7A7-46D3-9D2C-55A903B3E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'Q4.57'!$C$6:$C$12</c:f>
              <c:numCache>
                <c:formatCode>General</c:formatCode>
                <c:ptCount val="7"/>
                <c:pt idx="0">
                  <c:v>7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648-4627-99F7-E3B7351A61C2}"/>
            </c:ext>
          </c:extLst>
        </c:ser>
        <c:ser>
          <c:idx val="1"/>
          <c:order val="1"/>
          <c:tx>
            <c:strRef>
              <c:f>'Q4.57'!$D$5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'Q4.57'!$D$6:$D$12</c:f>
              <c:numCache>
                <c:formatCode>General</c:formatCode>
                <c:ptCount val="7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4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648-4627-99F7-E3B7351A61C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7736832"/>
        <c:axId val="167738368"/>
      </c:barChart>
      <c:catAx>
        <c:axId val="167736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7738368"/>
        <c:crosses val="autoZero"/>
        <c:auto val="1"/>
        <c:lblAlgn val="ctr"/>
        <c:lblOffset val="100"/>
        <c:noMultiLvlLbl val="0"/>
      </c:catAx>
      <c:valAx>
        <c:axId val="167738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7736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D01-425E-9A1E-59178DE52F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D01-425E-9A1E-59178DE52F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D01-425E-9A1E-59178DE52F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D01-425E-9A1E-59178DE52F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'Q4.57'!$D$18:$D$21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D01-425E-9A1E-59178DE52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A55-459E-A9E4-8CCD40F06CA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A55-459E-A9E4-8CCD40F06CA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A55-459E-A9E4-8CCD40F06CA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A55-459E-A9E4-8CCD40F06CA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'Q4.57'!$D$25:$D$28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A55-459E-A9E4-8CCD40F06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'Q4.58'!$C$6:$C$12</c:f>
              <c:numCache>
                <c:formatCode>General</c:formatCode>
                <c:ptCount val="7"/>
                <c:pt idx="0">
                  <c:v>7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54-410E-ABAF-8B324E25E47D}"/>
            </c:ext>
          </c:extLst>
        </c:ser>
        <c:ser>
          <c:idx val="1"/>
          <c:order val="1"/>
          <c:tx>
            <c:strRef>
              <c:f>'Q4.58'!$D$5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'Q4.58'!$D$6:$D$12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5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F54-410E-ABAF-8B324E25E4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9024128"/>
        <c:axId val="169030016"/>
      </c:barChart>
      <c:catAx>
        <c:axId val="169024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030016"/>
        <c:crosses val="autoZero"/>
        <c:auto val="1"/>
        <c:lblAlgn val="ctr"/>
        <c:lblOffset val="100"/>
        <c:noMultiLvlLbl val="0"/>
      </c:catAx>
      <c:valAx>
        <c:axId val="169030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024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E5E-4020-B85B-71B00789888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E5E-4020-B85B-71B00789888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E5E-4020-B85B-71B00789888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E5E-4020-B85B-71B00789888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'Q4.58'!$D$18:$D$21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E5E-4020-B85B-71B007898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2E9-46C9-B25D-26535BC2F87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2E9-46C9-B25D-26535BC2F87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2E9-46C9-B25D-26535BC2F87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2E9-46C9-B25D-26535BC2F87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'Q4.58'!$D$25:$D$28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2E9-46C9-B25D-26535BC2F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'Q4.59'!$C$6:$C$12</c:f>
              <c:numCache>
                <c:formatCode>General</c:formatCode>
                <c:ptCount val="7"/>
                <c:pt idx="0">
                  <c:v>7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46-4B34-8372-EE7A2B9AFB4F}"/>
            </c:ext>
          </c:extLst>
        </c:ser>
        <c:ser>
          <c:idx val="1"/>
          <c:order val="1"/>
          <c:tx>
            <c:strRef>
              <c:f>'Q4.59'!$D$5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'Q4.59'!$D$6:$D$12</c:f>
              <c:numCache>
                <c:formatCode>General</c:formatCode>
                <c:ptCount val="7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46-4B34-8372-EE7A2B9AFB4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9267200"/>
        <c:axId val="169268736"/>
      </c:barChart>
      <c:catAx>
        <c:axId val="169267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268736"/>
        <c:crosses val="autoZero"/>
        <c:auto val="1"/>
        <c:lblAlgn val="ctr"/>
        <c:lblOffset val="100"/>
        <c:noMultiLvlLbl val="0"/>
      </c:catAx>
      <c:valAx>
        <c:axId val="169268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267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73E-4066-A8B2-2C4FB18017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73E-4066-A8B2-2C4FB18017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73E-4066-A8B2-2C4FB18017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73E-4066-A8B2-2C4FB18017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'Q4.04'!$D$18:$D$21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73E-4066-A8B2-2C4FB1801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540-4AF0-BBB9-573A6556681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540-4AF0-BBB9-573A6556681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540-4AF0-BBB9-573A6556681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540-4AF0-BBB9-573A6556681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'Q4.59'!$D$18:$D$21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540-4AF0-BBB9-573A65566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960-4E8F-90DC-E5FD256F3BC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960-4E8F-90DC-E5FD256F3BC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960-4E8F-90DC-E5FD256F3BC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960-4E8F-90DC-E5FD256F3BC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'Q4.59'!$D$25:$D$28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960-4E8F-90DC-E5FD256F3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'Q4.60'!$C$6:$C$12</c:f>
              <c:numCache>
                <c:formatCode>General</c:formatCode>
                <c:ptCount val="7"/>
                <c:pt idx="0">
                  <c:v>7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72-4458-860F-94B489D6CAF0}"/>
            </c:ext>
          </c:extLst>
        </c:ser>
        <c:ser>
          <c:idx val="1"/>
          <c:order val="1"/>
          <c:tx>
            <c:strRef>
              <c:f>'Q4.60'!$D$5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'Q4.60'!$D$6:$D$12</c:f>
              <c:numCache>
                <c:formatCode>General</c:formatCode>
                <c:ptCount val="7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972-4458-860F-94B489D6CA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0300928"/>
        <c:axId val="170302464"/>
      </c:barChart>
      <c:catAx>
        <c:axId val="170300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0302464"/>
        <c:crosses val="autoZero"/>
        <c:auto val="1"/>
        <c:lblAlgn val="ctr"/>
        <c:lblOffset val="100"/>
        <c:noMultiLvlLbl val="0"/>
      </c:catAx>
      <c:valAx>
        <c:axId val="170302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0300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6AE-4FDE-B0CC-D292438D0FA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6AE-4FDE-B0CC-D292438D0FA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6AE-4FDE-B0CC-D292438D0FA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6AE-4FDE-B0CC-D292438D0FA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'Q4.60'!$D$18:$D$21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6AE-4FDE-B0CC-D292438D0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E0C-4B48-9E6B-B29C9E08F6F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E0C-4B48-9E6B-B29C9E08F6F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E0C-4B48-9E6B-B29C9E08F6F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E0C-4B48-9E6B-B29C9E08F6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'Q4.60'!$D$25:$D$28</c:f>
              <c:numCache>
                <c:formatCode>General</c:formatCode>
                <c:ptCount val="4"/>
                <c:pt idx="0">
                  <c:v>3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E0C-4B48-9E6B-B29C9E08F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'Q4.61'!$C$6:$C$12</c:f>
              <c:numCache>
                <c:formatCode>General</c:formatCode>
                <c:ptCount val="7"/>
                <c:pt idx="0">
                  <c:v>7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EE6-4D01-AD8A-FA59A1F6A028}"/>
            </c:ext>
          </c:extLst>
        </c:ser>
        <c:ser>
          <c:idx val="1"/>
          <c:order val="1"/>
          <c:tx>
            <c:strRef>
              <c:f>'Q4.61'!$D$5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'Q4.61'!$D$6:$D$12</c:f>
              <c:numCache>
                <c:formatCode>General</c:formatCode>
                <c:ptCount val="7"/>
                <c:pt idx="0">
                  <c:v>2</c:v>
                </c:pt>
                <c:pt idx="1">
                  <c:v>4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EE6-4D01-AD8A-FA59A1F6A02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0633856"/>
        <c:axId val="170643840"/>
      </c:barChart>
      <c:catAx>
        <c:axId val="17063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0643840"/>
        <c:crosses val="autoZero"/>
        <c:auto val="1"/>
        <c:lblAlgn val="ctr"/>
        <c:lblOffset val="100"/>
        <c:noMultiLvlLbl val="0"/>
      </c:catAx>
      <c:valAx>
        <c:axId val="17064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0633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150-4A86-92B0-CF39D09107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150-4A86-92B0-CF39D09107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150-4A86-92B0-CF39D09107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150-4A86-92B0-CF39D09107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'Q4.61'!$D$18:$D$21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150-4A86-92B0-CF39D0910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FBE-4D75-A714-2DA40136F50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FBE-4D75-A714-2DA40136F50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FBE-4D75-A714-2DA40136F50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FBE-4D75-A714-2DA40136F5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'Q4.61'!$D$25:$D$28</c:f>
              <c:numCache>
                <c:formatCode>General</c:formatCode>
                <c:ptCount val="4"/>
                <c:pt idx="0">
                  <c:v>2</c:v>
                </c:pt>
                <c:pt idx="1">
                  <c:v>4</c:v>
                </c:pt>
                <c:pt idx="2">
                  <c:v>2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FBE-4D75-A714-2DA40136F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'Q4.62'!$C$6:$C$12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4F3-4315-9954-556383545CD8}"/>
            </c:ext>
          </c:extLst>
        </c:ser>
        <c:ser>
          <c:idx val="1"/>
          <c:order val="1"/>
          <c:tx>
            <c:strRef>
              <c:f>'Q4.62'!$D$5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'Q4.62'!$D$6:$D$12</c:f>
              <c:numCache>
                <c:formatCode>General</c:formatCode>
                <c:ptCount val="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4F3-4315-9954-556383545CD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2515328"/>
        <c:axId val="172516864"/>
      </c:barChart>
      <c:catAx>
        <c:axId val="17251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2516864"/>
        <c:crosses val="autoZero"/>
        <c:auto val="1"/>
        <c:lblAlgn val="ctr"/>
        <c:lblOffset val="100"/>
        <c:noMultiLvlLbl val="0"/>
      </c:catAx>
      <c:valAx>
        <c:axId val="172516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2515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0B7-4E9B-828F-89D69C45C3C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0B7-4E9B-828F-89D69C45C3C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0B7-4E9B-828F-89D69C45C3C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0B7-4E9B-828F-89D69C45C3C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B7-4E9B-828F-89D69C45C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6BC-486A-801A-0ED7EE64DAC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6BC-486A-801A-0ED7EE64DAC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6BC-486A-801A-0ED7EE64DAC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6BC-486A-801A-0ED7EE64DA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'Q4.04'!$D$25:$D$28</c:f>
              <c:numCache>
                <c:formatCode>General</c:formatCode>
                <c:ptCount val="4"/>
                <c:pt idx="0">
                  <c:v>3</c:v>
                </c:pt>
                <c:pt idx="1">
                  <c:v>0</c:v>
                </c:pt>
                <c:pt idx="2">
                  <c:v>4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6BC-486A-801A-0ED7EE64D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305-4266-B475-B123A58A539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305-4266-B475-B123A58A539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305-4266-B475-B123A58A539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305-4266-B475-B123A58A53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305-4266-B475-B123A58A5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'Q4.63'!$C$6:$C$12</c:f>
              <c:numCache>
                <c:formatCode>General</c:formatCode>
                <c:ptCount val="7"/>
                <c:pt idx="0">
                  <c:v>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7D-4404-B64E-578A5120A639}"/>
            </c:ext>
          </c:extLst>
        </c:ser>
        <c:ser>
          <c:idx val="1"/>
          <c:order val="1"/>
          <c:tx>
            <c:strRef>
              <c:f>'Q4.63'!$D$5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'Q4.63'!$D$6:$D$12</c:f>
              <c:numCache>
                <c:formatCode>General</c:formatCode>
                <c:ptCount val="7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7D-4404-B64E-578A5120A63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3548672"/>
        <c:axId val="173550208"/>
      </c:barChart>
      <c:catAx>
        <c:axId val="17354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550208"/>
        <c:crosses val="autoZero"/>
        <c:auto val="1"/>
        <c:lblAlgn val="ctr"/>
        <c:lblOffset val="100"/>
        <c:noMultiLvlLbl val="0"/>
      </c:catAx>
      <c:valAx>
        <c:axId val="173550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548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030-4855-AD4E-F48262880D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030-4855-AD4E-F48262880D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030-4855-AD4E-F48262880D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030-4855-AD4E-F48262880D5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030-4855-AD4E-F48262880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B15-4AC9-943F-8C33AE3F10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B15-4AC9-943F-8C33AE3F10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B15-4AC9-943F-8C33AE3F10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B15-4AC9-943F-8C33AE3F10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B15-4AC9-943F-8C33AE3F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'Q4.64'!$C$6:$C$12</c:f>
              <c:numCache>
                <c:formatCode>General</c:formatCode>
                <c:ptCount val="7"/>
                <c:pt idx="0">
                  <c:v>7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1D8-43B8-8578-26376804F8F9}"/>
            </c:ext>
          </c:extLst>
        </c:ser>
        <c:ser>
          <c:idx val="1"/>
          <c:order val="1"/>
          <c:tx>
            <c:strRef>
              <c:f>'Q4.64'!$D$5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'Q4.64'!$D$6:$D$12</c:f>
              <c:numCache>
                <c:formatCode>General</c:formatCode>
                <c:ptCount val="7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1D8-43B8-8578-26376804F8F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3877504"/>
        <c:axId val="173883392"/>
      </c:barChart>
      <c:catAx>
        <c:axId val="17387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883392"/>
        <c:crosses val="autoZero"/>
        <c:auto val="1"/>
        <c:lblAlgn val="ctr"/>
        <c:lblOffset val="100"/>
        <c:noMultiLvlLbl val="0"/>
      </c:catAx>
      <c:valAx>
        <c:axId val="173883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877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38E-4FEC-9650-03E8A5D383D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38E-4FEC-9650-03E8A5D383D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38E-4FEC-9650-03E8A5D383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38E-4FEC-9650-03E8A5D383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'Q4.64'!$D$18:$D$21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38E-4FEC-9650-03E8A5D38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0A8-499F-A33A-07A84F97B3B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0A8-499F-A33A-07A84F97B3B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0A8-499F-A33A-07A84F97B3B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0A8-499F-A33A-07A84F97B3B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'Q4.64'!$D$25:$D$28</c:f>
              <c:numCache>
                <c:formatCode>General</c:formatCode>
                <c:ptCount val="4"/>
                <c:pt idx="0">
                  <c:v>2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0A8-499F-A33A-07A84F97B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'Q4.65'!$C$6:$C$12</c:f>
              <c:numCache>
                <c:formatCode>General</c:formatCode>
                <c:ptCount val="7"/>
                <c:pt idx="0">
                  <c:v>7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53A-4150-8486-767CC3F76F69}"/>
            </c:ext>
          </c:extLst>
        </c:ser>
        <c:ser>
          <c:idx val="1"/>
          <c:order val="1"/>
          <c:tx>
            <c:strRef>
              <c:f>'Q4.65'!$D$5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'Q4.65'!$D$6:$D$12</c:f>
              <c:numCache>
                <c:formatCode>General</c:formatCode>
                <c:ptCount val="7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5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53A-4150-8486-767CC3F76F6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4239104"/>
        <c:axId val="174474368"/>
      </c:barChart>
      <c:catAx>
        <c:axId val="174239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4474368"/>
        <c:crosses val="autoZero"/>
        <c:auto val="1"/>
        <c:lblAlgn val="ctr"/>
        <c:lblOffset val="100"/>
        <c:noMultiLvlLbl val="0"/>
      </c:catAx>
      <c:valAx>
        <c:axId val="174474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42391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782-4E66-B9B3-E7C0C55959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782-4E66-B9B3-E7C0C55959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782-4E66-B9B3-E7C0C55959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782-4E66-B9B3-E7C0C55959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'Q4.65'!$D$18:$D$21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782-4E66-B9B3-E7C0C5595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212-4B38-A013-54802339617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212-4B38-A013-54802339617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212-4B38-A013-54802339617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212-4B38-A013-5480233961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'Q4.65'!$D$25:$D$28</c:f>
              <c:numCache>
                <c:formatCode>General</c:formatCode>
                <c:ptCount val="4"/>
                <c:pt idx="0">
                  <c:v>2</c:v>
                </c:pt>
                <c:pt idx="1">
                  <c:v>1</c:v>
                </c:pt>
                <c:pt idx="2">
                  <c:v>5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212-4B38-A013-5480233961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'Q4.05'!$C$6:$C$12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CA6-41EB-9D66-5CBED4969F80}"/>
            </c:ext>
          </c:extLst>
        </c:ser>
        <c:ser>
          <c:idx val="1"/>
          <c:order val="1"/>
          <c:tx>
            <c:strRef>
              <c:f>'Q4.05'!$D$5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'Q4.05'!$D$6:$D$12</c:f>
              <c:numCache>
                <c:formatCode>General</c:formatCode>
                <c:ptCount val="7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CA6-41EB-9D66-5CBED4969F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8677376"/>
        <c:axId val="88711936"/>
      </c:barChart>
      <c:catAx>
        <c:axId val="8867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711936"/>
        <c:crosses val="autoZero"/>
        <c:auto val="1"/>
        <c:lblAlgn val="ctr"/>
        <c:lblOffset val="100"/>
        <c:noMultiLvlLbl val="0"/>
      </c:catAx>
      <c:valAx>
        <c:axId val="88711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677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'Q4.66'!$C$6:$C$12</c:f>
              <c:numCache>
                <c:formatCode>General</c:formatCode>
                <c:ptCount val="7"/>
                <c:pt idx="0">
                  <c:v>7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618-44DA-9213-5BB6D73EAAC0}"/>
            </c:ext>
          </c:extLst>
        </c:ser>
        <c:ser>
          <c:idx val="1"/>
          <c:order val="1"/>
          <c:tx>
            <c:strRef>
              <c:f>'Q4.66'!$D$5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'Q4.66'!$D$6:$D$12</c:f>
              <c:numCache>
                <c:formatCode>General</c:formatCode>
                <c:ptCount val="7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5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618-44DA-9213-5BB6D73EAAC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5174400"/>
        <c:axId val="175175936"/>
      </c:barChart>
      <c:catAx>
        <c:axId val="175174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5175936"/>
        <c:crosses val="autoZero"/>
        <c:auto val="1"/>
        <c:lblAlgn val="ctr"/>
        <c:lblOffset val="100"/>
        <c:noMultiLvlLbl val="0"/>
      </c:catAx>
      <c:valAx>
        <c:axId val="175175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5174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8E8-4B66-95C2-19494A68DA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8E8-4B66-95C2-19494A68DA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8E8-4B66-95C2-19494A68DA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8E8-4B66-95C2-19494A68DA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'Q4.66'!$D$18:$D$21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8E8-4B66-95C2-19494A68D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296-4079-990F-56E2E5D8838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296-4079-990F-56E2E5D8838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296-4079-990F-56E2E5D8838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296-4079-990F-56E2E5D8838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'Q4.66'!$D$25:$D$28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296-4079-990F-56E2E5D88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'Q4.67'!$C$6:$C$12</c:f>
              <c:numCache>
                <c:formatCode>General</c:formatCode>
                <c:ptCount val="7"/>
                <c:pt idx="0">
                  <c:v>7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112-460A-8873-77CDF5C32384}"/>
            </c:ext>
          </c:extLst>
        </c:ser>
        <c:ser>
          <c:idx val="1"/>
          <c:order val="1"/>
          <c:tx>
            <c:strRef>
              <c:f>'Q4.67'!$D$5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'Q4.67'!$D$6:$D$12</c:f>
              <c:numCache>
                <c:formatCode>General</c:formatCode>
                <c:ptCount val="7"/>
                <c:pt idx="0">
                  <c:v>2</c:v>
                </c:pt>
                <c:pt idx="1">
                  <c:v>3</c:v>
                </c:pt>
                <c:pt idx="2">
                  <c:v>0</c:v>
                </c:pt>
                <c:pt idx="3">
                  <c:v>3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112-460A-8873-77CDF5C3238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7018752"/>
        <c:axId val="177020288"/>
      </c:barChart>
      <c:catAx>
        <c:axId val="177018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020288"/>
        <c:crosses val="autoZero"/>
        <c:auto val="1"/>
        <c:lblAlgn val="ctr"/>
        <c:lblOffset val="100"/>
        <c:noMultiLvlLbl val="0"/>
      </c:catAx>
      <c:valAx>
        <c:axId val="177020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018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59-450C-9919-4D8A7E9BB89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359-450C-9919-4D8A7E9BB89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359-450C-9919-4D8A7E9BB89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359-450C-9919-4D8A7E9BB89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'Q4.67'!$D$18:$D$21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359-450C-9919-4D8A7E9BB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049-47DE-88B6-643DE87A86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049-47DE-88B6-643DE87A86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049-47DE-88B6-643DE87A86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049-47DE-88B6-643DE87A862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'Q4.67'!$D$25:$D$28</c:f>
              <c:numCache>
                <c:formatCode>General</c:formatCode>
                <c:ptCount val="4"/>
                <c:pt idx="0">
                  <c:v>3</c:v>
                </c:pt>
                <c:pt idx="1">
                  <c:v>3</c:v>
                </c:pt>
                <c:pt idx="2">
                  <c:v>1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049-47DE-88B6-643DE87A8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'Q4.68'!$C$6:$C$12</c:f>
              <c:numCache>
                <c:formatCode>General</c:formatCode>
                <c:ptCount val="7"/>
                <c:pt idx="0">
                  <c:v>7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78-4785-B469-6DC4CFEB5433}"/>
            </c:ext>
          </c:extLst>
        </c:ser>
        <c:ser>
          <c:idx val="1"/>
          <c:order val="1"/>
          <c:tx>
            <c:strRef>
              <c:f>'Q4.68'!$D$5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'Q4.68'!$D$6:$D$12</c:f>
              <c:numCache>
                <c:formatCode>General</c:formatCode>
                <c:ptCount val="7"/>
                <c:pt idx="0">
                  <c:v>2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78-4785-B469-6DC4CFEB543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7437696"/>
        <c:axId val="177443584"/>
      </c:barChart>
      <c:catAx>
        <c:axId val="17743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443584"/>
        <c:crosses val="autoZero"/>
        <c:auto val="1"/>
        <c:lblAlgn val="ctr"/>
        <c:lblOffset val="100"/>
        <c:noMultiLvlLbl val="0"/>
      </c:catAx>
      <c:valAx>
        <c:axId val="177443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437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5AC-4182-9258-F2157F60730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5AC-4182-9258-F2157F60730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5AC-4182-9258-F2157F60730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5AC-4182-9258-F2157F6073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'Q4.68'!$D$18:$D$21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5AC-4182-9258-F2157F607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0B8-413C-BEA7-A58427F2188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0B8-413C-BEA7-A58427F2188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0B8-413C-BEA7-A58427F2188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0B8-413C-BEA7-A58427F2188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'Q4.68'!$D$25:$D$28</c:f>
              <c:numCache>
                <c:formatCode>General</c:formatCode>
                <c:ptCount val="4"/>
                <c:pt idx="0">
                  <c:v>3</c:v>
                </c:pt>
                <c:pt idx="1">
                  <c:v>3</c:v>
                </c:pt>
                <c:pt idx="2">
                  <c:v>1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0B8-413C-BEA7-A58427F21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'Q4.69'!$C$6:$C$12</c:f>
              <c:numCache>
                <c:formatCode>General</c:formatCode>
                <c:ptCount val="7"/>
                <c:pt idx="0">
                  <c:v>7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7C4-48D0-B6E3-E6E8F0AAE885}"/>
            </c:ext>
          </c:extLst>
        </c:ser>
        <c:ser>
          <c:idx val="1"/>
          <c:order val="1"/>
          <c:tx>
            <c:strRef>
              <c:f>'Q4.69'!$D$5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'Q4.69'!$D$6:$D$12</c:f>
              <c:numCache>
                <c:formatCode>General</c:formatCode>
                <c:ptCount val="7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7C4-48D0-B6E3-E6E8F0AAE88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7856896"/>
        <c:axId val="177858432"/>
      </c:barChart>
      <c:catAx>
        <c:axId val="177856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858432"/>
        <c:crosses val="autoZero"/>
        <c:auto val="1"/>
        <c:lblAlgn val="ctr"/>
        <c:lblOffset val="100"/>
        <c:noMultiLvlLbl val="0"/>
      </c:catAx>
      <c:valAx>
        <c:axId val="177858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856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1F-4D27-960A-C0B8AEE3327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1F-4D27-960A-C0B8AEE3327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1F-4D27-960A-C0B8AEE3327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1F-4D27-960A-C0B8AEE3327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'Q4.05'!$D$18:$D$21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A1F-4D27-960A-C0B8AEE33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BB2-451A-9C58-002630BC6ED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BB2-451A-9C58-002630BC6ED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BB2-451A-9C58-002630BC6ED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BB2-451A-9C58-002630BC6ED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'Q4.69'!$D$18:$D$21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BB2-451A-9C58-002630BC6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F3D-4BB2-9DC5-64E24B6FF06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F3D-4BB2-9DC5-64E24B6FF06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F3D-4BB2-9DC5-64E24B6FF06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F3D-4BB2-9DC5-64E24B6FF06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'Q4.69'!$D$25:$D$28</c:f>
              <c:numCache>
                <c:formatCode>General</c:formatCode>
                <c:ptCount val="4"/>
                <c:pt idx="0">
                  <c:v>4</c:v>
                </c:pt>
                <c:pt idx="1">
                  <c:v>3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F3D-4BB2-9DC5-64E24B6FF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'Q4.71'!$B$6:$B$12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'Q4.71'!$C$6:$C$12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3</c:v>
                </c:pt>
                <c:pt idx="4">
                  <c:v>1</c:v>
                </c:pt>
                <c:pt idx="5">
                  <c:v>4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395-4979-A661-4D75B47F53F0}"/>
            </c:ext>
          </c:extLst>
        </c:ser>
        <c:ser>
          <c:idx val="1"/>
          <c:order val="1"/>
          <c:tx>
            <c:strRef>
              <c:f>'Q4.71'!$D$5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'Q4.71'!$B$6:$B$12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'Q4.71'!$D$6:$D$12</c:f>
              <c:numCache>
                <c:formatCode>General</c:formatCode>
                <c:ptCount val="7"/>
                <c:pt idx="0">
                  <c:v>0</c:v>
                </c:pt>
                <c:pt idx="1">
                  <c:v>6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395-4979-A661-4D75B47F53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185728"/>
        <c:axId val="178187264"/>
      </c:barChart>
      <c:catAx>
        <c:axId val="178185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187264"/>
        <c:crosses val="autoZero"/>
        <c:auto val="1"/>
        <c:lblAlgn val="ctr"/>
        <c:lblOffset val="100"/>
        <c:noMultiLvlLbl val="0"/>
      </c:catAx>
      <c:valAx>
        <c:axId val="178187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185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A8-4863-84C7-DC6137993C4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A8-4863-84C7-DC6137993C4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A8-4863-84C7-DC6137993C4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A8-4863-84C7-DC6137993C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'Q4.71'!$D$18:$D$21</c:f>
              <c:numCache>
                <c:formatCode>General</c:formatCode>
                <c:ptCount val="4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AA8-4863-84C7-DC6137993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E65-48CC-9A77-FF674C0416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E65-48CC-9A77-FF674C0416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E65-48CC-9A77-FF674C0416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E65-48CC-9A77-FF674C0416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'Q4.71'!$D$25:$D$28</c:f>
              <c:numCache>
                <c:formatCode>General</c:formatCode>
                <c:ptCount val="4"/>
                <c:pt idx="0">
                  <c:v>0</c:v>
                </c:pt>
                <c:pt idx="1">
                  <c:v>6</c:v>
                </c:pt>
                <c:pt idx="2">
                  <c:v>2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E65-48CC-9A77-FF674C041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'Q4.72'!$B$6:$B$12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'Q4.72'!$C$6:$C$12</c:f>
              <c:numCache>
                <c:formatCode>General</c:formatCode>
                <c:ptCount val="7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D6A-4160-A65E-DC61F44648E5}"/>
            </c:ext>
          </c:extLst>
        </c:ser>
        <c:ser>
          <c:idx val="1"/>
          <c:order val="1"/>
          <c:tx>
            <c:strRef>
              <c:f>'Q4.72'!$D$5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'Q4.72'!$B$6:$B$12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'Q4.72'!$D$6:$D$12</c:f>
              <c:numCache>
                <c:formatCode>General</c:formatCode>
                <c:ptCount val="7"/>
                <c:pt idx="0">
                  <c:v>1</c:v>
                </c:pt>
                <c:pt idx="1">
                  <c:v>5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D6A-4160-A65E-DC61F44648E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732032"/>
        <c:axId val="178742016"/>
      </c:barChart>
      <c:catAx>
        <c:axId val="17873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742016"/>
        <c:crosses val="autoZero"/>
        <c:auto val="1"/>
        <c:lblAlgn val="ctr"/>
        <c:lblOffset val="100"/>
        <c:noMultiLvlLbl val="0"/>
      </c:catAx>
      <c:valAx>
        <c:axId val="178742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732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57E-491E-B717-2E42D1D494B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57E-491E-B717-2E42D1D494B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57E-491E-B717-2E42D1D494B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57E-491E-B717-2E42D1D494B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'Q4.72'!$D$18:$D$21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57E-491E-B717-2E42D1D49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4BF-4D05-A26B-5298AA0987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4BF-4D05-A26B-5298AA0987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4BF-4D05-A26B-5298AA0987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4BF-4D05-A26B-5298AA0987A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'Q4.72'!$D$25:$D$28</c:f>
              <c:numCache>
                <c:formatCode>General</c:formatCode>
                <c:ptCount val="4"/>
                <c:pt idx="0">
                  <c:v>2</c:v>
                </c:pt>
                <c:pt idx="1">
                  <c:v>5</c:v>
                </c:pt>
                <c:pt idx="2">
                  <c:v>2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4BF-4D05-A26B-5298AA098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'Q4.73'!$B$6:$B$12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'Q4.73'!$C$6:$C$12</c:f>
              <c:numCache>
                <c:formatCode>General</c:formatCode>
                <c:ptCount val="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4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506-4875-97D1-2CB226BC413E}"/>
            </c:ext>
          </c:extLst>
        </c:ser>
        <c:ser>
          <c:idx val="1"/>
          <c:order val="1"/>
          <c:tx>
            <c:strRef>
              <c:f>'Q4.73'!$D$5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'Q4.73'!$B$6:$B$12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'Q4.73'!$D$6:$D$12</c:f>
              <c:numCache>
                <c:formatCode>General</c:formatCode>
                <c:ptCount val="7"/>
                <c:pt idx="0">
                  <c:v>1</c:v>
                </c:pt>
                <c:pt idx="1">
                  <c:v>6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506-4875-97D1-2CB226BC41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2002048"/>
        <c:axId val="182003584"/>
      </c:barChart>
      <c:catAx>
        <c:axId val="182002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003584"/>
        <c:crosses val="autoZero"/>
        <c:auto val="1"/>
        <c:lblAlgn val="ctr"/>
        <c:lblOffset val="100"/>
        <c:noMultiLvlLbl val="0"/>
      </c:catAx>
      <c:valAx>
        <c:axId val="182003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002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B5B-40C6-BE51-DB5DFEE064A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B5B-40C6-BE51-DB5DFEE064A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B5B-40C6-BE51-DB5DFEE064A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B5B-40C6-BE51-DB5DFEE064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'Q4.73'!$D$18:$D$21</c:f>
              <c:numCache>
                <c:formatCode>General</c:formatCode>
                <c:ptCount val="4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B5B-40C6-BE51-DB5DFEE06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QTPA!$D$17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CB0-4CBB-8A11-8E1190182A8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CB0-4CBB-8A11-8E1190182A8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CB0-4CBB-8A11-8E1190182A8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CB0-4CBB-8A11-8E1190182A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QTPA!$C$18:$C$21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QTPA!$D$18:$D$21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963-48D1-B23E-CB92E65CF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88D-4487-96FB-4DEC854BB00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88D-4487-96FB-4DEC854BB00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88D-4487-96FB-4DEC854BB00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88D-4487-96FB-4DEC854BB00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'Q4.05'!$D$25:$D$28</c:f>
              <c:numCache>
                <c:formatCode>General</c:formatCode>
                <c:ptCount val="4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88D-4487-96FB-4DEC854BB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9E6-47F2-B9FD-55A4914D024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9E6-47F2-B9FD-55A4914D024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9E6-47F2-B9FD-55A4914D024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9E6-47F2-B9FD-55A4914D024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'Q4.73'!$D$25:$D$28</c:f>
              <c:numCache>
                <c:formatCode>General</c:formatCode>
                <c:ptCount val="4"/>
                <c:pt idx="0">
                  <c:v>1</c:v>
                </c:pt>
                <c:pt idx="1">
                  <c:v>6</c:v>
                </c:pt>
                <c:pt idx="2">
                  <c:v>1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9E6-47F2-B9FD-55A4914D0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'Q4.74'!$B$6:$B$12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'Q4.74'!$C$6:$C$12</c:f>
              <c:numCache>
                <c:formatCode>General</c:formatCode>
                <c:ptCount val="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9CF-49FE-8190-7515527969F9}"/>
            </c:ext>
          </c:extLst>
        </c:ser>
        <c:ser>
          <c:idx val="1"/>
          <c:order val="1"/>
          <c:tx>
            <c:strRef>
              <c:f>'Q4.74'!$D$5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'Q4.74'!$B$6:$B$12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'Q4.74'!$D$6:$D$12</c:f>
              <c:numCache>
                <c:formatCode>General</c:formatCode>
                <c:ptCount val="7"/>
                <c:pt idx="0">
                  <c:v>0</c:v>
                </c:pt>
                <c:pt idx="1">
                  <c:v>6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9CF-49FE-8190-7515527969F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2351360"/>
        <c:axId val="182352896"/>
      </c:barChart>
      <c:catAx>
        <c:axId val="18235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352896"/>
        <c:crosses val="autoZero"/>
        <c:auto val="1"/>
        <c:lblAlgn val="ctr"/>
        <c:lblOffset val="100"/>
        <c:noMultiLvlLbl val="0"/>
      </c:catAx>
      <c:valAx>
        <c:axId val="182352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351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7BF-4C21-BC1F-6E759F6123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7BF-4C21-BC1F-6E759F6123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7BF-4C21-BC1F-6E759F6123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7BF-4C21-BC1F-6E759F6123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'Q4.74'!$D$18:$D$21</c:f>
              <c:numCache>
                <c:formatCode>General</c:formatCode>
                <c:ptCount val="4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37-4B01-805C-29ABFC569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F12-4507-B08C-AF4000DC29E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F12-4507-B08C-AF4000DC29E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F12-4507-B08C-AF4000DC29E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F12-4507-B08C-AF4000DC29E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'Q4.74'!$D$25:$D$28</c:f>
              <c:numCache>
                <c:formatCode>General</c:formatCode>
                <c:ptCount val="4"/>
                <c:pt idx="0">
                  <c:v>1</c:v>
                </c:pt>
                <c:pt idx="1">
                  <c:v>6</c:v>
                </c:pt>
                <c:pt idx="2">
                  <c:v>0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D90-417E-8BA6-0D783F20C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'Q4.75'!$B$6:$B$12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'Q4.75'!$C$6:$C$12</c:f>
              <c:numCache>
                <c:formatCode>General</c:formatCode>
                <c:ptCount val="7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35-4D84-9F65-E9BA0BBBA41C}"/>
            </c:ext>
          </c:extLst>
        </c:ser>
        <c:ser>
          <c:idx val="1"/>
          <c:order val="1"/>
          <c:tx>
            <c:strRef>
              <c:f>'Q4.75'!$D$5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'Q4.75'!$B$6:$B$12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'Q4.75'!$D$6:$D$12</c:f>
              <c:numCache>
                <c:formatCode>General</c:formatCode>
                <c:ptCount val="7"/>
                <c:pt idx="0">
                  <c:v>3</c:v>
                </c:pt>
                <c:pt idx="1">
                  <c:v>6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35-4D84-9F65-E9BA0BBBA41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2573696"/>
        <c:axId val="182579584"/>
      </c:barChart>
      <c:catAx>
        <c:axId val="182573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579584"/>
        <c:crosses val="autoZero"/>
        <c:auto val="1"/>
        <c:lblAlgn val="ctr"/>
        <c:lblOffset val="100"/>
        <c:noMultiLvlLbl val="0"/>
      </c:catAx>
      <c:valAx>
        <c:axId val="182579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573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059-4EFC-A011-C9A04E693E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059-4EFC-A011-C9A04E693E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059-4EFC-A011-C9A04E693E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059-4EFC-A011-C9A04E693E5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'Q4.75'!$D$18:$D$21</c:f>
              <c:numCache>
                <c:formatCode>General</c:formatCode>
                <c:ptCount val="4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059-4EFC-A011-C9A04E693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A96-415A-A19C-236EB94686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A96-415A-A19C-236EB94686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A96-415A-A19C-236EB94686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A96-415A-A19C-236EB94686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'Q4.75'!$D$25:$D$28</c:f>
              <c:numCache>
                <c:formatCode>General</c:formatCode>
                <c:ptCount val="4"/>
                <c:pt idx="0">
                  <c:v>1</c:v>
                </c:pt>
                <c:pt idx="1">
                  <c:v>6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A96-415A-A19C-236EB9468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'Q4.76'!$B$6:$B$12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'Q4.76'!$C$6:$C$12</c:f>
              <c:numCache>
                <c:formatCode>General</c:formatCode>
                <c:ptCount val="7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8A2-40D8-A207-4FBD13FB5189}"/>
            </c:ext>
          </c:extLst>
        </c:ser>
        <c:ser>
          <c:idx val="1"/>
          <c:order val="1"/>
          <c:tx>
            <c:strRef>
              <c:f>'Q4.76'!$D$5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'Q4.76'!$B$6:$B$12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'Q4.76'!$D$6:$D$12</c:f>
              <c:numCache>
                <c:formatCode>General</c:formatCode>
                <c:ptCount val="7"/>
                <c:pt idx="0">
                  <c:v>3</c:v>
                </c:pt>
                <c:pt idx="1">
                  <c:v>6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8A2-40D8-A207-4FBD13FB518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6679296"/>
        <c:axId val="186680832"/>
      </c:barChart>
      <c:catAx>
        <c:axId val="18667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6680832"/>
        <c:crosses val="autoZero"/>
        <c:auto val="1"/>
        <c:lblAlgn val="ctr"/>
        <c:lblOffset val="100"/>
        <c:noMultiLvlLbl val="0"/>
      </c:catAx>
      <c:valAx>
        <c:axId val="186680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6679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F8-450B-B7CB-8A74D78621D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F8-450B-B7CB-8A74D78621D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F8-450B-B7CB-8A74D78621D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F8-450B-B7CB-8A74D78621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'Q4.76'!$D$18:$D$21</c:f>
              <c:numCache>
                <c:formatCode>General</c:formatCode>
                <c:ptCount val="4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EF8-450B-B7CB-8A74D7862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058-43CD-B7C1-359CC698D4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058-43CD-B7C1-359CC698D4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058-43CD-B7C1-359CC698D4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058-43CD-B7C1-359CC698D4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'Q4.76'!$D$25:$D$28</c:f>
              <c:numCache>
                <c:formatCode>General</c:formatCode>
                <c:ptCount val="4"/>
                <c:pt idx="0">
                  <c:v>1</c:v>
                </c:pt>
                <c:pt idx="1">
                  <c:v>6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058-43CD-B7C1-359CC698D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'Q4.06'!$C$6:$C$12</c:f>
              <c:numCache>
                <c:formatCode>General</c:formatCode>
                <c:ptCount val="7"/>
                <c:pt idx="0">
                  <c:v>9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B1-4E96-BC76-290A0F81FBC8}"/>
            </c:ext>
          </c:extLst>
        </c:ser>
        <c:ser>
          <c:idx val="1"/>
          <c:order val="1"/>
          <c:tx>
            <c:strRef>
              <c:f>'Q4.06'!$D$5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'Q4.06'!$D$6:$D$12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7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B1-4E96-BC76-290A0F81FB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3708672"/>
        <c:axId val="93710208"/>
      </c:barChart>
      <c:catAx>
        <c:axId val="9370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3710208"/>
        <c:crosses val="autoZero"/>
        <c:auto val="1"/>
        <c:lblAlgn val="ctr"/>
        <c:lblOffset val="100"/>
        <c:noMultiLvlLbl val="0"/>
      </c:catAx>
      <c:valAx>
        <c:axId val="93710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3708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'Q4.77'!$B$6:$B$12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'Q4.77'!$C$6:$C$12</c:f>
              <c:numCache>
                <c:formatCode>General</c:formatCode>
                <c:ptCount val="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C2-4153-AAAC-5E05DFD9C4DF}"/>
            </c:ext>
          </c:extLst>
        </c:ser>
        <c:ser>
          <c:idx val="1"/>
          <c:order val="1"/>
          <c:tx>
            <c:strRef>
              <c:f>'Q4.77'!$D$5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'Q4.77'!$B$6:$B$12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'Q4.77'!$D$6:$D$12</c:f>
              <c:numCache>
                <c:formatCode>General</c:formatCode>
                <c:ptCount val="7"/>
                <c:pt idx="0">
                  <c:v>2</c:v>
                </c:pt>
                <c:pt idx="1">
                  <c:v>4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C2-4153-AAAC-5E05DFD9C4D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7569280"/>
        <c:axId val="187570816"/>
      </c:barChart>
      <c:catAx>
        <c:axId val="187569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7570816"/>
        <c:crosses val="autoZero"/>
        <c:auto val="1"/>
        <c:lblAlgn val="ctr"/>
        <c:lblOffset val="100"/>
        <c:noMultiLvlLbl val="0"/>
      </c:catAx>
      <c:valAx>
        <c:axId val="187570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7569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C3A-49C7-896D-D06AADC60E9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C3A-49C7-896D-D06AADC60E9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C3A-49C7-896D-D06AADC60E9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C3A-49C7-896D-D06AADC60E9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'Q4.77'!$D$18:$D$21</c:f>
              <c:numCache>
                <c:formatCode>General</c:formatCode>
                <c:ptCount val="4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C3A-49C7-896D-D06AADC60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19E-4758-A02C-80BE6D5F64B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19E-4758-A02C-80BE6D5F64B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19E-4758-A02C-80BE6D5F64B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19E-4758-A02C-80BE6D5F64B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'Q4.77'!$D$25:$D$28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0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19E-4758-A02C-80BE6D5F6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'Q4.79'!$B$6:$B$10</c:f>
              <c:strCache>
                <c:ptCount val="5"/>
                <c:pt idx="0">
                  <c:v>Não responderam</c:v>
                </c:pt>
                <c:pt idx="1">
                  <c:v>R1</c:v>
                </c:pt>
                <c:pt idx="2">
                  <c:v>R2</c:v>
                </c:pt>
                <c:pt idx="3">
                  <c:v>R3</c:v>
                </c:pt>
                <c:pt idx="4">
                  <c:v>Outro</c:v>
                </c:pt>
              </c:strCache>
            </c:strRef>
          </c:cat>
          <c:val>
            <c:numRef>
              <c:f>'Q4.79'!$C$6:$C$10</c:f>
              <c:numCache>
                <c:formatCode>General</c:formatCode>
                <c:ptCount val="5"/>
                <c:pt idx="0">
                  <c:v>0</c:v>
                </c:pt>
                <c:pt idx="1">
                  <c:v>4</c:v>
                </c:pt>
                <c:pt idx="2">
                  <c:v>0</c:v>
                </c:pt>
                <c:pt idx="3">
                  <c:v>3</c:v>
                </c:pt>
                <c:pt idx="4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016-47F3-B521-92138F6E2D62}"/>
            </c:ext>
          </c:extLst>
        </c:ser>
        <c:ser>
          <c:idx val="1"/>
          <c:order val="1"/>
          <c:tx>
            <c:strRef>
              <c:f>'Q4.79'!$D$5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'Q4.79'!$B$6:$B$10</c:f>
              <c:strCache>
                <c:ptCount val="5"/>
                <c:pt idx="0">
                  <c:v>Não responderam</c:v>
                </c:pt>
                <c:pt idx="1">
                  <c:v>R1</c:v>
                </c:pt>
                <c:pt idx="2">
                  <c:v>R2</c:v>
                </c:pt>
                <c:pt idx="3">
                  <c:v>R3</c:v>
                </c:pt>
                <c:pt idx="4">
                  <c:v>Outro</c:v>
                </c:pt>
              </c:strCache>
            </c:strRef>
          </c:cat>
          <c:val>
            <c:numRef>
              <c:f>'Q4.79'!$D$6:$D$10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5</c:v>
                </c:pt>
                <c:pt idx="4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016-47F3-B521-92138F6E2D6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8291328"/>
        <c:axId val="188313600"/>
      </c:barChart>
      <c:catAx>
        <c:axId val="18829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313600"/>
        <c:crosses val="autoZero"/>
        <c:auto val="1"/>
        <c:lblAlgn val="ctr"/>
        <c:lblOffset val="100"/>
        <c:noMultiLvlLbl val="0"/>
      </c:catAx>
      <c:valAx>
        <c:axId val="188313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291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'Q4.81'!$C$5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'Q4.81'!$C$6:$C$8</c:f>
              <c:numCache>
                <c:formatCode>General</c:formatCode>
                <c:ptCount val="3"/>
                <c:pt idx="0">
                  <c:v>0</c:v>
                </c:pt>
                <c:pt idx="1">
                  <c:v>10</c:v>
                </c:pt>
                <c:pt idx="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62B-4A3F-AF1E-6C3735F77C4B}"/>
            </c:ext>
          </c:extLst>
        </c:ser>
        <c:ser>
          <c:idx val="1"/>
          <c:order val="1"/>
          <c:tx>
            <c:strRef>
              <c:f>'Q4.81'!$D$5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'Q4.81'!$D$6:$D$8</c:f>
              <c:numCache>
                <c:formatCode>General</c:formatCode>
                <c:ptCount val="3"/>
                <c:pt idx="0">
                  <c:v>0</c:v>
                </c:pt>
                <c:pt idx="1">
                  <c:v>12</c:v>
                </c:pt>
                <c:pt idx="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62B-4A3F-AF1E-6C3735F77C4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8443264"/>
        <c:axId val="188445056"/>
      </c:barChart>
      <c:catAx>
        <c:axId val="188443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445056"/>
        <c:crosses val="autoZero"/>
        <c:auto val="1"/>
        <c:lblAlgn val="ctr"/>
        <c:lblOffset val="100"/>
        <c:noMultiLvlLbl val="0"/>
      </c:catAx>
      <c:valAx>
        <c:axId val="188445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443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'Q4.85'!$C$5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'Q4.85'!$B$6:$B$8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'Q4.85'!$C$6:$C$8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2ED-4FB5-96F4-6049CA046BEE}"/>
            </c:ext>
          </c:extLst>
        </c:ser>
        <c:ser>
          <c:idx val="1"/>
          <c:order val="1"/>
          <c:tx>
            <c:strRef>
              <c:f>'Q4.85'!$D$5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'Q4.85'!$B$6:$B$8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'Q4.85'!$D$6:$D$8</c:f>
              <c:numCache>
                <c:formatCode>General</c:formatCode>
                <c:ptCount val="3"/>
                <c:pt idx="0">
                  <c:v>0</c:v>
                </c:pt>
                <c:pt idx="1">
                  <c:v>8</c:v>
                </c:pt>
                <c:pt idx="2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ED-4FB5-96F4-6049CA046BE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8558336"/>
        <c:axId val="188564224"/>
      </c:barChart>
      <c:catAx>
        <c:axId val="18855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564224"/>
        <c:crosses val="autoZero"/>
        <c:auto val="1"/>
        <c:lblAlgn val="ctr"/>
        <c:lblOffset val="100"/>
        <c:noMultiLvlLbl val="0"/>
      </c:catAx>
      <c:valAx>
        <c:axId val="18856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558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'Q4.86'!$C$6:$C$12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4C-4C09-A26E-54D554B56781}"/>
            </c:ext>
          </c:extLst>
        </c:ser>
        <c:ser>
          <c:idx val="1"/>
          <c:order val="1"/>
          <c:tx>
            <c:strRef>
              <c:f>'Q4.86'!$D$5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'Q4.86'!$D$6:$D$12</c:f>
              <c:numCache>
                <c:formatCode>General</c:formatCode>
                <c:ptCount val="7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34C-4C09-A26E-54D554B5678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8809216"/>
        <c:axId val="188810752"/>
      </c:barChart>
      <c:catAx>
        <c:axId val="18880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810752"/>
        <c:crosses val="autoZero"/>
        <c:auto val="1"/>
        <c:lblAlgn val="ctr"/>
        <c:lblOffset val="100"/>
        <c:noMultiLvlLbl val="0"/>
      </c:catAx>
      <c:valAx>
        <c:axId val="188810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809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556-44B4-AE57-DA744F6241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556-44B4-AE57-DA744F6241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556-44B4-AE57-DA744F6241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556-44B4-AE57-DA744F6241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556-44B4-AE57-DA744F624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147-4B8C-A2BA-BE7DE001D9E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147-4B8C-A2BA-BE7DE001D9E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147-4B8C-A2BA-BE7DE001D9E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147-4B8C-A2BA-BE7DE001D9E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147-4B8C-A2BA-BE7DE001D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'Q4.87'!$C$6:$C$12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63A-47C5-91AD-5F27A82791D8}"/>
            </c:ext>
          </c:extLst>
        </c:ser>
        <c:ser>
          <c:idx val="1"/>
          <c:order val="1"/>
          <c:tx>
            <c:strRef>
              <c:f>'Q4.87'!$D$5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'Q4.87'!$D$6:$D$12</c:f>
              <c:numCache>
                <c:formatCode>General</c:formatCode>
                <c:ptCount val="7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63A-47C5-91AD-5F27A82791D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9461632"/>
        <c:axId val="189463168"/>
      </c:barChart>
      <c:catAx>
        <c:axId val="189461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9463168"/>
        <c:crosses val="autoZero"/>
        <c:auto val="1"/>
        <c:lblAlgn val="ctr"/>
        <c:lblOffset val="100"/>
        <c:noMultiLvlLbl val="0"/>
      </c:catAx>
      <c:valAx>
        <c:axId val="18946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9461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8BE-4B4B-8932-570F11245B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8BE-4B4B-8932-570F11245B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8BE-4B4B-8932-570F11245B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8BE-4B4B-8932-570F11245B7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'Q4.06'!$D$18:$D$21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8BE-4B4B-8932-570F11245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F48-4C88-8310-6883C6B5826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F48-4C88-8310-6883C6B5826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F48-4C88-8310-6883C6B5826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F48-4C88-8310-6883C6B5826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F48-4C88-8310-6883C6B58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AC2-47F0-8A4D-9ABB591DA85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AC2-47F0-8A4D-9ABB591DA85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AC2-47F0-8A4D-9ABB591DA85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AC2-47F0-8A4D-9ABB591DA85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'Q4.87'!$D$25:$D$28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AC2-47F0-8A4D-9ABB591DA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88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'Q4.88'!$C$6:$C$12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8CA-4CA0-965B-DD338321CC5A}"/>
            </c:ext>
          </c:extLst>
        </c:ser>
        <c:ser>
          <c:idx val="1"/>
          <c:order val="1"/>
          <c:tx>
            <c:strRef>
              <c:f>'Q4.88'!$D$5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'Q4.88'!$D$6:$D$12</c:f>
              <c:numCache>
                <c:formatCode>General</c:formatCode>
                <c:ptCount val="7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8CA-4CA0-965B-DD338321CC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2710912"/>
        <c:axId val="192716800"/>
      </c:barChart>
      <c:catAx>
        <c:axId val="192710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16800"/>
        <c:crosses val="autoZero"/>
        <c:auto val="1"/>
        <c:lblAlgn val="ctr"/>
        <c:lblOffset val="100"/>
        <c:noMultiLvlLbl val="0"/>
      </c:catAx>
      <c:valAx>
        <c:axId val="19271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10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C3A-4F2A-B86D-E75C2EA4F41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C3A-4F2A-B86D-E75C2EA4F41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C3A-4F2A-B86D-E75C2EA4F41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C3A-4F2A-B86D-E75C2EA4F41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C3A-4F2A-B86D-E75C2EA4F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717-4871-8B54-C2C26467231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717-4871-8B54-C2C26467231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717-4871-8B54-C2C26467231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717-4871-8B54-C2C2646723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'Q4.88'!$D$25:$D$28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717-4871-8B54-C2C264672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'Q4.89'!$C$6:$C$12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AA-48F9-97EA-02079EB50F48}"/>
            </c:ext>
          </c:extLst>
        </c:ser>
        <c:ser>
          <c:idx val="1"/>
          <c:order val="1"/>
          <c:tx>
            <c:strRef>
              <c:f>'Q4.89'!$D$5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'Q4.89'!$D$6:$D$12</c:f>
              <c:numCache>
                <c:formatCode>General</c:formatCode>
                <c:ptCount val="7"/>
                <c:pt idx="0">
                  <c:v>5</c:v>
                </c:pt>
                <c:pt idx="1">
                  <c:v>5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AAA-48F9-97EA-02079EB50F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5882368"/>
        <c:axId val="195953792"/>
      </c:barChart>
      <c:catAx>
        <c:axId val="195882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53792"/>
        <c:crosses val="autoZero"/>
        <c:auto val="1"/>
        <c:lblAlgn val="ctr"/>
        <c:lblOffset val="100"/>
        <c:noMultiLvlLbl val="0"/>
      </c:catAx>
      <c:valAx>
        <c:axId val="195953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882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A86-442C-9E69-6CCCF0550FA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A86-442C-9E69-6CCCF0550FA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A86-442C-9E69-6CCCF0550FA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A86-442C-9E69-6CCCF0550FA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A86-442C-9E69-6CCCF0550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C44-4D33-A2C9-4DC8FC496BD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C44-4D33-A2C9-4DC8FC496BD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C44-4D33-A2C9-4DC8FC496BD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C44-4D33-A2C9-4DC8FC496BD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'Q4.89'!$D$25:$D$28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C44-4D33-A2C9-4DC8FC496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'Q4.90'!$C$6:$C$12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B7-4E61-94A6-E017970184CC}"/>
            </c:ext>
          </c:extLst>
        </c:ser>
        <c:ser>
          <c:idx val="1"/>
          <c:order val="1"/>
          <c:tx>
            <c:strRef>
              <c:f>'Q4.90'!$D$5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'Q4.90'!$D$6:$D$12</c:f>
              <c:numCache>
                <c:formatCode>General</c:formatCode>
                <c:ptCount val="7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0B7-4E61-94A6-E017970184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6498176"/>
        <c:axId val="196499712"/>
      </c:barChart>
      <c:catAx>
        <c:axId val="19649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6499712"/>
        <c:crosses val="autoZero"/>
        <c:auto val="1"/>
        <c:lblAlgn val="ctr"/>
        <c:lblOffset val="100"/>
        <c:noMultiLvlLbl val="0"/>
      </c:catAx>
      <c:valAx>
        <c:axId val="19649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6498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59E-442F-9F20-0E50B6235E2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59E-442F-9F20-0E50B6235E2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59E-442F-9F20-0E50B6235E2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59E-442F-9F20-0E50B6235E2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59E-442F-9F20-0E50B6235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D8B-47C3-8E03-84EAEB5955A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D8B-47C3-8E03-84EAEB5955A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D8B-47C3-8E03-84EAEB5955A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D8B-47C3-8E03-84EAEB5955A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'Q4.06'!$D$25:$D$28</c:f>
              <c:numCache>
                <c:formatCode>General</c:formatCode>
                <c:ptCount val="4"/>
                <c:pt idx="0">
                  <c:v>3</c:v>
                </c:pt>
                <c:pt idx="1">
                  <c:v>1</c:v>
                </c:pt>
                <c:pt idx="2">
                  <c:v>0</c:v>
                </c:pt>
                <c:pt idx="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D8B-47C3-8E03-84EAEB595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EFB-4F86-A1CA-20EB1E3265A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EFB-4F86-A1CA-20EB1E3265A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EFB-4F86-A1CA-20EB1E3265A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EFB-4F86-A1CA-20EB1E3265A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'Q4.90'!$D$25:$D$28</c:f>
              <c:numCache>
                <c:formatCode>General</c:formatCode>
                <c:ptCount val="4"/>
                <c:pt idx="0">
                  <c:v>2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EFB-4F86-A1CA-20EB1E326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'Q4.91'!$C$6:$C$12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E6-4FE8-8061-30BF8516FDFC}"/>
            </c:ext>
          </c:extLst>
        </c:ser>
        <c:ser>
          <c:idx val="1"/>
          <c:order val="1"/>
          <c:tx>
            <c:strRef>
              <c:f>'Q4.91'!$D$5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'Q4.91'!$D$6:$D$12</c:f>
              <c:numCache>
                <c:formatCode>General</c:formatCode>
                <c:ptCount val="7"/>
                <c:pt idx="0">
                  <c:v>5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E6-4FE8-8061-30BF8516FDF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9071616"/>
        <c:axId val="199073152"/>
      </c:barChart>
      <c:catAx>
        <c:axId val="199071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9073152"/>
        <c:crosses val="autoZero"/>
        <c:auto val="1"/>
        <c:lblAlgn val="ctr"/>
        <c:lblOffset val="100"/>
        <c:noMultiLvlLbl val="0"/>
      </c:catAx>
      <c:valAx>
        <c:axId val="199073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907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479-4C88-A1B9-B7BADFFA7D8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479-4C88-A1B9-B7BADFFA7D8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479-4C88-A1B9-B7BADFFA7D8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479-4C88-A1B9-B7BADFFA7D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'Q4.91'!$D$18:$D$21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479-4C88-A1B9-B7BADFFA7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5DB-4F35-8F88-12266ECF917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5DB-4F35-8F88-12266ECF917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5DB-4F35-8F88-12266ECF917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5DB-4F35-8F88-12266ECF91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'Q4.91'!$D$25:$D$28</c:f>
              <c:numCache>
                <c:formatCode>General</c:formatCode>
                <c:ptCount val="4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5DB-4F35-8F88-12266ECF9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'Q4.92'!$C$6:$C$12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DE3-411A-B024-F0E71423BEBE}"/>
            </c:ext>
          </c:extLst>
        </c:ser>
        <c:ser>
          <c:idx val="1"/>
          <c:order val="1"/>
          <c:tx>
            <c:strRef>
              <c:f>'Q4.92'!$D$5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'Q4.92'!$D$6:$D$12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DE3-411A-B024-F0E71423BE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9834624"/>
        <c:axId val="199836416"/>
      </c:barChart>
      <c:catAx>
        <c:axId val="19983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9836416"/>
        <c:crosses val="autoZero"/>
        <c:auto val="1"/>
        <c:lblAlgn val="ctr"/>
        <c:lblOffset val="100"/>
        <c:noMultiLvlLbl val="0"/>
      </c:catAx>
      <c:valAx>
        <c:axId val="199836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9834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DD0-491B-8B66-6329E24D51D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DD0-491B-8B66-6329E24D51D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DD0-491B-8B66-6329E24D51D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DD0-491B-8B66-6329E24D51D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DD0-491B-8B66-6329E24D5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A8C-4E23-9EB6-7A0DF30F451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A8C-4E23-9EB6-7A0DF30F451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A8C-4E23-9EB6-7A0DF30F451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A8C-4E23-9EB6-7A0DF30F45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A8C-4E23-9EB6-7A0DF30F4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'Q4.93'!$C$6:$C$12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9B-492C-BC40-CE834F688E9A}"/>
            </c:ext>
          </c:extLst>
        </c:ser>
        <c:ser>
          <c:idx val="1"/>
          <c:order val="1"/>
          <c:tx>
            <c:strRef>
              <c:f>'Q4.93'!$D$5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'Q4.93'!$D$6:$D$12</c:f>
              <c:numCache>
                <c:formatCode>General</c:formatCode>
                <c:ptCount val="7"/>
                <c:pt idx="0">
                  <c:v>6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59B-492C-BC40-CE834F688E9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1032064"/>
        <c:axId val="201033600"/>
      </c:barChart>
      <c:catAx>
        <c:axId val="20103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1033600"/>
        <c:crosses val="autoZero"/>
        <c:auto val="1"/>
        <c:lblAlgn val="ctr"/>
        <c:lblOffset val="100"/>
        <c:noMultiLvlLbl val="0"/>
      </c:catAx>
      <c:valAx>
        <c:axId val="201033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1032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353-422D-A999-E9D12E5F65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353-422D-A999-E9D12E5F65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353-422D-A999-E9D12E5F65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353-422D-A999-E9D12E5F65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353-422D-A999-E9D12E5F6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DF5-47AA-A652-73DA03DF4E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DF5-47AA-A652-73DA03DF4E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DF5-47AA-A652-73DA03DF4E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DF5-47AA-A652-73DA03DF4E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'Q4.93'!$D$25:$D$28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DF5-47AA-A652-73DA03DF4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'Q4.07'!$C$6:$C$12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A2-46B4-8ECD-3C29503BBC73}"/>
            </c:ext>
          </c:extLst>
        </c:ser>
        <c:ser>
          <c:idx val="1"/>
          <c:order val="1"/>
          <c:tx>
            <c:strRef>
              <c:f>'Q4.07'!$D$5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'Q4.07'!$D$6:$D$12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6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BA2-46B4-8ECD-3C29503BBC7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9069824"/>
        <c:axId val="109071360"/>
      </c:barChart>
      <c:catAx>
        <c:axId val="109069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071360"/>
        <c:crosses val="autoZero"/>
        <c:auto val="1"/>
        <c:lblAlgn val="ctr"/>
        <c:lblOffset val="100"/>
        <c:noMultiLvlLbl val="0"/>
      </c:catAx>
      <c:valAx>
        <c:axId val="109071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069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'Q4.94'!$C$6:$C$12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9F-4AB7-B2AB-192CCAA2B48B}"/>
            </c:ext>
          </c:extLst>
        </c:ser>
        <c:ser>
          <c:idx val="1"/>
          <c:order val="1"/>
          <c:tx>
            <c:strRef>
              <c:f>'Q4.94'!$D$5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'Q4.94'!$D$6:$D$12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9F-4AB7-B2AB-192CCAA2B4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6280192"/>
        <c:axId val="206281728"/>
      </c:barChart>
      <c:catAx>
        <c:axId val="20628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281728"/>
        <c:crosses val="autoZero"/>
        <c:auto val="1"/>
        <c:lblAlgn val="ctr"/>
        <c:lblOffset val="100"/>
        <c:noMultiLvlLbl val="0"/>
      </c:catAx>
      <c:valAx>
        <c:axId val="206281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28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972-4EBB-AEA6-E687DECFB6C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972-4EBB-AEA6-E687DECFB6C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972-4EBB-AEA6-E687DECFB6C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972-4EBB-AEA6-E687DECFB6C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972-4EBB-AEA6-E687DECFB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402-41B6-9640-2A0016046F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402-41B6-9640-2A0016046F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402-41B6-9640-2A0016046F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402-41B6-9640-2A0016046F2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'Q4.94'!$D$25:$D$28</c:f>
              <c:numCache>
                <c:formatCode>General</c:formatCode>
                <c:ptCount val="4"/>
                <c:pt idx="0">
                  <c:v>5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402-41B6-9640-2A0016046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'Q4.95'!$C$6:$C$12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974-4A94-8E49-D6E457BD9612}"/>
            </c:ext>
          </c:extLst>
        </c:ser>
        <c:ser>
          <c:idx val="1"/>
          <c:order val="1"/>
          <c:tx>
            <c:strRef>
              <c:f>'Q4.95'!$D$5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'Q4.95'!$D$6:$D$12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974-4A94-8E49-D6E457BD961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6883840"/>
        <c:axId val="207295232"/>
      </c:barChart>
      <c:catAx>
        <c:axId val="20688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7295232"/>
        <c:crosses val="autoZero"/>
        <c:auto val="1"/>
        <c:lblAlgn val="ctr"/>
        <c:lblOffset val="100"/>
        <c:noMultiLvlLbl val="0"/>
      </c:catAx>
      <c:valAx>
        <c:axId val="207295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883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6FA-4E81-B45B-53C2EFE80A5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6FA-4E81-B45B-53C2EFE80A5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6FA-4E81-B45B-53C2EFE80A5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6FA-4E81-B45B-53C2EFE80A5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6FA-4E81-B45B-53C2EFE80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5D1-4C00-A42F-D87DE6784AD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5D1-4C00-A42F-D87DE6784AD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5D1-4C00-A42F-D87DE6784A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5D1-4C00-A42F-D87DE6784A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'Q4.95'!$D$25:$D$28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5D1-4C00-A42F-D87DE6784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'Q4.96'!$C$6:$C$12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8B-4608-A95F-D5888A7EDB7D}"/>
            </c:ext>
          </c:extLst>
        </c:ser>
        <c:ser>
          <c:idx val="1"/>
          <c:order val="1"/>
          <c:tx>
            <c:strRef>
              <c:f>'Q4.96'!$D$5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'Q4.96'!$D$6:$D$12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68B-4608-A95F-D5888A7EDB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466880"/>
        <c:axId val="207468416"/>
      </c:barChart>
      <c:catAx>
        <c:axId val="207466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7468416"/>
        <c:crosses val="autoZero"/>
        <c:auto val="1"/>
        <c:lblAlgn val="ctr"/>
        <c:lblOffset val="100"/>
        <c:noMultiLvlLbl val="0"/>
      </c:catAx>
      <c:valAx>
        <c:axId val="207468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7466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5A2-4FC4-BF53-C1FC8854537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5A2-4FC4-BF53-C1FC8854537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5A2-4FC4-BF53-C1FC8854537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5A2-4FC4-BF53-C1FC885453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5A2-4FC4-BF53-C1FC88545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054-47EF-A806-98A4231D2D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054-47EF-A806-98A4231D2D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054-47EF-A806-98A4231D2D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054-47EF-A806-98A4231D2D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'Q4.96'!$D$25:$D$28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054-47EF-A806-98A4231D2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'Q4.97'!$C$6:$C$12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BEA-4F5A-A85A-6900AA8F1BE2}"/>
            </c:ext>
          </c:extLst>
        </c:ser>
        <c:ser>
          <c:idx val="1"/>
          <c:order val="1"/>
          <c:tx>
            <c:strRef>
              <c:f>'Q4.97'!$D$5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'Q4.97'!$D$6:$D$12</c:f>
              <c:numCache>
                <c:formatCode>General</c:formatCode>
                <c:ptCount val="7"/>
                <c:pt idx="0">
                  <c:v>6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BEA-4F5A-A85A-6900AA8F1B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8258560"/>
        <c:axId val="208260096"/>
      </c:barChart>
      <c:catAx>
        <c:axId val="20825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8260096"/>
        <c:crosses val="autoZero"/>
        <c:auto val="1"/>
        <c:lblAlgn val="ctr"/>
        <c:lblOffset val="100"/>
        <c:noMultiLvlLbl val="0"/>
      </c:catAx>
      <c:valAx>
        <c:axId val="208260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8258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55B-4E7A-AD98-17CADB0827B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55B-4E7A-AD98-17CADB0827B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55B-4E7A-AD98-17CADB0827B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55B-4E7A-AD98-17CADB0827B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55B-4E7A-AD98-17CADB082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DB-4F8A-9D02-3EC08AFBBCA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DB-4F8A-9D02-3EC08AFBBCA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DB-4F8A-9D02-3EC08AFBBCA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DB-4F8A-9D02-3EC08AFBBCA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EDB-4F8A-9D02-3EC08AFBB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701-4513-9F29-A31EA2EED54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701-4513-9F29-A31EA2EED54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701-4513-9F29-A31EA2EED54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701-4513-9F29-A31EA2EED5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'Q4.97'!$D$25:$D$28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701-4513-9F29-A31EA2EED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'Q4.98'!$C$6:$C$12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225-4A09-8B33-993C3A8F2D02}"/>
            </c:ext>
          </c:extLst>
        </c:ser>
        <c:ser>
          <c:idx val="1"/>
          <c:order val="1"/>
          <c:tx>
            <c:strRef>
              <c:f>'Q4.98'!$D$5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'Q4.98'!$D$6:$D$12</c:f>
              <c:numCache>
                <c:formatCode>General</c:formatCode>
                <c:ptCount val="7"/>
                <c:pt idx="0">
                  <c:v>6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225-4A09-8B33-993C3A8F2D0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9197696"/>
        <c:axId val="209219968"/>
      </c:barChart>
      <c:catAx>
        <c:axId val="20919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219968"/>
        <c:crosses val="autoZero"/>
        <c:auto val="1"/>
        <c:lblAlgn val="ctr"/>
        <c:lblOffset val="100"/>
        <c:noMultiLvlLbl val="0"/>
      </c:catAx>
      <c:valAx>
        <c:axId val="20921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197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FC7-40DF-A9CC-FC17DE08BB0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FC7-40DF-A9CC-FC17DE08BB0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FC7-40DF-A9CC-FC17DE08BB0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FC7-40DF-A9CC-FC17DE08BB0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FC7-40DF-A9CC-FC17DE08B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F69-40D8-B3AE-8106E03013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F69-40D8-B3AE-8106E030136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F69-40D8-B3AE-8106E030136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F69-40D8-B3AE-8106E030136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'Q4.98'!$D$25:$D$28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F69-40D8-B3AE-8106E0301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'Q4.99'!$C$6:$C$12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73-4D37-A124-19C2EA88A366}"/>
            </c:ext>
          </c:extLst>
        </c:ser>
        <c:ser>
          <c:idx val="1"/>
          <c:order val="1"/>
          <c:tx>
            <c:strRef>
              <c:f>'Q4.99'!$D$5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'Q4.99'!$D$6:$D$12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73-4D37-A124-19C2EA88A36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0145280"/>
        <c:axId val="210146816"/>
      </c:barChart>
      <c:catAx>
        <c:axId val="21014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0146816"/>
        <c:crosses val="autoZero"/>
        <c:auto val="1"/>
        <c:lblAlgn val="ctr"/>
        <c:lblOffset val="100"/>
        <c:noMultiLvlLbl val="0"/>
      </c:catAx>
      <c:valAx>
        <c:axId val="210146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0145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49A-400E-9665-298796A87B4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49A-400E-9665-298796A87B4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49A-400E-9665-298796A87B4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49A-400E-9665-298796A87B4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49A-400E-9665-298796A87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D71-4563-A569-074AC68CA4D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D71-4563-A569-074AC68CA4D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D71-4563-A569-074AC68CA4D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D71-4563-A569-074AC68CA4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D71-4563-A569-074AC68CA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'Q4.100'!$C$6:$C$12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6D-45F7-877F-79F21505CC4F}"/>
            </c:ext>
          </c:extLst>
        </c:ser>
        <c:ser>
          <c:idx val="1"/>
          <c:order val="1"/>
          <c:tx>
            <c:strRef>
              <c:f>'Q4.100'!$D$5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'Q4.100'!$D$6:$D$12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26D-45F7-877F-79F21505CC4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0642048"/>
        <c:axId val="210643584"/>
      </c:barChart>
      <c:catAx>
        <c:axId val="210642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0643584"/>
        <c:crosses val="autoZero"/>
        <c:auto val="1"/>
        <c:lblAlgn val="ctr"/>
        <c:lblOffset val="100"/>
        <c:noMultiLvlLbl val="0"/>
      </c:catAx>
      <c:valAx>
        <c:axId val="210643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0642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69E-4551-A79C-7786AD7068C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69E-4551-A79C-7786AD7068C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69E-4551-A79C-7786AD7068C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69E-4551-A79C-7786AD7068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69E-4551-A79C-7786AD706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5A1-4DFF-A21F-A6D7F11EE15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5A1-4DFF-A21F-A6D7F11EE15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5A1-4DFF-A21F-A6D7F11EE15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5A1-4DFF-A21F-A6D7F11EE1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'Q4.07'!$D$25:$D$28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5A1-4DFF-A21F-A6D7F11EE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E46-4DF6-BDAC-21CF1DD5611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E46-4DF6-BDAC-21CF1DD5611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E46-4DF6-BDAC-21CF1DD5611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E46-4DF6-BDAC-21CF1DD5611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'Q4.100'!$D$25:$D$28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E46-4DF6-BDAC-21CF1DD56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'Q4.101'!$C$6:$C$12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58F-45FE-A697-53BDE6FC5971}"/>
            </c:ext>
          </c:extLst>
        </c:ser>
        <c:ser>
          <c:idx val="1"/>
          <c:order val="1"/>
          <c:tx>
            <c:strRef>
              <c:f>'Q4.101'!$D$5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'Q4.101'!$D$6:$D$12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58F-45FE-A697-53BDE6FC597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1097856"/>
        <c:axId val="211111936"/>
      </c:barChart>
      <c:catAx>
        <c:axId val="21109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1111936"/>
        <c:crosses val="autoZero"/>
        <c:auto val="1"/>
        <c:lblAlgn val="ctr"/>
        <c:lblOffset val="100"/>
        <c:noMultiLvlLbl val="0"/>
      </c:catAx>
      <c:valAx>
        <c:axId val="211111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1097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DC2-4ED6-A56E-D4627CAA253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DC2-4ED6-A56E-D4627CAA253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DC2-4ED6-A56E-D4627CAA253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DC2-4ED6-A56E-D4627CAA25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'Q4.101'!$D$18:$D$21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DC2-4ED6-A56E-D4627CAA2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47F-48C3-A68D-B28B16712B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47F-48C3-A68D-B28B16712B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47F-48C3-A68D-B28B16712B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47F-48C3-A68D-B28B16712B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47F-48C3-A68D-B28B16712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'Q4.102'!$C$6:$C$12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69-4A5B-A62B-DBEDBDC2C652}"/>
            </c:ext>
          </c:extLst>
        </c:ser>
        <c:ser>
          <c:idx val="1"/>
          <c:order val="1"/>
          <c:tx>
            <c:strRef>
              <c:f>'Q4.102'!$D$5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'Q4.102'!$D$6:$D$12</c:f>
              <c:numCache>
                <c:formatCode>General</c:formatCode>
                <c:ptCount val="7"/>
                <c:pt idx="0">
                  <c:v>6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869-4A5B-A62B-DBEDBDC2C6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1307904"/>
        <c:axId val="211321984"/>
      </c:barChart>
      <c:catAx>
        <c:axId val="21130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1321984"/>
        <c:crosses val="autoZero"/>
        <c:auto val="1"/>
        <c:lblAlgn val="ctr"/>
        <c:lblOffset val="100"/>
        <c:noMultiLvlLbl val="0"/>
      </c:catAx>
      <c:valAx>
        <c:axId val="211321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1307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B75-46F4-9A9F-CCD44EE9294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B75-46F4-9A9F-CCD44EE9294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B75-46F4-9A9F-CCD44EE9294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B75-46F4-9A9F-CCD44EE929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B75-46F4-9A9F-CCD44EE92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096-4B98-87D4-FA2AA71E55A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096-4B98-87D4-FA2AA71E55A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096-4B98-87D4-FA2AA71E55A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096-4B98-87D4-FA2AA71E55A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'Q4.102'!$D$25:$D$28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096-4B98-87D4-FA2AA71E5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'Q4.103'!$C$6:$C$12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AFE-4E87-BCEE-0DB253BCC3EA}"/>
            </c:ext>
          </c:extLst>
        </c:ser>
        <c:ser>
          <c:idx val="1"/>
          <c:order val="1"/>
          <c:tx>
            <c:strRef>
              <c:f>'Q4.103'!$D$5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'Q4.103'!$D$6:$D$12</c:f>
              <c:numCache>
                <c:formatCode>General</c:formatCode>
                <c:ptCount val="7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AFE-4E87-BCEE-0DB253BCC3E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2358272"/>
        <c:axId val="212359808"/>
      </c:barChart>
      <c:catAx>
        <c:axId val="21235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2359808"/>
        <c:crosses val="autoZero"/>
        <c:auto val="1"/>
        <c:lblAlgn val="ctr"/>
        <c:lblOffset val="100"/>
        <c:noMultiLvlLbl val="0"/>
      </c:catAx>
      <c:valAx>
        <c:axId val="212359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2358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6E0-48E6-B13D-EF0EC2C3A5A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6E0-48E6-B13D-EF0EC2C3A5A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6E0-48E6-B13D-EF0EC2C3A5A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6E0-48E6-B13D-EF0EC2C3A5A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6E0-48E6-B13D-EF0EC2C3A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8E2-4AFB-A899-62D2D57476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8E2-4AFB-A899-62D2D574762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8E2-4AFB-A899-62D2D574762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8E2-4AFB-A899-62D2D574762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8E2-4AFB-A899-62D2D5747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'Q4.08'!$C$6:$C$12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157-46D7-9599-9F3416275E51}"/>
            </c:ext>
          </c:extLst>
        </c:ser>
        <c:ser>
          <c:idx val="1"/>
          <c:order val="1"/>
          <c:tx>
            <c:strRef>
              <c:f>'Q4.08'!$D$5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'Q4.08'!$D$6:$D$12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5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157-46D7-9599-9F3416275E5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9374080"/>
        <c:axId val="109519232"/>
      </c:barChart>
      <c:catAx>
        <c:axId val="10937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519232"/>
        <c:crosses val="autoZero"/>
        <c:auto val="1"/>
        <c:lblAlgn val="ctr"/>
        <c:lblOffset val="100"/>
        <c:noMultiLvlLbl val="0"/>
      </c:catAx>
      <c:valAx>
        <c:axId val="109519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374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'Q4.104'!$C$6:$C$12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20-493C-A4C7-F1C01081FB8C}"/>
            </c:ext>
          </c:extLst>
        </c:ser>
        <c:ser>
          <c:idx val="1"/>
          <c:order val="1"/>
          <c:tx>
            <c:strRef>
              <c:f>'Q4.104'!$D$5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'Q4.104'!$D$6:$D$12</c:f>
              <c:numCache>
                <c:formatCode>General</c:formatCode>
                <c:ptCount val="7"/>
                <c:pt idx="0">
                  <c:v>6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020-493C-A4C7-F1C01081FB8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3362944"/>
        <c:axId val="213573632"/>
      </c:barChart>
      <c:catAx>
        <c:axId val="21336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3573632"/>
        <c:crosses val="autoZero"/>
        <c:auto val="1"/>
        <c:lblAlgn val="ctr"/>
        <c:lblOffset val="100"/>
        <c:noMultiLvlLbl val="0"/>
      </c:catAx>
      <c:valAx>
        <c:axId val="213573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3362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AF3-492A-9DEA-163A337497A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AF3-492A-9DEA-163A337497A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AF3-492A-9DEA-163A337497A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AF3-492A-9DEA-163A337497A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AF3-492A-9DEA-163A33749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169-4300-B919-7190F9FD2FC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169-4300-B919-7190F9FD2FC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169-4300-B919-7190F9FD2FC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169-4300-B919-7190F9FD2F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'Q4.104'!$D$25:$D$28</c:f>
              <c:numCache>
                <c:formatCode>General</c:formatCode>
                <c:ptCount val="4"/>
                <c:pt idx="0">
                  <c:v>0</c:v>
                </c:pt>
                <c:pt idx="1">
                  <c:v>4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169-4300-B919-7190F9FD2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'Q4.105'!$C$6:$C$12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480-432E-AC77-9A8D268D538B}"/>
            </c:ext>
          </c:extLst>
        </c:ser>
        <c:ser>
          <c:idx val="1"/>
          <c:order val="1"/>
          <c:tx>
            <c:strRef>
              <c:f>'Q4.105'!$D$5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'Q4.105'!$D$6:$D$12</c:f>
              <c:numCache>
                <c:formatCode>General</c:formatCode>
                <c:ptCount val="7"/>
                <c:pt idx="0">
                  <c:v>6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480-432E-AC77-9A8D268D53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4293888"/>
        <c:axId val="214299776"/>
      </c:barChart>
      <c:catAx>
        <c:axId val="21429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4299776"/>
        <c:crosses val="autoZero"/>
        <c:auto val="1"/>
        <c:lblAlgn val="ctr"/>
        <c:lblOffset val="100"/>
        <c:noMultiLvlLbl val="0"/>
      </c:catAx>
      <c:valAx>
        <c:axId val="214299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4293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9AF-425A-A2DA-1CAED28DFB9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9AF-425A-A2DA-1CAED28DFB9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9AF-425A-A2DA-1CAED28DFB9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9AF-425A-A2DA-1CAED28DFB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9AF-425A-A2DA-1CAED28DF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B0E-4219-B58C-4BD136F84A8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B0E-4219-B58C-4BD136F84A8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B0E-4219-B58C-4BD136F84A8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B0E-4219-B58C-4BD136F84A8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'Q4.105'!$D$25:$D$28</c:f>
              <c:numCache>
                <c:formatCode>General</c:formatCode>
                <c:ptCount val="4"/>
                <c:pt idx="0">
                  <c:v>0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B0E-4219-B58C-4BD136F84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'Q4.106'!$C$6:$C$12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4D-4526-8D39-ECAAAEF82B8B}"/>
            </c:ext>
          </c:extLst>
        </c:ser>
        <c:ser>
          <c:idx val="1"/>
          <c:order val="1"/>
          <c:tx>
            <c:strRef>
              <c:f>'Q4.106'!$D$5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'Q4.106'!$D$6:$D$12</c:f>
              <c:numCache>
                <c:formatCode>General</c:formatCode>
                <c:ptCount val="7"/>
                <c:pt idx="0">
                  <c:v>6</c:v>
                </c:pt>
                <c:pt idx="1">
                  <c:v>4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E4D-4526-8D39-ECAAAEF82B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4921984"/>
        <c:axId val="214923520"/>
      </c:barChart>
      <c:catAx>
        <c:axId val="214921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4923520"/>
        <c:crosses val="autoZero"/>
        <c:auto val="1"/>
        <c:lblAlgn val="ctr"/>
        <c:lblOffset val="100"/>
        <c:noMultiLvlLbl val="0"/>
      </c:catAx>
      <c:valAx>
        <c:axId val="214923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4921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7D6-417A-A0AF-BE01FB5764D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7D6-417A-A0AF-BE01FB5764D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7D6-417A-A0AF-BE01FB5764D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7D6-417A-A0AF-BE01FB5764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7D6-417A-A0AF-BE01FB576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937-48AE-87A8-8A406D3D103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937-48AE-87A8-8A406D3D103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937-48AE-87A8-8A406D3D103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937-48AE-87A8-8A406D3D103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'Q4.106'!$D$25:$D$28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937-48AE-87A8-8A406D3D1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'Q4.107'!$C$6:$C$12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3F-44E2-BB5F-4437EC37D4EA}"/>
            </c:ext>
          </c:extLst>
        </c:ser>
        <c:ser>
          <c:idx val="1"/>
          <c:order val="1"/>
          <c:tx>
            <c:strRef>
              <c:f>'Q4.107'!$D$5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'Q4.107'!$D$6:$D$12</c:f>
              <c:numCache>
                <c:formatCode>General</c:formatCode>
                <c:ptCount val="7"/>
                <c:pt idx="0">
                  <c:v>6</c:v>
                </c:pt>
                <c:pt idx="1">
                  <c:v>4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3F-44E2-BB5F-4437EC37D4E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24122752"/>
        <c:axId val="224124288"/>
      </c:barChart>
      <c:catAx>
        <c:axId val="22412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4124288"/>
        <c:crosses val="autoZero"/>
        <c:auto val="1"/>
        <c:lblAlgn val="ctr"/>
        <c:lblOffset val="100"/>
        <c:noMultiLvlLbl val="0"/>
      </c:catAx>
      <c:valAx>
        <c:axId val="22412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4122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DAF-4C96-AA75-4C0FF8A0545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DAF-4C96-AA75-4C0FF8A0545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DAF-4C96-AA75-4C0FF8A0545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DAF-4C96-AA75-4C0FF8A0545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'Q4.08'!$D$18:$D$21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DAF-4C96-AA75-4C0FF8A05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809-4F07-B06C-8E10B86C2F6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809-4F07-B06C-8E10B86C2F6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809-4F07-B06C-8E10B86C2F6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809-4F07-B06C-8E10B86C2F6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809-4F07-B06C-8E10B86C2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130-44C8-A719-15E6E56A2D0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130-44C8-A719-15E6E56A2D0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130-44C8-A719-15E6E56A2D0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130-44C8-A719-15E6E56A2D0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'Q4.107'!$D$25:$D$28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130-44C8-A719-15E6E56A2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'Q4.108'!$C$6:$C$12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9C-41DA-8856-7B4BF370BDA0}"/>
            </c:ext>
          </c:extLst>
        </c:ser>
        <c:ser>
          <c:idx val="1"/>
          <c:order val="1"/>
          <c:tx>
            <c:strRef>
              <c:f>'Q4.108'!$D$5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'Q4.108'!$D$6:$D$12</c:f>
              <c:numCache>
                <c:formatCode>General</c:formatCode>
                <c:ptCount val="7"/>
                <c:pt idx="0">
                  <c:v>6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19C-41DA-8856-7B4BF370BDA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24476160"/>
        <c:axId val="224502528"/>
      </c:barChart>
      <c:catAx>
        <c:axId val="22447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4502528"/>
        <c:crosses val="autoZero"/>
        <c:auto val="1"/>
        <c:lblAlgn val="ctr"/>
        <c:lblOffset val="100"/>
        <c:noMultiLvlLbl val="0"/>
      </c:catAx>
      <c:valAx>
        <c:axId val="22450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4476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728-44EB-ADB3-769C78963A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728-44EB-ADB3-769C78963A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728-44EB-ADB3-769C78963A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728-44EB-ADB3-769C78963A0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728-44EB-ADB3-769C78963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1A0-454F-A700-5E335F3E64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1A0-454F-A700-5E335F3E64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1A0-454F-A700-5E335F3E64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1A0-454F-A700-5E335F3E64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'Q4.108'!$D$25:$D$28</c:f>
              <c:numCache>
                <c:formatCode>General</c:formatCode>
                <c:ptCount val="4"/>
                <c:pt idx="0">
                  <c:v>0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1A0-454F-A700-5E335F3E6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'Q4.109'!$C$6:$C$12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CEF-49FE-A536-3F17B43D06B2}"/>
            </c:ext>
          </c:extLst>
        </c:ser>
        <c:ser>
          <c:idx val="1"/>
          <c:order val="1"/>
          <c:tx>
            <c:strRef>
              <c:f>'Q4.109'!$D$5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'Q4.109'!$D$6:$D$12</c:f>
              <c:numCache>
                <c:formatCode>General</c:formatCode>
                <c:ptCount val="7"/>
                <c:pt idx="0">
                  <c:v>6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CEF-49FE-A536-3F17B43D06B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25022336"/>
        <c:axId val="225023872"/>
      </c:barChart>
      <c:catAx>
        <c:axId val="225022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5023872"/>
        <c:crosses val="autoZero"/>
        <c:auto val="1"/>
        <c:lblAlgn val="ctr"/>
        <c:lblOffset val="100"/>
        <c:noMultiLvlLbl val="0"/>
      </c:catAx>
      <c:valAx>
        <c:axId val="225023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5022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FEB-4172-A600-69020516D7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FEB-4172-A600-69020516D7C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FEB-4172-A600-69020516D7C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FEB-4172-A600-69020516D7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FEB-4172-A600-69020516D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FF5-460C-B1EA-AF5AF09BDEE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FF5-460C-B1EA-AF5AF09BDEE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FF5-460C-B1EA-AF5AF09BDEE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FF5-460C-B1EA-AF5AF09BDEE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'Q4.109'!$D$25:$D$28</c:f>
              <c:numCache>
                <c:formatCode>General</c:formatCode>
                <c:ptCount val="4"/>
                <c:pt idx="0">
                  <c:v>0</c:v>
                </c:pt>
                <c:pt idx="1">
                  <c:v>4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FF5-460C-B1EA-AF5AF09BD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'Q4.110'!$C$6:$C$12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6F-4E54-BEF7-EC223D5ABA8C}"/>
            </c:ext>
          </c:extLst>
        </c:ser>
        <c:ser>
          <c:idx val="1"/>
          <c:order val="1"/>
          <c:tx>
            <c:strRef>
              <c:f>'Q4.110'!$D$5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'Q4.110'!$D$6:$D$12</c:f>
              <c:numCache>
                <c:formatCode>General</c:formatCode>
                <c:ptCount val="7"/>
                <c:pt idx="0">
                  <c:v>6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6F-4E54-BEF7-EC223D5ABA8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25445376"/>
        <c:axId val="225446912"/>
      </c:barChart>
      <c:catAx>
        <c:axId val="2254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5446912"/>
        <c:crosses val="autoZero"/>
        <c:auto val="1"/>
        <c:lblAlgn val="ctr"/>
        <c:lblOffset val="100"/>
        <c:noMultiLvlLbl val="0"/>
      </c:catAx>
      <c:valAx>
        <c:axId val="225446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5445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D36-48A6-A21A-8313C771EAA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D36-48A6-A21A-8313C771EAA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D36-48A6-A21A-8313C771EAA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D36-48A6-A21A-8313C771EA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D36-48A6-A21A-8313C771E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C7E-42C4-BF6F-2A5ED8BCA64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C7E-42C4-BF6F-2A5ED8BCA64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C7E-42C4-BF6F-2A5ED8BCA64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C7E-42C4-BF6F-2A5ED8BCA64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'Q4.08'!$D$25:$D$28</c:f>
              <c:numCache>
                <c:formatCode>General</c:formatCode>
                <c:ptCount val="4"/>
                <c:pt idx="0">
                  <c:v>3</c:v>
                </c:pt>
                <c:pt idx="1">
                  <c:v>1</c:v>
                </c:pt>
                <c:pt idx="2">
                  <c:v>5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C7E-42C4-BF6F-2A5ED8BCA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910-424D-9B28-B8C50E55995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910-424D-9B28-B8C50E55995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910-424D-9B28-B8C50E55995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910-424D-9B28-B8C50E5599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'Q4.110'!$D$25:$D$28</c:f>
              <c:numCache>
                <c:formatCode>General</c:formatCode>
                <c:ptCount val="4"/>
                <c:pt idx="0">
                  <c:v>0</c:v>
                </c:pt>
                <c:pt idx="1">
                  <c:v>4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910-424D-9B28-B8C50E559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'Q4.111'!$C$6:$C$12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88B-482D-88CA-20C95F46B27F}"/>
            </c:ext>
          </c:extLst>
        </c:ser>
        <c:ser>
          <c:idx val="1"/>
          <c:order val="1"/>
          <c:tx>
            <c:strRef>
              <c:f>'Q4.111'!$D$5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'Q4.111'!$D$6:$D$12</c:f>
              <c:numCache>
                <c:formatCode>General</c:formatCode>
                <c:ptCount val="7"/>
                <c:pt idx="0">
                  <c:v>6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88B-482D-88CA-20C95F46B27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26019968"/>
        <c:axId val="226038144"/>
      </c:barChart>
      <c:catAx>
        <c:axId val="226019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6038144"/>
        <c:crosses val="autoZero"/>
        <c:auto val="1"/>
        <c:lblAlgn val="ctr"/>
        <c:lblOffset val="100"/>
        <c:noMultiLvlLbl val="0"/>
      </c:catAx>
      <c:valAx>
        <c:axId val="226038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6019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4B6-4C8E-AF91-2CAA81B6D40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4B6-4C8E-AF91-2CAA81B6D40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4B6-4C8E-AF91-2CAA81B6D40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4B6-4C8E-AF91-2CAA81B6D40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4B6-4C8E-AF91-2CAA81B6D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9A4-45D7-AF0E-8BF05AFAA52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9A4-45D7-AF0E-8BF05AFAA52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9A4-45D7-AF0E-8BF05AFAA52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9A4-45D7-AF0E-8BF05AFAA52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'Q4.111'!$D$25:$D$28</c:f>
              <c:numCache>
                <c:formatCode>General</c:formatCode>
                <c:ptCount val="4"/>
                <c:pt idx="0">
                  <c:v>0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9A4-45D7-AF0E-8BF05AFAA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'Q4.112'!$C$6:$C$12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11A-442E-984D-95C5F1BC7714}"/>
            </c:ext>
          </c:extLst>
        </c:ser>
        <c:ser>
          <c:idx val="1"/>
          <c:order val="1"/>
          <c:tx>
            <c:strRef>
              <c:f>'Q4.112'!$D$5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'Q4.112'!$D$6:$D$12</c:f>
              <c:numCache>
                <c:formatCode>General</c:formatCode>
                <c:ptCount val="7"/>
                <c:pt idx="0">
                  <c:v>6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11A-442E-984D-95C5F1BC771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26271232"/>
        <c:axId val="226272768"/>
      </c:barChart>
      <c:catAx>
        <c:axId val="226271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6272768"/>
        <c:crosses val="autoZero"/>
        <c:auto val="1"/>
        <c:lblAlgn val="ctr"/>
        <c:lblOffset val="100"/>
        <c:noMultiLvlLbl val="0"/>
      </c:catAx>
      <c:valAx>
        <c:axId val="226272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6271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DAA-4A5B-9F1D-D94000C281D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DAA-4A5B-9F1D-D94000C281D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DAA-4A5B-9F1D-D94000C281D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DAA-4A5B-9F1D-D94000C281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DAA-4A5B-9F1D-D94000C28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CBF-4B1C-906B-33A67EFFCB0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CBF-4B1C-906B-33A67EFFCB0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CBF-4B1C-906B-33A67EFFCB0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CBF-4B1C-906B-33A67EFFCB0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'Q4.112'!$D$25:$D$28</c:f>
              <c:numCache>
                <c:formatCode>General</c:formatCode>
                <c:ptCount val="4"/>
                <c:pt idx="0">
                  <c:v>0</c:v>
                </c:pt>
                <c:pt idx="1">
                  <c:v>5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CBF-4B1C-906B-33A67EFFC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'Q4.114'!$C$5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'Q4.114'!$B$6:$B$8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'Q4.114'!$C$6:$C$8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181-4971-8774-A8B906F5CFAD}"/>
            </c:ext>
          </c:extLst>
        </c:ser>
        <c:ser>
          <c:idx val="1"/>
          <c:order val="1"/>
          <c:tx>
            <c:strRef>
              <c:f>'Q4.114'!$D$5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'Q4.114'!$B$6:$B$8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'Q4.114'!$D$6:$D$8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181-4971-8774-A8B906F5CFA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27120256"/>
        <c:axId val="227121792"/>
      </c:barChart>
      <c:catAx>
        <c:axId val="22712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7121792"/>
        <c:crosses val="autoZero"/>
        <c:auto val="1"/>
        <c:lblAlgn val="ctr"/>
        <c:lblOffset val="100"/>
        <c:noMultiLvlLbl val="0"/>
      </c:catAx>
      <c:valAx>
        <c:axId val="227121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712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'Q4.115'!$C$6:$C$12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4E-4FB2-8362-D832A2C1EC1C}"/>
            </c:ext>
          </c:extLst>
        </c:ser>
        <c:ser>
          <c:idx val="1"/>
          <c:order val="1"/>
          <c:tx>
            <c:strRef>
              <c:f>'Q4.115'!$D$5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'Q4.115'!$D$6:$D$12</c:f>
              <c:numCache>
                <c:formatCode>General</c:formatCode>
                <c:ptCount val="7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4E-4FB2-8362-D832A2C1EC1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27722752"/>
        <c:axId val="227724288"/>
      </c:barChart>
      <c:catAx>
        <c:axId val="22772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7724288"/>
        <c:crosses val="autoZero"/>
        <c:auto val="1"/>
        <c:lblAlgn val="ctr"/>
        <c:lblOffset val="100"/>
        <c:noMultiLvlLbl val="0"/>
      </c:catAx>
      <c:valAx>
        <c:axId val="22772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7722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ACE-40B6-AE74-44F80457E1E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ACE-40B6-AE74-44F80457E1E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ACE-40B6-AE74-44F80457E1E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ACE-40B6-AE74-44F80457E1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ACE-40B6-AE74-44F80457E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QTPA!$D$24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CDA-46D8-9620-10D067D96D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CDA-46D8-9620-10D067D96D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CDA-46D8-9620-10D067D96D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CDA-46D8-9620-10D067D96DB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QTPA!$C$25:$C$28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QTPA!$D$25:$D$28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7E-412A-AAAD-7200BEC3A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'Q4.09'!$C$6:$C$12</c:f>
              <c:numCache>
                <c:formatCode>General</c:formatCode>
                <c:ptCount val="7"/>
                <c:pt idx="0">
                  <c:v>9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CB-49F5-B08F-76312CBD2FE1}"/>
            </c:ext>
          </c:extLst>
        </c:ser>
        <c:ser>
          <c:idx val="1"/>
          <c:order val="1"/>
          <c:tx>
            <c:strRef>
              <c:f>'Q4.09'!$D$5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'Q4.09'!$D$6:$D$12</c:f>
              <c:numCache>
                <c:formatCode>General</c:formatCode>
                <c:ptCount val="7"/>
                <c:pt idx="0">
                  <c:v>0</c:v>
                </c:pt>
                <c:pt idx="1">
                  <c:v>5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BCB-49F5-B08F-76312CBD2FE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9658112"/>
        <c:axId val="109659648"/>
      </c:barChart>
      <c:catAx>
        <c:axId val="109658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659648"/>
        <c:crosses val="autoZero"/>
        <c:auto val="1"/>
        <c:lblAlgn val="ctr"/>
        <c:lblOffset val="100"/>
        <c:noMultiLvlLbl val="0"/>
      </c:catAx>
      <c:valAx>
        <c:axId val="10965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658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CE9-4783-9649-9A8A7FDF42E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CE9-4783-9649-9A8A7FDF42E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CE9-4783-9649-9A8A7FDF42E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CE9-4783-9649-9A8A7FDF42E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CE9-4783-9649-9A8A7FDF4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'Q4.116'!$C$6:$C$12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D2-45AB-8E39-E315A7A5CFF0}"/>
            </c:ext>
          </c:extLst>
        </c:ser>
        <c:ser>
          <c:idx val="1"/>
          <c:order val="1"/>
          <c:tx>
            <c:strRef>
              <c:f>'Q4.116'!$D$5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'Q4.116'!$D$6:$D$12</c:f>
              <c:numCache>
                <c:formatCode>General</c:formatCode>
                <c:ptCount val="7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1D2-45AB-8E39-E315A7A5CF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28321920"/>
        <c:axId val="228462976"/>
      </c:barChart>
      <c:catAx>
        <c:axId val="22832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8462976"/>
        <c:crosses val="autoZero"/>
        <c:auto val="1"/>
        <c:lblAlgn val="ctr"/>
        <c:lblOffset val="100"/>
        <c:noMultiLvlLbl val="0"/>
      </c:catAx>
      <c:valAx>
        <c:axId val="228462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8321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827-4682-8568-A3ECBEEBFCB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827-4682-8568-A3ECBEEBFCB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827-4682-8568-A3ECBEEBFCB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827-4682-8568-A3ECBEEBFCB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827-4682-8568-A3ECBEEBF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4AE-4C52-B68D-D7D254B506F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4AE-4C52-B68D-D7D254B506F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4AE-4C52-B68D-D7D254B506F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4AE-4C52-B68D-D7D254B506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4AE-4C52-B68D-D7D254B50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'Q4.117'!$C$6:$C$12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F9-4164-995B-30DCDBCC9430}"/>
            </c:ext>
          </c:extLst>
        </c:ser>
        <c:ser>
          <c:idx val="1"/>
          <c:order val="1"/>
          <c:tx>
            <c:strRef>
              <c:f>'Q4.117'!$D$5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'Q4.117'!$D$6:$D$12</c:f>
              <c:numCache>
                <c:formatCode>General</c:formatCode>
                <c:ptCount val="7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F9-4164-995B-30DCDBCC943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34037248"/>
        <c:axId val="234038784"/>
      </c:barChart>
      <c:catAx>
        <c:axId val="23403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34038784"/>
        <c:crosses val="autoZero"/>
        <c:auto val="1"/>
        <c:lblAlgn val="ctr"/>
        <c:lblOffset val="100"/>
        <c:noMultiLvlLbl val="0"/>
      </c:catAx>
      <c:valAx>
        <c:axId val="234038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34037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C97-4AB5-8CC4-77A0E0FB79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C97-4AB5-8CC4-77A0E0FB79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C97-4AB5-8CC4-77A0E0FB79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C97-4AB5-8CC4-77A0E0FB79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C97-4AB5-8CC4-77A0E0FB7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039-44A7-91C2-79D8CD8B447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039-44A7-91C2-79D8CD8B447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039-44A7-91C2-79D8CD8B447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039-44A7-91C2-79D8CD8B447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039-44A7-91C2-79D8CD8B4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'Q4.118'!$C$6:$C$12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B49-4556-980D-5298F75003C8}"/>
            </c:ext>
          </c:extLst>
        </c:ser>
        <c:ser>
          <c:idx val="1"/>
          <c:order val="1"/>
          <c:tx>
            <c:strRef>
              <c:f>'Q4.118'!$D$5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'Q4.118'!$D$6:$D$12</c:f>
              <c:numCache>
                <c:formatCode>General</c:formatCode>
                <c:ptCount val="7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B49-4556-980D-5298F75003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34567168"/>
        <c:axId val="234568704"/>
      </c:barChart>
      <c:catAx>
        <c:axId val="23456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34568704"/>
        <c:crosses val="autoZero"/>
        <c:auto val="1"/>
        <c:lblAlgn val="ctr"/>
        <c:lblOffset val="100"/>
        <c:noMultiLvlLbl val="0"/>
      </c:catAx>
      <c:valAx>
        <c:axId val="23456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34567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9CD-4479-A6FA-8CA6E5B7B21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9CD-4479-A6FA-8CA6E5B7B21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9CD-4479-A6FA-8CA6E5B7B21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9CD-4479-A6FA-8CA6E5B7B21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9CD-4479-A6FA-8CA6E5B7B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426-417C-B9B3-47459C1282C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426-417C-B9B3-47459C1282C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426-417C-B9B3-47459C1282C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426-417C-B9B3-47459C1282C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'Q4.118'!$D$25:$D$28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426-417C-B9B3-47459C128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252-401C-B291-CA1552ACC6E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252-401C-B291-CA1552ACC6E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252-401C-B291-CA1552ACC6E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252-401C-B291-CA1552ACC6E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'Q4.09'!$D$18:$D$21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252-401C-B291-CA1552ACC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'Q4.119'!$C$6:$C$12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18B-4419-B376-67A0BD0D9410}"/>
            </c:ext>
          </c:extLst>
        </c:ser>
        <c:ser>
          <c:idx val="1"/>
          <c:order val="1"/>
          <c:tx>
            <c:strRef>
              <c:f>'Q4.119'!$D$5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'Q4.119'!$D$6:$D$12</c:f>
              <c:numCache>
                <c:formatCode>General</c:formatCode>
                <c:ptCount val="7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18B-4419-B376-67A0BD0D941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39250048"/>
        <c:axId val="239260032"/>
      </c:barChart>
      <c:catAx>
        <c:axId val="239250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39260032"/>
        <c:crosses val="autoZero"/>
        <c:auto val="1"/>
        <c:lblAlgn val="ctr"/>
        <c:lblOffset val="100"/>
        <c:noMultiLvlLbl val="0"/>
      </c:catAx>
      <c:valAx>
        <c:axId val="239260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39250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46-4DE1-8408-2B5CCC06DCB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46-4DE1-8408-2B5CCC06DCB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46-4DE1-8408-2B5CCC06DCB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46-4DE1-8408-2B5CCC06DCB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B46-4DE1-8408-2B5CCC06D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331-4DCB-813C-A899F5E6D4B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331-4DCB-813C-A899F5E6D4B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331-4DCB-813C-A899F5E6D4B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331-4DCB-813C-A899F5E6D4B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331-4DCB-813C-A899F5E6D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'Q4.120'!$C$6:$C$12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03-4597-890D-E85CD73A22F8}"/>
            </c:ext>
          </c:extLst>
        </c:ser>
        <c:ser>
          <c:idx val="1"/>
          <c:order val="1"/>
          <c:tx>
            <c:strRef>
              <c:f>'Q4.120'!$D$5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'Q4.120'!$D$6:$D$12</c:f>
              <c:numCache>
                <c:formatCode>General</c:formatCode>
                <c:ptCount val="7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003-4597-890D-E85CD73A22F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9185408"/>
        <c:axId val="119186944"/>
      </c:barChart>
      <c:catAx>
        <c:axId val="11918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9186944"/>
        <c:crosses val="autoZero"/>
        <c:auto val="1"/>
        <c:lblAlgn val="ctr"/>
        <c:lblOffset val="100"/>
        <c:noMultiLvlLbl val="0"/>
      </c:catAx>
      <c:valAx>
        <c:axId val="119186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918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939-4EBA-BD0C-EB0ED1BEBA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939-4EBA-BD0C-EB0ED1BEBA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939-4EBA-BD0C-EB0ED1BEBA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939-4EBA-BD0C-EB0ED1BEBA3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939-4EBA-BD0C-EB0ED1BEB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D2E-4D4C-8861-009A823496D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D2E-4D4C-8861-009A823496D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D2E-4D4C-8861-009A823496D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D2E-4D4C-8861-009A823496D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'Q4.120'!$D$25:$D$28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D2E-4D4C-8861-009A82349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'Q4.121'!$C$6:$C$12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8D7-4A94-B94F-ADA51DD4C203}"/>
            </c:ext>
          </c:extLst>
        </c:ser>
        <c:ser>
          <c:idx val="1"/>
          <c:order val="1"/>
          <c:tx>
            <c:strRef>
              <c:f>'Q4.121'!$D$5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'Q4.121'!$D$6:$D$12</c:f>
              <c:numCache>
                <c:formatCode>General</c:formatCode>
                <c:ptCount val="7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8D7-4A94-B94F-ADA51DD4C20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0259712"/>
        <c:axId val="120261248"/>
      </c:barChart>
      <c:catAx>
        <c:axId val="120259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261248"/>
        <c:crosses val="autoZero"/>
        <c:auto val="1"/>
        <c:lblAlgn val="ctr"/>
        <c:lblOffset val="100"/>
        <c:noMultiLvlLbl val="0"/>
      </c:catAx>
      <c:valAx>
        <c:axId val="120261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259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4BB-47B3-9431-2632FD72C43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4BB-47B3-9431-2632FD72C43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4BB-47B3-9431-2632FD72C43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4BB-47B3-9431-2632FD72C43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4BB-47B3-9431-2632FD72C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291-47FB-A790-D9C2974B3CD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291-47FB-A790-D9C2974B3CD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291-47FB-A790-D9C2974B3CD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291-47FB-A790-D9C2974B3CD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291-47FB-A790-D9C2974B3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'Q4.122'!$C$6:$C$12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3E-4A13-B102-697FCD41DF22}"/>
            </c:ext>
          </c:extLst>
        </c:ser>
        <c:ser>
          <c:idx val="1"/>
          <c:order val="1"/>
          <c:tx>
            <c:strRef>
              <c:f>'Q4.122'!$D$5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'Q4.122'!$D$6:$D$12</c:f>
              <c:numCache>
                <c:formatCode>General</c:formatCode>
                <c:ptCount val="7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B3E-4A13-B102-697FCD41DF2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0785152"/>
        <c:axId val="120791040"/>
      </c:barChart>
      <c:catAx>
        <c:axId val="12078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791040"/>
        <c:crosses val="autoZero"/>
        <c:auto val="1"/>
        <c:lblAlgn val="ctr"/>
        <c:lblOffset val="100"/>
        <c:noMultiLvlLbl val="0"/>
      </c:catAx>
      <c:valAx>
        <c:axId val="12079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78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64F-401B-B5B6-F861985B4EB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64F-401B-B5B6-F861985B4EB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64F-401B-B5B6-F861985B4EB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64F-401B-B5B6-F861985B4EB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'Q4.09'!$D$25:$D$28</c:f>
              <c:numCache>
                <c:formatCode>General</c:formatCode>
                <c:ptCount val="4"/>
                <c:pt idx="0">
                  <c:v>3</c:v>
                </c:pt>
                <c:pt idx="1">
                  <c:v>5</c:v>
                </c:pt>
                <c:pt idx="2">
                  <c:v>3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64F-401B-B5B6-F861985B4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C3B-4D01-A452-6E3C4EECDF9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C3B-4D01-A452-6E3C4EECDF9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C3B-4D01-A452-6E3C4EECDF9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C3B-4D01-A452-6E3C4EECDF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C3B-4D01-A452-6E3C4EECD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E63-4736-AC8A-9087B4DA36E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E63-4736-AC8A-9087B4DA36E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E63-4736-AC8A-9087B4DA36E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E63-4736-AC8A-9087B4DA36E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E63-4736-AC8A-9087B4DA3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'Q4.123'!$C$6:$C$12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A52-46B8-9E17-E26526842A63}"/>
            </c:ext>
          </c:extLst>
        </c:ser>
        <c:ser>
          <c:idx val="1"/>
          <c:order val="1"/>
          <c:tx>
            <c:strRef>
              <c:f>'Q4.123'!$D$5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'Q4.123'!$D$6:$D$12</c:f>
              <c:numCache>
                <c:formatCode>General</c:formatCode>
                <c:ptCount val="7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A52-46B8-9E17-E26526842A6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0946048"/>
        <c:axId val="120947840"/>
      </c:barChart>
      <c:catAx>
        <c:axId val="120946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947840"/>
        <c:crosses val="autoZero"/>
        <c:auto val="1"/>
        <c:lblAlgn val="ctr"/>
        <c:lblOffset val="100"/>
        <c:noMultiLvlLbl val="0"/>
      </c:catAx>
      <c:valAx>
        <c:axId val="120947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94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7D0-454E-806E-7FD12D029E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7D0-454E-806E-7FD12D029E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7D0-454E-806E-7FD12D029E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7D0-454E-806E-7FD12D029E2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7D0-454E-806E-7FD12D029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024-4550-8698-22372544A97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024-4550-8698-22372544A97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024-4550-8698-22372544A97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024-4550-8698-22372544A97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024-4550-8698-22372544A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'Q4.124'!$C$6:$C$12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4C-4FAC-8F55-C835568B524E}"/>
            </c:ext>
          </c:extLst>
        </c:ser>
        <c:ser>
          <c:idx val="1"/>
          <c:order val="1"/>
          <c:tx>
            <c:strRef>
              <c:f>'Q4.124'!$D$5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'Q4.124'!$D$6:$D$12</c:f>
              <c:numCache>
                <c:formatCode>General</c:formatCode>
                <c:ptCount val="7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D4C-4FAC-8F55-C835568B52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1140352"/>
        <c:axId val="121141888"/>
      </c:barChart>
      <c:catAx>
        <c:axId val="121140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1141888"/>
        <c:crosses val="autoZero"/>
        <c:auto val="1"/>
        <c:lblAlgn val="ctr"/>
        <c:lblOffset val="100"/>
        <c:noMultiLvlLbl val="0"/>
      </c:catAx>
      <c:valAx>
        <c:axId val="121141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1140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48C-4E93-944D-E4EC4224B7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48C-4E93-944D-E4EC4224B7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48C-4E93-944D-E4EC4224B7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48C-4E93-944D-E4EC4224B7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48C-4E93-944D-E4EC4224B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F55-4A6B-A1E5-E4A1A50B637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F55-4A6B-A1E5-E4A1A50B637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F55-4A6B-A1E5-E4A1A50B637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F55-4A6B-A1E5-E4A1A50B637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F55-4A6B-A1E5-E4A1A50B6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'Q4.125'!$C$6:$C$12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E0E-4706-AF10-2F8E5AC88535}"/>
            </c:ext>
          </c:extLst>
        </c:ser>
        <c:ser>
          <c:idx val="1"/>
          <c:order val="1"/>
          <c:tx>
            <c:strRef>
              <c:f>'Q4.125'!$D$5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'Q4.125'!$D$6:$D$12</c:f>
              <c:numCache>
                <c:formatCode>General</c:formatCode>
                <c:ptCount val="7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E0E-4706-AF10-2F8E5AC8853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1616640"/>
        <c:axId val="121622528"/>
      </c:barChart>
      <c:catAx>
        <c:axId val="121616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1622528"/>
        <c:crosses val="autoZero"/>
        <c:auto val="1"/>
        <c:lblAlgn val="ctr"/>
        <c:lblOffset val="100"/>
        <c:noMultiLvlLbl val="0"/>
      </c:catAx>
      <c:valAx>
        <c:axId val="12162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1616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045-4F34-AB2A-F374026F156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045-4F34-AB2A-F374026F156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045-4F34-AB2A-F374026F156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045-4F34-AB2A-F374026F15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045-4F34-AB2A-F374026F1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'Q4.10'!$C$6:$C$12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E1-4DAC-8BFE-139438CCBF3C}"/>
            </c:ext>
          </c:extLst>
        </c:ser>
        <c:ser>
          <c:idx val="1"/>
          <c:order val="1"/>
          <c:tx>
            <c:strRef>
              <c:f>'Q4.10'!$D$5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'Q4.10'!$D$6:$D$12</c:f>
              <c:numCache>
                <c:formatCode>General</c:formatCode>
                <c:ptCount val="7"/>
                <c:pt idx="0">
                  <c:v>0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5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2E1-4DAC-8BFE-139438CCBF3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9839872"/>
        <c:axId val="109841408"/>
      </c:barChart>
      <c:catAx>
        <c:axId val="10983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841408"/>
        <c:crosses val="autoZero"/>
        <c:auto val="1"/>
        <c:lblAlgn val="ctr"/>
        <c:lblOffset val="100"/>
        <c:noMultiLvlLbl val="0"/>
      </c:catAx>
      <c:valAx>
        <c:axId val="109841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839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59C-4AA3-B141-0CC7AFD46D8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59C-4AA3-B141-0CC7AFD46D8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59C-4AA3-B141-0CC7AFD46D8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59C-4AA3-B141-0CC7AFD46D8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59C-4AA3-B141-0CC7AFD46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'Q4.126'!$C$6:$C$12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025-42A4-B8E3-F04E788800DC}"/>
            </c:ext>
          </c:extLst>
        </c:ser>
        <c:ser>
          <c:idx val="1"/>
          <c:order val="1"/>
          <c:tx>
            <c:strRef>
              <c:f>'Q4.126'!$D$5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'Q4.126'!$D$6:$D$12</c:f>
              <c:numCache>
                <c:formatCode>General</c:formatCode>
                <c:ptCount val="7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025-42A4-B8E3-F04E788800D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1924992"/>
        <c:axId val="121951360"/>
      </c:barChart>
      <c:catAx>
        <c:axId val="12192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1951360"/>
        <c:crosses val="autoZero"/>
        <c:auto val="1"/>
        <c:lblAlgn val="ctr"/>
        <c:lblOffset val="100"/>
        <c:noMultiLvlLbl val="0"/>
      </c:catAx>
      <c:valAx>
        <c:axId val="121951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1924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F10-44EA-888F-2926B690FC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F10-44EA-888F-2926B690FC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F10-44EA-888F-2926B690FC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F10-44EA-888F-2926B690FC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F10-44EA-888F-2926B690F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EE8-417D-A1D1-95C048A690B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EE8-417D-A1D1-95C048A690B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EE8-417D-A1D1-95C048A690B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EE8-417D-A1D1-95C048A690B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EE8-417D-A1D1-95C048A69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'Q4.127'!$C$6:$C$12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C52-484A-9391-9543FAFEC0B1}"/>
            </c:ext>
          </c:extLst>
        </c:ser>
        <c:ser>
          <c:idx val="1"/>
          <c:order val="1"/>
          <c:tx>
            <c:strRef>
              <c:f>'Q4.127'!$D$5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'Q4.127'!$D$6:$D$12</c:f>
              <c:numCache>
                <c:formatCode>General</c:formatCode>
                <c:ptCount val="7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C52-484A-9391-9543FAFEC0B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3290368"/>
        <c:axId val="123291904"/>
      </c:barChart>
      <c:catAx>
        <c:axId val="123290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291904"/>
        <c:crosses val="autoZero"/>
        <c:auto val="1"/>
        <c:lblAlgn val="ctr"/>
        <c:lblOffset val="100"/>
        <c:noMultiLvlLbl val="0"/>
      </c:catAx>
      <c:valAx>
        <c:axId val="123291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290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631-4664-AC71-329B7C7DAF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631-4664-AC71-329B7C7DAF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631-4664-AC71-329B7C7DAF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631-4664-AC71-329B7C7DAF0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631-4664-AC71-329B7C7DA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073-48A3-9B66-DD2CABDB122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073-48A3-9B66-DD2CABDB122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073-48A3-9B66-DD2CABDB122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073-48A3-9B66-DD2CABDB122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73-48A3-9B66-DD2CABDB1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'Q4.128'!$C$6:$C$12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F0-4645-A07E-F420F4E42CA7}"/>
            </c:ext>
          </c:extLst>
        </c:ser>
        <c:ser>
          <c:idx val="1"/>
          <c:order val="1"/>
          <c:tx>
            <c:strRef>
              <c:f>'Q4.128'!$D$5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'Q4.128'!$D$6:$D$12</c:f>
              <c:numCache>
                <c:formatCode>General</c:formatCode>
                <c:ptCount val="7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CF0-4645-A07E-F420F4E42CA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3074432"/>
        <c:axId val="123075968"/>
      </c:barChart>
      <c:catAx>
        <c:axId val="123074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075968"/>
        <c:crosses val="autoZero"/>
        <c:auto val="1"/>
        <c:lblAlgn val="ctr"/>
        <c:lblOffset val="100"/>
        <c:noMultiLvlLbl val="0"/>
      </c:catAx>
      <c:valAx>
        <c:axId val="12307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074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F78-4518-8AA2-CBBD32667F8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F78-4518-8AA2-CBBD32667F8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F78-4518-8AA2-CBBD32667F8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F78-4518-8AA2-CBBD32667F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F78-4518-8AA2-CBBD32667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865-43D1-ADCA-FD852DD60D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865-43D1-ADCA-FD852DD60D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865-43D1-ADCA-FD852DD60D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865-43D1-ADCA-FD852DD60D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'Q4.128'!$D$25:$D$28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865-43D1-ADCA-FD852DD60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9A2-4864-8E36-8515B1E58B3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9A2-4864-8E36-8515B1E58B3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9A2-4864-8E36-8515B1E58B3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9A2-4864-8E36-8515B1E58B3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9A2-4864-8E36-8515B1E58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'Q4.130'!$B$6:$B$8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'Q4.130'!$C$6:$C$8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B9-4AF2-B00E-E41507A200CA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'Q4.130'!$B$6:$B$8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'Q4.130'!$D$6:$D$8</c:f>
              <c:numCache>
                <c:formatCode>General</c:formatCode>
                <c:ptCount val="3"/>
                <c:pt idx="0">
                  <c:v>0</c:v>
                </c:pt>
                <c:pt idx="1">
                  <c:v>5</c:v>
                </c:pt>
                <c:pt idx="2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CB9-4AF2-B00E-E41507A200C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3485184"/>
        <c:axId val="123491072"/>
      </c:barChart>
      <c:catAx>
        <c:axId val="123485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491072"/>
        <c:crosses val="autoZero"/>
        <c:auto val="1"/>
        <c:lblAlgn val="ctr"/>
        <c:lblOffset val="100"/>
        <c:noMultiLvlLbl val="0"/>
      </c:catAx>
      <c:valAx>
        <c:axId val="123491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485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'Q4.131'!$C$6:$C$12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02-47CE-911A-09D4F11D66F6}"/>
            </c:ext>
          </c:extLst>
        </c:ser>
        <c:ser>
          <c:idx val="1"/>
          <c:order val="1"/>
          <c:tx>
            <c:strRef>
              <c:f>'Q4.131'!$D$5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'Q4.131'!$D$6:$D$12</c:f>
              <c:numCache>
                <c:formatCode>General</c:formatCode>
                <c:ptCount val="7"/>
                <c:pt idx="0">
                  <c:v>8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602-47CE-911A-09D4F11D66F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3444608"/>
        <c:axId val="123536512"/>
      </c:barChart>
      <c:catAx>
        <c:axId val="12344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536512"/>
        <c:crosses val="autoZero"/>
        <c:auto val="1"/>
        <c:lblAlgn val="ctr"/>
        <c:lblOffset val="100"/>
        <c:noMultiLvlLbl val="0"/>
      </c:catAx>
      <c:valAx>
        <c:axId val="123536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444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078-4117-8350-66EA5BCCB68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078-4117-8350-66EA5BCCB68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078-4117-8350-66EA5BCCB68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078-4117-8350-66EA5BCCB68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078-4117-8350-66EA5BCCB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673-4527-9591-2F1CB2D1188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673-4527-9591-2F1CB2D1188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673-4527-9591-2F1CB2D1188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673-4527-9591-2F1CB2D118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'Q4.131'!$D$25:$D$28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673-4527-9591-2F1CB2D11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'Q4.132'!$C$6:$C$12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054-4AE3-993C-22627439A93F}"/>
            </c:ext>
          </c:extLst>
        </c:ser>
        <c:ser>
          <c:idx val="1"/>
          <c:order val="1"/>
          <c:tx>
            <c:strRef>
              <c:f>'Q4.132'!$D$5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'Q4.132'!$D$6:$D$12</c:f>
              <c:numCache>
                <c:formatCode>General</c:formatCode>
                <c:ptCount val="7"/>
                <c:pt idx="0">
                  <c:v>8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054-4AE3-993C-22627439A93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9829632"/>
        <c:axId val="123504896"/>
      </c:barChart>
      <c:catAx>
        <c:axId val="11982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504896"/>
        <c:crosses val="autoZero"/>
        <c:auto val="1"/>
        <c:lblAlgn val="ctr"/>
        <c:lblOffset val="100"/>
        <c:noMultiLvlLbl val="0"/>
      </c:catAx>
      <c:valAx>
        <c:axId val="123504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9829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733-4465-8F76-C801355FDEA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733-4465-8F76-C801355FDEA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733-4465-8F76-C801355FDEA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733-4465-8F76-C801355FDE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733-4465-8F76-C801355FD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72C-421A-8DA7-FFDA38ABA25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72C-421A-8DA7-FFDA38ABA25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72C-421A-8DA7-FFDA38ABA25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72C-421A-8DA7-FFDA38ABA2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'Q4.132'!$D$25:$D$28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72C-421A-8DA7-FFDA38ABA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'Q4.133'!$C$6:$C$12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14-432B-B129-9AD218DFE241}"/>
            </c:ext>
          </c:extLst>
        </c:ser>
        <c:ser>
          <c:idx val="1"/>
          <c:order val="1"/>
          <c:tx>
            <c:strRef>
              <c:f>'Q4.133'!$D$5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'Q4.133'!$D$6:$D$12</c:f>
              <c:numCache>
                <c:formatCode>General</c:formatCode>
                <c:ptCount val="7"/>
                <c:pt idx="0">
                  <c:v>8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F14-432B-B129-9AD218DFE24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4082048"/>
        <c:axId val="124083584"/>
      </c:barChart>
      <c:catAx>
        <c:axId val="124082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083584"/>
        <c:crosses val="autoZero"/>
        <c:auto val="1"/>
        <c:lblAlgn val="ctr"/>
        <c:lblOffset val="100"/>
        <c:noMultiLvlLbl val="0"/>
      </c:catAx>
      <c:valAx>
        <c:axId val="124083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082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7E1-42C1-BC05-E0E8930C21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7E1-42C1-BC05-E0E8930C21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7E1-42C1-BC05-E0E8930C21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7E1-42C1-BC05-E0E8930C213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7E1-42C1-BC05-E0E8930C2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4F8-491F-A428-99A485DE3AE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4F8-491F-A428-99A485DE3AE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4F8-491F-A428-99A485DE3AE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4F8-491F-A428-99A485DE3A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'Q4.133'!$D$25:$D$28</c:f>
              <c:numCache>
                <c:formatCode>General</c:formatCode>
                <c:ptCount val="4"/>
                <c:pt idx="0">
                  <c:v>0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4F8-491F-A428-99A485DE3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D5F-4BE1-BDD0-4997BD0C415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D5F-4BE1-BDD0-4997BD0C415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D5F-4BE1-BDD0-4997BD0C415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D5F-4BE1-BDD0-4997BD0C415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'Q4.10'!$D$25:$D$28</c:f>
              <c:numCache>
                <c:formatCode>General</c:formatCode>
                <c:ptCount val="4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D5F-4BE1-BDD0-4997BD0C4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'Q4.134'!$C$6:$C$12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B3F-4F2A-B757-25C87118AC6A}"/>
            </c:ext>
          </c:extLst>
        </c:ser>
        <c:ser>
          <c:idx val="1"/>
          <c:order val="1"/>
          <c:tx>
            <c:strRef>
              <c:f>'Q4.134'!$D$5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'Q4.134'!$D$6:$D$12</c:f>
              <c:numCache>
                <c:formatCode>General</c:formatCode>
                <c:ptCount val="7"/>
                <c:pt idx="0">
                  <c:v>8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B3F-4F2A-B757-25C87118AC6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4386304"/>
        <c:axId val="124396288"/>
      </c:barChart>
      <c:catAx>
        <c:axId val="124386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396288"/>
        <c:crosses val="autoZero"/>
        <c:auto val="1"/>
        <c:lblAlgn val="ctr"/>
        <c:lblOffset val="100"/>
        <c:noMultiLvlLbl val="0"/>
      </c:catAx>
      <c:valAx>
        <c:axId val="124396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386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A7B-4977-8A86-437BC3DF3B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A7B-4977-8A86-437BC3DF3B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A7B-4977-8A86-437BC3DF3B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A7B-4977-8A86-437BC3DF3B3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A7B-4977-8A86-437BC3DF3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CBC-40F5-B26F-6DD20EA483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CBC-40F5-B26F-6DD20EA483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CBC-40F5-B26F-6DD20EA483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CBC-40F5-B26F-6DD20EA483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'Q4.134'!$D$25:$D$28</c:f>
              <c:numCache>
                <c:formatCode>General</c:formatCode>
                <c:ptCount val="4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CBC-40F5-B26F-6DD20EA48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'Q4.135'!$C$6:$C$12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FD-4589-8829-96FBAE00699B}"/>
            </c:ext>
          </c:extLst>
        </c:ser>
        <c:ser>
          <c:idx val="1"/>
          <c:order val="1"/>
          <c:tx>
            <c:strRef>
              <c:f>'Q4.135'!$D$5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'Q4.135'!$D$6:$D$12</c:f>
              <c:numCache>
                <c:formatCode>General</c:formatCode>
                <c:ptCount val="7"/>
                <c:pt idx="0">
                  <c:v>8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6FD-4589-8829-96FBAE00699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4768640"/>
        <c:axId val="124770176"/>
      </c:barChart>
      <c:catAx>
        <c:axId val="124768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770176"/>
        <c:crosses val="autoZero"/>
        <c:auto val="1"/>
        <c:lblAlgn val="ctr"/>
        <c:lblOffset val="100"/>
        <c:noMultiLvlLbl val="0"/>
      </c:catAx>
      <c:valAx>
        <c:axId val="124770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768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E4F-4ADA-92EB-2E13C64AF4F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E4F-4ADA-92EB-2E13C64AF4F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E4F-4ADA-92EB-2E13C64AF4F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E4F-4ADA-92EB-2E13C64AF4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E4F-4ADA-92EB-2E13C64AF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234-4A4F-8B21-34C765A7F1F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234-4A4F-8B21-34C765A7F1F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234-4A4F-8B21-34C765A7F1F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234-4A4F-8B21-34C765A7F1F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'Q4.135'!$D$25:$D$28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234-4A4F-8B21-34C765A7F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'Q4.136'!$C$6:$C$12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19-4F7C-84C1-28182CE09D4B}"/>
            </c:ext>
          </c:extLst>
        </c:ser>
        <c:ser>
          <c:idx val="1"/>
          <c:order val="1"/>
          <c:tx>
            <c:strRef>
              <c:f>'Q4.136'!$D$5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'Q4.136'!$D$6:$D$12</c:f>
              <c:numCache>
                <c:formatCode>General</c:formatCode>
                <c:ptCount val="7"/>
                <c:pt idx="0">
                  <c:v>8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19-4F7C-84C1-28182CE09D4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5187968"/>
        <c:axId val="125189504"/>
      </c:barChart>
      <c:catAx>
        <c:axId val="12518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189504"/>
        <c:crosses val="autoZero"/>
        <c:auto val="1"/>
        <c:lblAlgn val="ctr"/>
        <c:lblOffset val="100"/>
        <c:noMultiLvlLbl val="0"/>
      </c:catAx>
      <c:valAx>
        <c:axId val="125189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187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3F-494F-99BC-BB9A8083991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3F-494F-99BC-BB9A8083991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3F-494F-99BC-BB9A8083991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13F-494F-99BC-BB9A808399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13F-494F-99BC-BB9A80839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DA9-477A-B38F-50B5B3AFBA5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DA9-477A-B38F-50B5B3AFBA5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DA9-477A-B38F-50B5B3AFBA5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DA9-477A-B38F-50B5B3AFBA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'Q4.136'!$D$25:$D$28</c:f>
              <c:numCache>
                <c:formatCode>General</c:formatCode>
                <c:ptCount val="4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DA9-477A-B38F-50B5B3AFB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'Q4.11'!$C$6:$C$12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A1-4950-A440-63C4273E2897}"/>
            </c:ext>
          </c:extLst>
        </c:ser>
        <c:ser>
          <c:idx val="1"/>
          <c:order val="1"/>
          <c:tx>
            <c:strRef>
              <c:f>'Q4.11'!$D$5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'Q4.11'!$D$6:$D$12</c:f>
              <c:numCache>
                <c:formatCode>General</c:formatCode>
                <c:ptCount val="7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6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1A1-4950-A440-63C4273E289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0156416"/>
        <c:axId val="110158208"/>
      </c:barChart>
      <c:catAx>
        <c:axId val="110156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0158208"/>
        <c:crosses val="autoZero"/>
        <c:auto val="1"/>
        <c:lblAlgn val="ctr"/>
        <c:lblOffset val="100"/>
        <c:noMultiLvlLbl val="0"/>
      </c:catAx>
      <c:valAx>
        <c:axId val="110158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0156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7C8-45F6-B65F-590BFBAB372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7C8-45F6-B65F-590BFBAB372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7C8-45F6-B65F-590BFBAB372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7C8-45F6-B65F-590BFBAB372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'Q4.11'!$D$18:$D$21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7C8-45F6-B65F-590BFBAB3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125-40A3-B231-88F0D25F9E0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125-40A3-B231-88F0D25F9E0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125-40A3-B231-88F0D25F9E0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125-40A3-B231-88F0D25F9E0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'Q4.11'!$D$25:$D$28</c:f>
              <c:numCache>
                <c:formatCode>General</c:formatCode>
                <c:ptCount val="4"/>
                <c:pt idx="0">
                  <c:v>3</c:v>
                </c:pt>
                <c:pt idx="1">
                  <c:v>2</c:v>
                </c:pt>
                <c:pt idx="2">
                  <c:v>6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125-40A3-B231-88F0D25F9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'Q4.12'!$C$6:$C$12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24B-43F3-8380-521165568FB4}"/>
            </c:ext>
          </c:extLst>
        </c:ser>
        <c:ser>
          <c:idx val="1"/>
          <c:order val="1"/>
          <c:tx>
            <c:strRef>
              <c:f>'Q4.12'!$D$5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'Q4.12'!$D$6:$D$12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1</c:v>
                </c:pt>
                <c:pt idx="4">
                  <c:v>4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24B-43F3-8380-521165568F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7461760"/>
        <c:axId val="117463296"/>
      </c:barChart>
      <c:catAx>
        <c:axId val="117461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7463296"/>
        <c:crosses val="autoZero"/>
        <c:auto val="1"/>
        <c:lblAlgn val="ctr"/>
        <c:lblOffset val="100"/>
        <c:noMultiLvlLbl val="0"/>
      </c:catAx>
      <c:valAx>
        <c:axId val="11746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7461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QTPB!$C$5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QTPB!$B$6:$B$8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QTPB!$C$6:$C$8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780-4092-B2CC-7AEEBFED05DA}"/>
            </c:ext>
          </c:extLst>
        </c:ser>
        <c:ser>
          <c:idx val="1"/>
          <c:order val="1"/>
          <c:tx>
            <c:strRef>
              <c:f>QTPB!$D$5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QTPB!$B$6:$B$8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QTPB!$D$6:$D$8</c:f>
              <c:numCache>
                <c:formatCode>General</c:formatCode>
                <c:ptCount val="3"/>
                <c:pt idx="0">
                  <c:v>0</c:v>
                </c:pt>
                <c:pt idx="1">
                  <c:v>13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780-4092-B2CC-7AEEBFED05D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710912"/>
        <c:axId val="84712448"/>
      </c:barChart>
      <c:catAx>
        <c:axId val="84710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712448"/>
        <c:crosses val="autoZero"/>
        <c:auto val="1"/>
        <c:lblAlgn val="ctr"/>
        <c:lblOffset val="100"/>
        <c:noMultiLvlLbl val="0"/>
      </c:catAx>
      <c:valAx>
        <c:axId val="84712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710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575-42AA-B649-DD9DCD91998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575-42AA-B649-DD9DCD91998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575-42AA-B649-DD9DCD91998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575-42AA-B649-DD9DCD9199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'Q4.12'!$D$18:$D$21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575-42AA-B649-DD9DCD919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7D1-4787-BBDE-524E23C66B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7D1-4787-BBDE-524E23C66B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7D1-4787-BBDE-524E23C66B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7D1-4787-BBDE-524E23C66B3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'Q4.12'!$D$25:$D$28</c:f>
              <c:numCache>
                <c:formatCode>General</c:formatCode>
                <c:ptCount val="4"/>
                <c:pt idx="0">
                  <c:v>5</c:v>
                </c:pt>
                <c:pt idx="1">
                  <c:v>1</c:v>
                </c:pt>
                <c:pt idx="2">
                  <c:v>4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7D1-4787-BBDE-524E23C66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'Q4.13'!$C$6:$C$12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37-45B9-A2A8-1261999FBF3E}"/>
            </c:ext>
          </c:extLst>
        </c:ser>
        <c:ser>
          <c:idx val="1"/>
          <c:order val="1"/>
          <c:tx>
            <c:strRef>
              <c:f>'Q4.13'!$D$5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'Q4.13'!$D$6:$D$12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7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37-45B9-A2A8-1261999FBF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9965568"/>
        <c:axId val="119967104"/>
      </c:barChart>
      <c:catAx>
        <c:axId val="11996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9967104"/>
        <c:crosses val="autoZero"/>
        <c:auto val="1"/>
        <c:lblAlgn val="ctr"/>
        <c:lblOffset val="100"/>
        <c:noMultiLvlLbl val="0"/>
      </c:catAx>
      <c:valAx>
        <c:axId val="119967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9965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2B2-4463-BFC5-3A1A29996AB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2B2-4463-BFC5-3A1A29996AB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2B2-4463-BFC5-3A1A29996AB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2B2-4463-BFC5-3A1A29996AB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'Q4.13'!$D$18:$D$21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2B2-4463-BFC5-3A1A29996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D17-4255-A78E-4DF947A9237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D17-4255-A78E-4DF947A9237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D17-4255-A78E-4DF947A9237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D17-4255-A78E-4DF947A9237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'Q4.13'!$D$25:$D$28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7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D17-4255-A78E-4DF947A92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'Q4.14'!$C$6:$C$12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CA-4885-A66B-710FCB31F81F}"/>
            </c:ext>
          </c:extLst>
        </c:ser>
        <c:ser>
          <c:idx val="1"/>
          <c:order val="1"/>
          <c:tx>
            <c:strRef>
              <c:f>'Q4.14'!$D$5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'Q4.14'!$D$6:$D$12</c:f>
              <c:numCache>
                <c:formatCode>General</c:formatCode>
                <c:ptCount val="7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5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0CA-4885-A66B-710FCB31F81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0765440"/>
        <c:axId val="120771328"/>
      </c:barChart>
      <c:catAx>
        <c:axId val="120765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771328"/>
        <c:crosses val="autoZero"/>
        <c:auto val="1"/>
        <c:lblAlgn val="ctr"/>
        <c:lblOffset val="100"/>
        <c:noMultiLvlLbl val="0"/>
      </c:catAx>
      <c:valAx>
        <c:axId val="120771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765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42C-4E38-A91D-2E6A6EF9CB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42C-4E38-A91D-2E6A6EF9CB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42C-4E38-A91D-2E6A6EF9C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42C-4E38-A91D-2E6A6EF9CB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'Q4.14'!$D$18:$D$21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42C-4E38-A91D-2E6A6EF9C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526-44BD-B112-B1EDDC3B331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526-44BD-B112-B1EDDC3B331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526-44BD-B112-B1EDDC3B331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526-44BD-B112-B1EDDC3B331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'Q4.14'!$D$25:$D$28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526-44BD-B112-B1EDDC3B3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'Q4.15'!$C$6:$C$12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723-463E-A4D3-75EA3CDE636F}"/>
            </c:ext>
          </c:extLst>
        </c:ser>
        <c:ser>
          <c:idx val="1"/>
          <c:order val="1"/>
          <c:tx>
            <c:strRef>
              <c:f>'Q4.15'!$D$5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'Q4.15'!$D$6:$D$12</c:f>
              <c:numCache>
                <c:formatCode>General</c:formatCode>
                <c:ptCount val="7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723-463E-A4D3-75EA3CDE636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1303424"/>
        <c:axId val="121304960"/>
      </c:barChart>
      <c:catAx>
        <c:axId val="12130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1304960"/>
        <c:crosses val="autoZero"/>
        <c:auto val="1"/>
        <c:lblAlgn val="ctr"/>
        <c:lblOffset val="100"/>
        <c:noMultiLvlLbl val="0"/>
      </c:catAx>
      <c:valAx>
        <c:axId val="121304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130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FE2-44A0-B7EE-5B23B673EAD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FE2-44A0-B7EE-5B23B673EAD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FE2-44A0-B7EE-5B23B673EAD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FE2-44A0-B7EE-5B23B673EA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'Q4.15'!$D$18:$D$21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FE2-44A0-B7EE-5B23B673E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QTPC!$C$5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QTPC!$B$6:$B$12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QTPC!$C$6:$C$12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3</c:v>
                </c:pt>
                <c:pt idx="4">
                  <c:v>1</c:v>
                </c:pt>
                <c:pt idx="5">
                  <c:v>4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4CD-4A3D-A8EE-A2F83D786B79}"/>
            </c:ext>
          </c:extLst>
        </c:ser>
        <c:ser>
          <c:idx val="1"/>
          <c:order val="1"/>
          <c:tx>
            <c:strRef>
              <c:f>QTPC!$D$5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QTPC!$B$6:$B$12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QTPC!$D$6:$D$12</c:f>
              <c:numCache>
                <c:formatCode>General</c:formatCode>
                <c:ptCount val="7"/>
                <c:pt idx="0">
                  <c:v>0</c:v>
                </c:pt>
                <c:pt idx="1">
                  <c:v>6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4CD-4A3D-A8EE-A2F83D786B7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785408"/>
        <c:axId val="84799488"/>
      </c:barChart>
      <c:catAx>
        <c:axId val="8478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799488"/>
        <c:crosses val="autoZero"/>
        <c:auto val="1"/>
        <c:lblAlgn val="ctr"/>
        <c:lblOffset val="100"/>
        <c:noMultiLvlLbl val="0"/>
      </c:catAx>
      <c:valAx>
        <c:axId val="84799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785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06B-46F0-B82E-D6F3ED303C5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06B-46F0-B82E-D6F3ED303C5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06B-46F0-B82E-D6F3ED303C5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06B-46F0-B82E-D6F3ED303C5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'Q4.15'!$D$25:$D$28</c:f>
              <c:numCache>
                <c:formatCode>General</c:formatCode>
                <c:ptCount val="4"/>
                <c:pt idx="0">
                  <c:v>3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06B-46F0-B82E-D6F3ED303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'Q4.16'!$C$6:$C$12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F8-4E29-8B43-F792F077DE5A}"/>
            </c:ext>
          </c:extLst>
        </c:ser>
        <c:ser>
          <c:idx val="1"/>
          <c:order val="1"/>
          <c:tx>
            <c:strRef>
              <c:f>'Q4.16'!$D$5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'Q4.16'!$D$6:$D$12</c:f>
              <c:numCache>
                <c:formatCode>General</c:formatCode>
                <c:ptCount val="7"/>
                <c:pt idx="0">
                  <c:v>0</c:v>
                </c:pt>
                <c:pt idx="1">
                  <c:v>5</c:v>
                </c:pt>
                <c:pt idx="2">
                  <c:v>1</c:v>
                </c:pt>
                <c:pt idx="3">
                  <c:v>0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F8-4E29-8B43-F792F077DE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3381248"/>
        <c:axId val="123382784"/>
      </c:barChart>
      <c:catAx>
        <c:axId val="12338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382784"/>
        <c:crosses val="autoZero"/>
        <c:auto val="1"/>
        <c:lblAlgn val="ctr"/>
        <c:lblOffset val="100"/>
        <c:noMultiLvlLbl val="0"/>
      </c:catAx>
      <c:valAx>
        <c:axId val="123382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381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E7-4C01-8510-5995AB3C12D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E7-4C01-8510-5995AB3C12D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E7-4C01-8510-5995AB3C12D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E7-4C01-8510-5995AB3C12D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'Q4.16'!$D$18:$D$21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AE7-4C01-8510-5995AB3C1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DD-46E2-B7BB-D8261306258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DD-46E2-B7BB-D8261306258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DD-46E2-B7BB-D8261306258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1DD-46E2-B7BB-D8261306258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'Q4.16'!$D$25:$D$28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3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1DD-46E2-B7BB-D82613062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'Q4.17'!$C$6:$C$12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A8-42D3-AE63-2631D5C4D4FC}"/>
            </c:ext>
          </c:extLst>
        </c:ser>
        <c:ser>
          <c:idx val="1"/>
          <c:order val="1"/>
          <c:tx>
            <c:strRef>
              <c:f>'Q4.17'!$D$5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'Q4.17'!$D$6:$D$12</c:f>
              <c:numCache>
                <c:formatCode>General</c:formatCode>
                <c:ptCount val="7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1A8-42D3-AE63-2631D5C4D4F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4315904"/>
        <c:axId val="124452864"/>
      </c:barChart>
      <c:catAx>
        <c:axId val="12431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452864"/>
        <c:crosses val="autoZero"/>
        <c:auto val="1"/>
        <c:lblAlgn val="ctr"/>
        <c:lblOffset val="100"/>
        <c:noMultiLvlLbl val="0"/>
      </c:catAx>
      <c:valAx>
        <c:axId val="12445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315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D61-491C-B6D1-2F6E634627B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D61-491C-B6D1-2F6E634627B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D61-491C-B6D1-2F6E634627B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D61-491C-B6D1-2F6E634627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'Q4.17'!$D$18:$D$21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D61-491C-B6D1-2F6E63462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834-44E5-AC92-7A00A11E3A8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834-44E5-AC92-7A00A11E3A8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834-44E5-AC92-7A00A11E3A8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834-44E5-AC92-7A00A11E3A8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'Q4.17'!$D$25:$D$28</c:f>
              <c:numCache>
                <c:formatCode>General</c:formatCode>
                <c:ptCount val="4"/>
                <c:pt idx="0">
                  <c:v>2</c:v>
                </c:pt>
                <c:pt idx="1">
                  <c:v>1</c:v>
                </c:pt>
                <c:pt idx="2">
                  <c:v>4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834-44E5-AC92-7A00A11E3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'Q4.19'!$C$5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'Q4.19'!$B$6:$B$8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'Q4.19'!$C$6:$C$8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920-42E6-BB84-36F2F70D5E52}"/>
            </c:ext>
          </c:extLst>
        </c:ser>
        <c:ser>
          <c:idx val="1"/>
          <c:order val="1"/>
          <c:tx>
            <c:strRef>
              <c:f>'Q4.19'!$D$5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'Q4.19'!$B$6:$B$8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'Q4.19'!$D$6:$D$8</c:f>
              <c:numCache>
                <c:formatCode>General</c:formatCode>
                <c:ptCount val="3"/>
                <c:pt idx="0">
                  <c:v>0</c:v>
                </c:pt>
                <c:pt idx="1">
                  <c:v>9</c:v>
                </c:pt>
                <c:pt idx="2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920-42E6-BB84-36F2F70D5E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5795712"/>
        <c:axId val="125822080"/>
      </c:barChart>
      <c:catAx>
        <c:axId val="125795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822080"/>
        <c:crosses val="autoZero"/>
        <c:auto val="1"/>
        <c:lblAlgn val="ctr"/>
        <c:lblOffset val="100"/>
        <c:noMultiLvlLbl val="0"/>
      </c:catAx>
      <c:valAx>
        <c:axId val="12582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795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'Q4.20'!$C$6:$C$12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31-42C0-AC6F-F1E85BF38C3D}"/>
            </c:ext>
          </c:extLst>
        </c:ser>
        <c:ser>
          <c:idx val="1"/>
          <c:order val="1"/>
          <c:tx>
            <c:strRef>
              <c:f>'Q4.20'!$D$5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'Q4.20'!$D$6:$D$12</c:f>
              <c:numCache>
                <c:formatCode>General</c:formatCode>
                <c:ptCount val="7"/>
                <c:pt idx="0">
                  <c:v>4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31-42C0-AC6F-F1E85BF38C3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6402944"/>
        <c:axId val="126404480"/>
      </c:barChart>
      <c:catAx>
        <c:axId val="12640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6404480"/>
        <c:crosses val="autoZero"/>
        <c:auto val="1"/>
        <c:lblAlgn val="ctr"/>
        <c:lblOffset val="100"/>
        <c:noMultiLvlLbl val="0"/>
      </c:catAx>
      <c:valAx>
        <c:axId val="126404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6402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97E-47BB-9768-CCB227E08A9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97E-47BB-9768-CCB227E08A9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97E-47BB-9768-CCB227E08A9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97E-47BB-9768-CCB227E08A9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97E-47BB-9768-CCB227E08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QTPC!$D$17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29E-4624-A697-2B6C2EE2A15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29E-4624-A697-2B6C2EE2A15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29E-4624-A697-2B6C2EE2A15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29E-4624-A697-2B6C2EE2A15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QTPC!$C$18:$C$21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QTPC!$D$18:$D$21</c:f>
              <c:numCache>
                <c:formatCode>General</c:formatCode>
                <c:ptCount val="4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29E-4624-A697-2B6C2EE2A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29F-42A4-99A3-8DC2E2666B5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29F-42A4-99A3-8DC2E2666B5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29F-42A4-99A3-8DC2E2666B5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29F-42A4-99A3-8DC2E2666B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'Q4.20'!$D$25:$D$28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29F-42A4-99A3-8DC2E2666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'Q4.21'!$C$6:$C$12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D12-487C-A587-BC98B51A2F8D}"/>
            </c:ext>
          </c:extLst>
        </c:ser>
        <c:ser>
          <c:idx val="1"/>
          <c:order val="1"/>
          <c:tx>
            <c:strRef>
              <c:f>'Q4.21'!$D$5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'Q4.21'!$D$6:$D$12</c:f>
              <c:numCache>
                <c:formatCode>General</c:formatCode>
                <c:ptCount val="7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D12-487C-A587-BC98B51A2F8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7481344"/>
        <c:axId val="127482880"/>
      </c:barChart>
      <c:catAx>
        <c:axId val="127481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482880"/>
        <c:crosses val="autoZero"/>
        <c:auto val="1"/>
        <c:lblAlgn val="ctr"/>
        <c:lblOffset val="100"/>
        <c:noMultiLvlLbl val="0"/>
      </c:catAx>
      <c:valAx>
        <c:axId val="127482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481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25E-4112-AA95-83C10B27FCA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25E-4112-AA95-83C10B27FCA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25E-4112-AA95-83C10B27FCA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25E-4112-AA95-83C10B27FCA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'Q4.21'!$D$18:$D$21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25E-4112-AA95-83C10B27F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EC7-468E-B055-3D1E1C26E4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EC7-468E-B055-3D1E1C26E4C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EC7-468E-B055-3D1E1C26E4C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EC7-468E-B055-3D1E1C26E4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'Q4.21'!$D$25:$D$28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EC7-468E-B055-3D1E1C26E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'Q4.22'!$C$6:$C$12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93-4E76-A6B4-10F3BA57ACC8}"/>
            </c:ext>
          </c:extLst>
        </c:ser>
        <c:ser>
          <c:idx val="1"/>
          <c:order val="1"/>
          <c:tx>
            <c:strRef>
              <c:f>'Q4.22'!$D$5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'Q4.22'!$D$6:$D$12</c:f>
              <c:numCache>
                <c:formatCode>General</c:formatCode>
                <c:ptCount val="7"/>
                <c:pt idx="0">
                  <c:v>4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293-4E76-A6B4-10F3BA57AC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7814656"/>
        <c:axId val="127820544"/>
      </c:barChart>
      <c:catAx>
        <c:axId val="127814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820544"/>
        <c:crosses val="autoZero"/>
        <c:auto val="1"/>
        <c:lblAlgn val="ctr"/>
        <c:lblOffset val="100"/>
        <c:noMultiLvlLbl val="0"/>
      </c:catAx>
      <c:valAx>
        <c:axId val="127820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81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048-497C-9197-3BB4286440E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048-497C-9197-3BB4286440E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048-497C-9197-3BB4286440E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048-497C-9197-3BB4286440E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'Q4.22'!$D$18:$D$21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048-497C-9197-3BB428644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2C3-4247-ADE1-9039249F71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2C3-4247-ADE1-9039249F71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2C3-4247-ADE1-9039249F71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2C3-4247-ADE1-9039249F71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'Q4.22'!$D$25:$D$28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2C3-4247-ADE1-9039249F7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23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'Q4.23'!$C$6:$C$12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778-4DD1-8E71-6AA79C360137}"/>
            </c:ext>
          </c:extLst>
        </c:ser>
        <c:ser>
          <c:idx val="1"/>
          <c:order val="1"/>
          <c:tx>
            <c:strRef>
              <c:f>'Q4.23'!$D$5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'Q4.23'!$D$6:$D$12</c:f>
              <c:numCache>
                <c:formatCode>General</c:formatCode>
                <c:ptCount val="7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778-4DD1-8E71-6AA79C36013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0482560"/>
        <c:axId val="130484096"/>
      </c:barChart>
      <c:catAx>
        <c:axId val="13048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484096"/>
        <c:crosses val="autoZero"/>
        <c:auto val="1"/>
        <c:lblAlgn val="ctr"/>
        <c:lblOffset val="100"/>
        <c:noMultiLvlLbl val="0"/>
      </c:catAx>
      <c:valAx>
        <c:axId val="130484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482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CCC-4D1B-BA1F-7EE91A8D834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CCC-4D1B-BA1F-7EE91A8D834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CCC-4D1B-BA1F-7EE91A8D834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CCC-4D1B-BA1F-7EE91A8D83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'Q4.23'!$D$18:$D$21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CCC-4D1B-BA1F-7EE91A8D8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EEC-4634-B0F0-1A47841C789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EEC-4634-B0F0-1A47841C789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EEC-4634-B0F0-1A47841C789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EEC-4634-B0F0-1A47841C78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'Q4.23'!$D$25:$D$28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EEC-4634-B0F0-1A47841C7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QTPC!$D$24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538-43A1-AC72-508232B12B4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538-43A1-AC72-508232B12B4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538-43A1-AC72-508232B12B4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538-43A1-AC72-508232B12B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QTPC!$C$25:$C$28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QTPC!$D$25:$D$28</c:f>
              <c:numCache>
                <c:formatCode>General</c:formatCode>
                <c:ptCount val="4"/>
                <c:pt idx="0">
                  <c:v>0</c:v>
                </c:pt>
                <c:pt idx="1">
                  <c:v>6</c:v>
                </c:pt>
                <c:pt idx="2">
                  <c:v>2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538-43A1-AC72-508232B12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'Q4.24'!$C$5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'Q4.24'!$B$6:$B$8</c:f>
              <c:strCache>
                <c:ptCount val="3"/>
                <c:pt idx="0">
                  <c:v>Não responderam</c:v>
                </c:pt>
                <c:pt idx="1">
                  <c:v>Técnico</c:v>
                </c:pt>
                <c:pt idx="2">
                  <c:v>Docente</c:v>
                </c:pt>
              </c:strCache>
            </c:strRef>
          </c:cat>
          <c:val>
            <c:numRef>
              <c:f>'Q4.24'!$C$6:$C$8</c:f>
              <c:numCache>
                <c:formatCode>General</c:formatCode>
                <c:ptCount val="3"/>
                <c:pt idx="0">
                  <c:v>0</c:v>
                </c:pt>
                <c:pt idx="1">
                  <c:v>11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52C-4633-A151-9C6883B7A52F}"/>
            </c:ext>
          </c:extLst>
        </c:ser>
        <c:ser>
          <c:idx val="1"/>
          <c:order val="1"/>
          <c:tx>
            <c:strRef>
              <c:f>'Q4.24'!$D$5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'Q4.24'!$B$6:$B$8</c:f>
              <c:strCache>
                <c:ptCount val="3"/>
                <c:pt idx="0">
                  <c:v>Não responderam</c:v>
                </c:pt>
                <c:pt idx="1">
                  <c:v>Técnico</c:v>
                </c:pt>
                <c:pt idx="2">
                  <c:v>Docente</c:v>
                </c:pt>
              </c:strCache>
            </c:strRef>
          </c:cat>
          <c:val>
            <c:numRef>
              <c:f>'Q4.24'!$D$6:$D$8</c:f>
              <c:numCache>
                <c:formatCode>General</c:formatCode>
                <c:ptCount val="3"/>
                <c:pt idx="0">
                  <c:v>0</c:v>
                </c:pt>
                <c:pt idx="1">
                  <c:v>5</c:v>
                </c:pt>
                <c:pt idx="2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52C-4633-A151-9C6883B7A5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2724224"/>
        <c:axId val="132725760"/>
      </c:barChart>
      <c:catAx>
        <c:axId val="13272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725760"/>
        <c:crosses val="autoZero"/>
        <c:auto val="1"/>
        <c:lblAlgn val="ctr"/>
        <c:lblOffset val="100"/>
        <c:noMultiLvlLbl val="0"/>
      </c:catAx>
      <c:valAx>
        <c:axId val="132725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724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'Q4.25'!$C$6:$C$12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2E-4CEB-ADEA-86D4459B610D}"/>
            </c:ext>
          </c:extLst>
        </c:ser>
        <c:ser>
          <c:idx val="1"/>
          <c:order val="1"/>
          <c:tx>
            <c:strRef>
              <c:f>'Q4.25'!$D$5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'Q4.25'!$D$6:$D$12</c:f>
              <c:numCache>
                <c:formatCode>General</c:formatCode>
                <c:ptCount val="7"/>
                <c:pt idx="0">
                  <c:v>4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2E-4CEB-ADEA-86D4459B610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2806528"/>
        <c:axId val="132808064"/>
      </c:barChart>
      <c:catAx>
        <c:axId val="132806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808064"/>
        <c:crosses val="autoZero"/>
        <c:auto val="1"/>
        <c:lblAlgn val="ctr"/>
        <c:lblOffset val="100"/>
        <c:noMultiLvlLbl val="0"/>
      </c:catAx>
      <c:valAx>
        <c:axId val="132808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806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FBE-4E17-B4A3-59586FE7A83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FBE-4E17-B4A3-59586FE7A83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FBE-4E17-B4A3-59586FE7A83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FBE-4E17-B4A3-59586FE7A8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'Q4.25'!$D$18:$D$21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FBE-4E17-B4A3-59586FE7A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40D-434E-B04D-0DC685DFFD4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40D-434E-B04D-0DC685DFFD4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40D-434E-B04D-0DC685DFFD4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40D-434E-B04D-0DC685DFFD4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'Q4.25'!$D$25:$D$28</c:f>
              <c:numCache>
                <c:formatCode>General</c:formatCode>
                <c:ptCount val="4"/>
                <c:pt idx="0">
                  <c:v>0</c:v>
                </c:pt>
                <c:pt idx="1">
                  <c:v>4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40D-434E-B04D-0DC685DFF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'Q4.26'!$C$6:$C$12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DC-4E7D-B6A1-245BDEAC7AB4}"/>
            </c:ext>
          </c:extLst>
        </c:ser>
        <c:ser>
          <c:idx val="1"/>
          <c:order val="1"/>
          <c:tx>
            <c:strRef>
              <c:f>'Q4.26'!$D$5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'Q4.26'!$D$6:$D$12</c:f>
              <c:numCache>
                <c:formatCode>General</c:formatCode>
                <c:ptCount val="7"/>
                <c:pt idx="0">
                  <c:v>4</c:v>
                </c:pt>
                <c:pt idx="1">
                  <c:v>4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EDC-4E7D-B6A1-245BDEAC7A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3729664"/>
        <c:axId val="133743744"/>
      </c:barChart>
      <c:catAx>
        <c:axId val="13372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743744"/>
        <c:crosses val="autoZero"/>
        <c:auto val="1"/>
        <c:lblAlgn val="ctr"/>
        <c:lblOffset val="100"/>
        <c:noMultiLvlLbl val="0"/>
      </c:catAx>
      <c:valAx>
        <c:axId val="133743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729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63-4234-A5A9-275497EB02C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63-4234-A5A9-275497EB02C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63-4234-A5A9-275497EB02C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63-4234-A5A9-275497EB02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'Q4.26'!$D$18:$D$21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B63-4234-A5A9-275497EB0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A11-40CE-9272-5A738CF6455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A11-40CE-9272-5A738CF6455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A11-40CE-9272-5A738CF6455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A11-40CE-9272-5A738CF6455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'Q4.26'!$D$25:$D$28</c:f>
              <c:numCache>
                <c:formatCode>General</c:formatCode>
                <c:ptCount val="4"/>
                <c:pt idx="0">
                  <c:v>2</c:v>
                </c:pt>
                <c:pt idx="1">
                  <c:v>4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A11-40CE-9272-5A738CF64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'Q4.27'!$C$6:$C$12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328-4D8C-824A-92AFE69F6D00}"/>
            </c:ext>
          </c:extLst>
        </c:ser>
        <c:ser>
          <c:idx val="1"/>
          <c:order val="1"/>
          <c:tx>
            <c:strRef>
              <c:f>'Q4.27'!$D$5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'Q4.27'!$D$6:$D$12</c:f>
              <c:numCache>
                <c:formatCode>General</c:formatCode>
                <c:ptCount val="7"/>
                <c:pt idx="0">
                  <c:v>4</c:v>
                </c:pt>
                <c:pt idx="1">
                  <c:v>4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328-4D8C-824A-92AFE69F6D0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6438912"/>
        <c:axId val="136440448"/>
      </c:barChart>
      <c:catAx>
        <c:axId val="136438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440448"/>
        <c:crosses val="autoZero"/>
        <c:auto val="1"/>
        <c:lblAlgn val="ctr"/>
        <c:lblOffset val="100"/>
        <c:noMultiLvlLbl val="0"/>
      </c:catAx>
      <c:valAx>
        <c:axId val="13644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438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237-4463-923B-CB7EA843D5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237-4463-923B-CB7EA843D5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237-4463-923B-CB7EA843D5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237-4463-923B-CB7EA843D5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237-4463-923B-CB7EA843D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43A-4397-8B8C-F61D362EACF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43A-4397-8B8C-F61D362EACF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43A-4397-8B8C-F61D362EACF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43A-4397-8B8C-F61D362EACF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'Q4.27'!$D$25:$D$28</c:f>
              <c:numCache>
                <c:formatCode>General</c:formatCode>
                <c:ptCount val="4"/>
                <c:pt idx="0">
                  <c:v>2</c:v>
                </c:pt>
                <c:pt idx="1">
                  <c:v>4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43A-4397-8B8C-F61D362EA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'Q4.01'!$C$5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'Q4.01'!$C$6:$C$8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EDB-4BEE-AACC-5AAAC16D9C58}"/>
            </c:ext>
          </c:extLst>
        </c:ser>
        <c:ser>
          <c:idx val="1"/>
          <c:order val="1"/>
          <c:tx>
            <c:strRef>
              <c:f>'Q4.01'!$D$5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'Q4.01'!$D$6:$D$8</c:f>
              <c:numCache>
                <c:formatCode>General</c:formatCode>
                <c:ptCount val="3"/>
                <c:pt idx="0">
                  <c:v>0</c:v>
                </c:pt>
                <c:pt idx="1">
                  <c:v>13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EDB-4BEE-AACC-5AAAC16D9C5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5945344"/>
        <c:axId val="85951232"/>
      </c:barChart>
      <c:catAx>
        <c:axId val="8594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5951232"/>
        <c:crosses val="autoZero"/>
        <c:auto val="1"/>
        <c:lblAlgn val="ctr"/>
        <c:lblOffset val="100"/>
        <c:noMultiLvlLbl val="0"/>
      </c:catAx>
      <c:valAx>
        <c:axId val="85951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5945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28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'Q4.28'!$C$6:$C$12</c:f>
              <c:numCache>
                <c:formatCode>General</c:formatCode>
                <c:ptCount val="7"/>
                <c:pt idx="0">
                  <c:v>10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31-4739-B096-848C02FA28AF}"/>
            </c:ext>
          </c:extLst>
        </c:ser>
        <c:ser>
          <c:idx val="1"/>
          <c:order val="1"/>
          <c:tx>
            <c:strRef>
              <c:f>'Q4.28'!$D$5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'Q4.28'!$D$6:$D$12</c:f>
              <c:numCache>
                <c:formatCode>General</c:formatCode>
                <c:ptCount val="7"/>
                <c:pt idx="0">
                  <c:v>4</c:v>
                </c:pt>
                <c:pt idx="1">
                  <c:v>4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731-4739-B096-848C02FA28A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9176576"/>
        <c:axId val="139186560"/>
      </c:barChart>
      <c:catAx>
        <c:axId val="139176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9186560"/>
        <c:crosses val="autoZero"/>
        <c:auto val="1"/>
        <c:lblAlgn val="ctr"/>
        <c:lblOffset val="100"/>
        <c:noMultiLvlLbl val="0"/>
      </c:catAx>
      <c:valAx>
        <c:axId val="139186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9176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7A0-404F-BB94-6124802E247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7A0-404F-BB94-6124802E247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7A0-404F-BB94-6124802E247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7A0-404F-BB94-6124802E247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7A0-404F-BB94-6124802E2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77-4F0E-9E5E-A1DF4F6F68A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77-4F0E-9E5E-A1DF4F6F68A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77-4F0E-9E5E-A1DF4F6F68A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77-4F0E-9E5E-A1DF4F6F68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'Q4.28'!$D$25:$D$28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2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77-4F0E-9E5E-A1DF4F6F6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'Q4.29'!$C$6:$C$12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773-429F-997E-BE20777C72F4}"/>
            </c:ext>
          </c:extLst>
        </c:ser>
        <c:ser>
          <c:idx val="1"/>
          <c:order val="1"/>
          <c:tx>
            <c:strRef>
              <c:f>'Q4.29'!$D$5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'Q4.29'!$D$6:$D$12</c:f>
              <c:numCache>
                <c:formatCode>General</c:formatCode>
                <c:ptCount val="7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773-429F-997E-BE20777C72F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9329536"/>
        <c:axId val="139331072"/>
      </c:barChart>
      <c:catAx>
        <c:axId val="139329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9331072"/>
        <c:crosses val="autoZero"/>
        <c:auto val="1"/>
        <c:lblAlgn val="ctr"/>
        <c:lblOffset val="100"/>
        <c:noMultiLvlLbl val="0"/>
      </c:catAx>
      <c:valAx>
        <c:axId val="139331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9329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983-4F07-B918-5E58EB209DF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983-4F07-B918-5E58EB209DF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983-4F07-B918-5E58EB209DF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983-4F07-B918-5E58EB209D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983-4F07-B918-5E58EB209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CFD-45C6-83AA-23148E8FC1D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CFD-45C6-83AA-23148E8FC1D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CFD-45C6-83AA-23148E8FC1D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CFD-45C6-83AA-23148E8FC1D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CFD-45C6-83AA-23148E8FC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'Q4.30'!$C$6:$C$12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68-4F18-B1D8-107C7588D776}"/>
            </c:ext>
          </c:extLst>
        </c:ser>
        <c:ser>
          <c:idx val="1"/>
          <c:order val="1"/>
          <c:tx>
            <c:strRef>
              <c:f>'Q4.30'!$D$5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'Q4.30'!$D$6:$D$12</c:f>
              <c:numCache>
                <c:formatCode>General</c:formatCode>
                <c:ptCount val="7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A68-4F18-B1D8-107C7588D77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0830208"/>
        <c:axId val="140831744"/>
      </c:barChart>
      <c:catAx>
        <c:axId val="14083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831744"/>
        <c:crosses val="autoZero"/>
        <c:auto val="1"/>
        <c:lblAlgn val="ctr"/>
        <c:lblOffset val="100"/>
        <c:noMultiLvlLbl val="0"/>
      </c:catAx>
      <c:valAx>
        <c:axId val="140831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83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05B-4007-87C7-12ED1D7F6A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05B-4007-87C7-12ED1D7F6A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05B-4007-87C7-12ED1D7F6A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05B-4007-87C7-12ED1D7F6A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5B-4007-87C7-12ED1D7F6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7C9-4902-BD1C-1333E708707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7C9-4902-BD1C-1333E708707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7C9-4902-BD1C-1333E708707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7C9-4902-BD1C-1333E708707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'Q4.30'!$D$25:$D$28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7C9-4902-BD1C-1333E7087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'Q4.31'!$C$6:$C$12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76-4CE8-AED7-C794C5DA8D8E}"/>
            </c:ext>
          </c:extLst>
        </c:ser>
        <c:ser>
          <c:idx val="1"/>
          <c:order val="1"/>
          <c:tx>
            <c:strRef>
              <c:f>'Q4.31'!$D$5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'Q4.31'!$D$6:$D$12</c:f>
              <c:numCache>
                <c:formatCode>General</c:formatCode>
                <c:ptCount val="7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76-4CE8-AED7-C794C5DA8D8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1179904"/>
        <c:axId val="141181696"/>
      </c:barChart>
      <c:catAx>
        <c:axId val="14117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181696"/>
        <c:crosses val="autoZero"/>
        <c:auto val="1"/>
        <c:lblAlgn val="ctr"/>
        <c:lblOffset val="100"/>
        <c:noMultiLvlLbl val="0"/>
      </c:catAx>
      <c:valAx>
        <c:axId val="141181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179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A28-423A-8167-B44C87A6532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A28-423A-8167-B44C87A6532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A28-423A-8167-B44C87A6532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A28-423A-8167-B44C87A6532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'Q4.02'!$D$18:$D$21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A31-4C01-9B77-9EAAE263903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B10-46AC-A006-3BCE469CC41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B10-46AC-A006-3BCE469CC41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B10-46AC-A006-3BCE469CC41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B10-46AC-A006-3BCE469CC4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B10-46AC-A006-3BCE469CC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2C5-4F0A-BE7E-62A502FEBE9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2C5-4F0A-BE7E-62A502FEBE9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2C5-4F0A-BE7E-62A502FEBE9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2C5-4F0A-BE7E-62A502FEBE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2C5-4F0A-BE7E-62A502FEB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'Q4.32'!$C$6:$C$12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FD3-4649-990B-CC618CF69320}"/>
            </c:ext>
          </c:extLst>
        </c:ser>
        <c:ser>
          <c:idx val="1"/>
          <c:order val="1"/>
          <c:tx>
            <c:strRef>
              <c:f>'Q4.32'!$D$5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'Q4.32'!$D$6:$D$12</c:f>
              <c:numCache>
                <c:formatCode>General</c:formatCode>
                <c:ptCount val="7"/>
                <c:pt idx="0">
                  <c:v>13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FD3-4649-990B-CC618CF6932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1390592"/>
        <c:axId val="141392128"/>
      </c:barChart>
      <c:catAx>
        <c:axId val="141390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392128"/>
        <c:crosses val="autoZero"/>
        <c:auto val="1"/>
        <c:lblAlgn val="ctr"/>
        <c:lblOffset val="100"/>
        <c:noMultiLvlLbl val="0"/>
      </c:catAx>
      <c:valAx>
        <c:axId val="141392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390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0FA-4912-B7FC-5E278CF2920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0FA-4912-B7FC-5E278CF2920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0FA-4912-B7FC-5E278CF2920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0FA-4912-B7FC-5E278CF292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0FA-4912-B7FC-5E278CF29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AA1-4D3A-A44B-B33E02E0558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AA1-4D3A-A44B-B33E02E0558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AA1-4D3A-A44B-B33E02E0558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AA1-4D3A-A44B-B33E02E0558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AA1-4D3A-A44B-B33E02E05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'Q4.33'!$C$5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'Q4.33'!$B$6:$B$8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'Q4.33'!$C$6:$C$8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6F6-4A04-BA09-A04D89520A83}"/>
            </c:ext>
          </c:extLst>
        </c:ser>
        <c:ser>
          <c:idx val="1"/>
          <c:order val="1"/>
          <c:tx>
            <c:strRef>
              <c:f>'Q4.33'!$D$5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'Q4.33'!$B$6:$B$8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'Q4.33'!$D$6:$D$8</c:f>
              <c:numCache>
                <c:formatCode>General</c:formatCode>
                <c:ptCount val="3"/>
                <c:pt idx="0">
                  <c:v>0</c:v>
                </c:pt>
                <c:pt idx="1">
                  <c:v>9</c:v>
                </c:pt>
                <c:pt idx="2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6F6-4A04-BA09-A04D89520A8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1952896"/>
        <c:axId val="141954432"/>
      </c:barChart>
      <c:catAx>
        <c:axId val="14195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954432"/>
        <c:crosses val="autoZero"/>
        <c:auto val="1"/>
        <c:lblAlgn val="ctr"/>
        <c:lblOffset val="100"/>
        <c:noMultiLvlLbl val="0"/>
      </c:catAx>
      <c:valAx>
        <c:axId val="141954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952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'Q4.34'!$C$6:$C$12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14-4E6C-8860-25DA85F87AD8}"/>
            </c:ext>
          </c:extLst>
        </c:ser>
        <c:ser>
          <c:idx val="1"/>
          <c:order val="1"/>
          <c:tx>
            <c:strRef>
              <c:f>'Q4.34'!$D$5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'Q4.34'!$D$6:$D$12</c:f>
              <c:numCache>
                <c:formatCode>General</c:formatCode>
                <c:ptCount val="7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14-4E6C-8860-25DA85F87AD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3710848"/>
        <c:axId val="143716736"/>
      </c:barChart>
      <c:catAx>
        <c:axId val="143710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3716736"/>
        <c:crosses val="autoZero"/>
        <c:auto val="1"/>
        <c:lblAlgn val="ctr"/>
        <c:lblOffset val="100"/>
        <c:noMultiLvlLbl val="0"/>
      </c:catAx>
      <c:valAx>
        <c:axId val="143716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3710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50A-4972-8300-2B585E0B7B8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50A-4972-8300-2B585E0B7B8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50A-4972-8300-2B585E0B7B8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50A-4972-8300-2B585E0B7B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50A-4972-8300-2B585E0B7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B7E-4AAD-AF37-9789D4E1EEB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B7E-4AAD-AF37-9789D4E1EEB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B7E-4AAD-AF37-9789D4E1EEB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B7E-4AAD-AF37-9789D4E1EEB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B7E-4AAD-AF37-9789D4E1E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'Q4.35'!$C$6:$C$12</c:f>
              <c:numCache>
                <c:formatCode>General</c:formatCode>
                <c:ptCount val="7"/>
                <c:pt idx="0">
                  <c:v>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F47-4CC5-BCCD-8047EE3D0B31}"/>
            </c:ext>
          </c:extLst>
        </c:ser>
        <c:ser>
          <c:idx val="1"/>
          <c:order val="1"/>
          <c:tx>
            <c:strRef>
              <c:f>'Q4.35'!$D$5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'Q4.35'!$D$6:$D$12</c:f>
              <c:numCache>
                <c:formatCode>General</c:formatCode>
                <c:ptCount val="7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1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F47-4CC5-BCCD-8047EE3D0B3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4519168"/>
        <c:axId val="144520704"/>
      </c:barChart>
      <c:catAx>
        <c:axId val="144519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4520704"/>
        <c:crosses val="autoZero"/>
        <c:auto val="1"/>
        <c:lblAlgn val="ctr"/>
        <c:lblOffset val="100"/>
        <c:noMultiLvlLbl val="0"/>
      </c:catAx>
      <c:valAx>
        <c:axId val="144520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4519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8.xml"/><Relationship Id="rId2" Type="http://schemas.openxmlformats.org/officeDocument/2006/relationships/chart" Target="../charts/chart277.xml"/><Relationship Id="rId1" Type="http://schemas.openxmlformats.org/officeDocument/2006/relationships/chart" Target="../charts/chart276.xml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1.xml"/><Relationship Id="rId2" Type="http://schemas.openxmlformats.org/officeDocument/2006/relationships/chart" Target="../charts/chart280.xml"/><Relationship Id="rId1" Type="http://schemas.openxmlformats.org/officeDocument/2006/relationships/chart" Target="../charts/chart279.xml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4.xml"/><Relationship Id="rId2" Type="http://schemas.openxmlformats.org/officeDocument/2006/relationships/chart" Target="../charts/chart283.xml"/><Relationship Id="rId1" Type="http://schemas.openxmlformats.org/officeDocument/2006/relationships/chart" Target="../charts/chart282.xml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7.xml"/><Relationship Id="rId2" Type="http://schemas.openxmlformats.org/officeDocument/2006/relationships/chart" Target="../charts/chart286.xml"/><Relationship Id="rId1" Type="http://schemas.openxmlformats.org/officeDocument/2006/relationships/chart" Target="../charts/chart285.xml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0.xml"/><Relationship Id="rId2" Type="http://schemas.openxmlformats.org/officeDocument/2006/relationships/chart" Target="../charts/chart289.xml"/><Relationship Id="rId1" Type="http://schemas.openxmlformats.org/officeDocument/2006/relationships/chart" Target="../charts/chart288.xml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3.xml"/><Relationship Id="rId2" Type="http://schemas.openxmlformats.org/officeDocument/2006/relationships/chart" Target="../charts/chart292.xml"/><Relationship Id="rId1" Type="http://schemas.openxmlformats.org/officeDocument/2006/relationships/chart" Target="../charts/chart291.xml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6.xml"/><Relationship Id="rId2" Type="http://schemas.openxmlformats.org/officeDocument/2006/relationships/chart" Target="../charts/chart295.xml"/><Relationship Id="rId1" Type="http://schemas.openxmlformats.org/officeDocument/2006/relationships/chart" Target="../charts/chart294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7.xml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0.xml"/><Relationship Id="rId2" Type="http://schemas.openxmlformats.org/officeDocument/2006/relationships/chart" Target="../charts/chart299.xml"/><Relationship Id="rId1" Type="http://schemas.openxmlformats.org/officeDocument/2006/relationships/chart" Target="../charts/chart298.xml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3.xml"/><Relationship Id="rId2" Type="http://schemas.openxmlformats.org/officeDocument/2006/relationships/chart" Target="../charts/chart302.xml"/><Relationship Id="rId1" Type="http://schemas.openxmlformats.org/officeDocument/2006/relationships/chart" Target="../charts/chart30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6.xml"/><Relationship Id="rId2" Type="http://schemas.openxmlformats.org/officeDocument/2006/relationships/chart" Target="../charts/chart305.xml"/><Relationship Id="rId1" Type="http://schemas.openxmlformats.org/officeDocument/2006/relationships/chart" Target="../charts/chart304.xml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9.xml"/><Relationship Id="rId2" Type="http://schemas.openxmlformats.org/officeDocument/2006/relationships/chart" Target="../charts/chart308.xml"/><Relationship Id="rId1" Type="http://schemas.openxmlformats.org/officeDocument/2006/relationships/chart" Target="../charts/chart307.xml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2.xml"/><Relationship Id="rId2" Type="http://schemas.openxmlformats.org/officeDocument/2006/relationships/chart" Target="../charts/chart311.xml"/><Relationship Id="rId1" Type="http://schemas.openxmlformats.org/officeDocument/2006/relationships/chart" Target="../charts/chart310.xml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5.xml"/><Relationship Id="rId2" Type="http://schemas.openxmlformats.org/officeDocument/2006/relationships/chart" Target="../charts/chart314.xml"/><Relationship Id="rId1" Type="http://schemas.openxmlformats.org/officeDocument/2006/relationships/chart" Target="../charts/chart313.xml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8.xml"/><Relationship Id="rId2" Type="http://schemas.openxmlformats.org/officeDocument/2006/relationships/chart" Target="../charts/chart317.xml"/><Relationship Id="rId1" Type="http://schemas.openxmlformats.org/officeDocument/2006/relationships/chart" Target="../charts/chart316.xml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1.xml"/><Relationship Id="rId2" Type="http://schemas.openxmlformats.org/officeDocument/2006/relationships/chart" Target="../charts/chart320.xml"/><Relationship Id="rId1" Type="http://schemas.openxmlformats.org/officeDocument/2006/relationships/chart" Target="../charts/chart319.xml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4.xml"/><Relationship Id="rId2" Type="http://schemas.openxmlformats.org/officeDocument/2006/relationships/chart" Target="../charts/chart323.xml"/><Relationship Id="rId1" Type="http://schemas.openxmlformats.org/officeDocument/2006/relationships/chart" Target="../charts/chart322.xml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7.xml"/><Relationship Id="rId2" Type="http://schemas.openxmlformats.org/officeDocument/2006/relationships/chart" Target="../charts/chart326.xml"/><Relationship Id="rId1" Type="http://schemas.openxmlformats.org/officeDocument/2006/relationships/chart" Target="../charts/chart325.xml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0.xml"/><Relationship Id="rId2" Type="http://schemas.openxmlformats.org/officeDocument/2006/relationships/chart" Target="../charts/chart329.xml"/><Relationship Id="rId1" Type="http://schemas.openxmlformats.org/officeDocument/2006/relationships/chart" Target="../charts/chart328.xml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3.xml"/><Relationship Id="rId2" Type="http://schemas.openxmlformats.org/officeDocument/2006/relationships/chart" Target="../charts/chart332.xml"/><Relationship Id="rId1" Type="http://schemas.openxmlformats.org/officeDocument/2006/relationships/chart" Target="../charts/chart331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6.xml"/><Relationship Id="rId2" Type="http://schemas.openxmlformats.org/officeDocument/2006/relationships/chart" Target="../charts/chart335.xml"/><Relationship Id="rId1" Type="http://schemas.openxmlformats.org/officeDocument/2006/relationships/chart" Target="../charts/chart334.xml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9.xml"/><Relationship Id="rId2" Type="http://schemas.openxmlformats.org/officeDocument/2006/relationships/chart" Target="../charts/chart338.xml"/><Relationship Id="rId1" Type="http://schemas.openxmlformats.org/officeDocument/2006/relationships/chart" Target="../charts/chart337.xml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0.xml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3.xml"/><Relationship Id="rId2" Type="http://schemas.openxmlformats.org/officeDocument/2006/relationships/chart" Target="../charts/chart342.xml"/><Relationship Id="rId1" Type="http://schemas.openxmlformats.org/officeDocument/2006/relationships/chart" Target="../charts/chart341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6.xml"/><Relationship Id="rId2" Type="http://schemas.openxmlformats.org/officeDocument/2006/relationships/chart" Target="../charts/chart345.xml"/><Relationship Id="rId1" Type="http://schemas.openxmlformats.org/officeDocument/2006/relationships/chart" Target="../charts/chart344.xml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9.xml"/><Relationship Id="rId2" Type="http://schemas.openxmlformats.org/officeDocument/2006/relationships/chart" Target="../charts/chart348.xml"/><Relationship Id="rId1" Type="http://schemas.openxmlformats.org/officeDocument/2006/relationships/chart" Target="../charts/chart347.xml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2.xml"/><Relationship Id="rId2" Type="http://schemas.openxmlformats.org/officeDocument/2006/relationships/chart" Target="../charts/chart351.xml"/><Relationship Id="rId1" Type="http://schemas.openxmlformats.org/officeDocument/2006/relationships/chart" Target="../charts/chart350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5.xml"/><Relationship Id="rId2" Type="http://schemas.openxmlformats.org/officeDocument/2006/relationships/chart" Target="../charts/chart354.xml"/><Relationship Id="rId1" Type="http://schemas.openxmlformats.org/officeDocument/2006/relationships/chart" Target="../charts/chart353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8.xml"/><Relationship Id="rId2" Type="http://schemas.openxmlformats.org/officeDocument/2006/relationships/chart" Target="../charts/chart357.xml"/><Relationship Id="rId1" Type="http://schemas.openxmlformats.org/officeDocument/2006/relationships/chart" Target="../charts/chart356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.xml"/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0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6.xml"/><Relationship Id="rId2" Type="http://schemas.openxmlformats.org/officeDocument/2006/relationships/chart" Target="../charts/chart75.xml"/><Relationship Id="rId1" Type="http://schemas.openxmlformats.org/officeDocument/2006/relationships/chart" Target="../charts/chart74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2.xml"/><Relationship Id="rId2" Type="http://schemas.openxmlformats.org/officeDocument/2006/relationships/chart" Target="../charts/chart81.xml"/><Relationship Id="rId1" Type="http://schemas.openxmlformats.org/officeDocument/2006/relationships/chart" Target="../charts/chart80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5.xml"/><Relationship Id="rId2" Type="http://schemas.openxmlformats.org/officeDocument/2006/relationships/chart" Target="../charts/chart84.xml"/><Relationship Id="rId1" Type="http://schemas.openxmlformats.org/officeDocument/2006/relationships/chart" Target="../charts/chart83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8.xml"/><Relationship Id="rId2" Type="http://schemas.openxmlformats.org/officeDocument/2006/relationships/chart" Target="../charts/chart87.xml"/><Relationship Id="rId1" Type="http://schemas.openxmlformats.org/officeDocument/2006/relationships/chart" Target="../charts/chart86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1.xml"/><Relationship Id="rId2" Type="http://schemas.openxmlformats.org/officeDocument/2006/relationships/chart" Target="../charts/chart90.xml"/><Relationship Id="rId1" Type="http://schemas.openxmlformats.org/officeDocument/2006/relationships/chart" Target="../charts/chart89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4.xml"/><Relationship Id="rId2" Type="http://schemas.openxmlformats.org/officeDocument/2006/relationships/chart" Target="../charts/chart93.xml"/><Relationship Id="rId1" Type="http://schemas.openxmlformats.org/officeDocument/2006/relationships/chart" Target="../charts/chart92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8.xml"/><Relationship Id="rId2" Type="http://schemas.openxmlformats.org/officeDocument/2006/relationships/chart" Target="../charts/chart97.xml"/><Relationship Id="rId1" Type="http://schemas.openxmlformats.org/officeDocument/2006/relationships/chart" Target="../charts/chart96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1.xml"/><Relationship Id="rId2" Type="http://schemas.openxmlformats.org/officeDocument/2006/relationships/chart" Target="../charts/chart100.xml"/><Relationship Id="rId1" Type="http://schemas.openxmlformats.org/officeDocument/2006/relationships/chart" Target="../charts/chart99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4.xml"/><Relationship Id="rId2" Type="http://schemas.openxmlformats.org/officeDocument/2006/relationships/chart" Target="../charts/chart103.xml"/><Relationship Id="rId1" Type="http://schemas.openxmlformats.org/officeDocument/2006/relationships/chart" Target="../charts/chart102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8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1.xml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4.xml"/><Relationship Id="rId2" Type="http://schemas.openxmlformats.org/officeDocument/2006/relationships/chart" Target="../charts/chart113.xml"/><Relationship Id="rId1" Type="http://schemas.openxmlformats.org/officeDocument/2006/relationships/chart" Target="../charts/chart112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7.xml"/><Relationship Id="rId2" Type="http://schemas.openxmlformats.org/officeDocument/2006/relationships/chart" Target="../charts/chart116.xml"/><Relationship Id="rId1" Type="http://schemas.openxmlformats.org/officeDocument/2006/relationships/chart" Target="../charts/chart115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0.xml"/><Relationship Id="rId2" Type="http://schemas.openxmlformats.org/officeDocument/2006/relationships/chart" Target="../charts/chart119.xml"/><Relationship Id="rId1" Type="http://schemas.openxmlformats.org/officeDocument/2006/relationships/chart" Target="../charts/chart118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3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6.xml"/><Relationship Id="rId2" Type="http://schemas.openxmlformats.org/officeDocument/2006/relationships/chart" Target="../charts/chart125.xml"/><Relationship Id="rId1" Type="http://schemas.openxmlformats.org/officeDocument/2006/relationships/chart" Target="../charts/chart124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9.xml"/><Relationship Id="rId2" Type="http://schemas.openxmlformats.org/officeDocument/2006/relationships/chart" Target="../charts/chart128.xml"/><Relationship Id="rId1" Type="http://schemas.openxmlformats.org/officeDocument/2006/relationships/chart" Target="../charts/chart127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2.xml"/><Relationship Id="rId2" Type="http://schemas.openxmlformats.org/officeDocument/2006/relationships/chart" Target="../charts/chart131.xml"/><Relationship Id="rId1" Type="http://schemas.openxmlformats.org/officeDocument/2006/relationships/chart" Target="../charts/chart130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5.xml"/><Relationship Id="rId2" Type="http://schemas.openxmlformats.org/officeDocument/2006/relationships/chart" Target="../charts/chart134.xml"/><Relationship Id="rId1" Type="http://schemas.openxmlformats.org/officeDocument/2006/relationships/chart" Target="../charts/chart13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6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7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0.xml"/><Relationship Id="rId2" Type="http://schemas.openxmlformats.org/officeDocument/2006/relationships/chart" Target="../charts/chart139.xml"/><Relationship Id="rId1" Type="http://schemas.openxmlformats.org/officeDocument/2006/relationships/chart" Target="../charts/chart138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3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6.xml"/><Relationship Id="rId2" Type="http://schemas.openxmlformats.org/officeDocument/2006/relationships/chart" Target="../charts/chart145.xml"/><Relationship Id="rId1" Type="http://schemas.openxmlformats.org/officeDocument/2006/relationships/chart" Target="../charts/chart144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9.xml"/><Relationship Id="rId2" Type="http://schemas.openxmlformats.org/officeDocument/2006/relationships/chart" Target="../charts/chart148.xml"/><Relationship Id="rId1" Type="http://schemas.openxmlformats.org/officeDocument/2006/relationships/chart" Target="../charts/chart147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2.xml"/><Relationship Id="rId2" Type="http://schemas.openxmlformats.org/officeDocument/2006/relationships/chart" Target="../charts/chart151.xml"/><Relationship Id="rId1" Type="http://schemas.openxmlformats.org/officeDocument/2006/relationships/chart" Target="../charts/chart150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5.xml"/><Relationship Id="rId2" Type="http://schemas.openxmlformats.org/officeDocument/2006/relationships/chart" Target="../charts/chart154.xml"/><Relationship Id="rId1" Type="http://schemas.openxmlformats.org/officeDocument/2006/relationships/chart" Target="../charts/chart153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8.xml"/><Relationship Id="rId2" Type="http://schemas.openxmlformats.org/officeDocument/2006/relationships/chart" Target="../charts/chart157.xml"/><Relationship Id="rId1" Type="http://schemas.openxmlformats.org/officeDocument/2006/relationships/chart" Target="../charts/chart156.xml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1.xml"/><Relationship Id="rId2" Type="http://schemas.openxmlformats.org/officeDocument/2006/relationships/chart" Target="../charts/chart160.xml"/><Relationship Id="rId1" Type="http://schemas.openxmlformats.org/officeDocument/2006/relationships/chart" Target="../charts/chart15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4.xml"/><Relationship Id="rId2" Type="http://schemas.openxmlformats.org/officeDocument/2006/relationships/chart" Target="../charts/chart163.xml"/><Relationship Id="rId1" Type="http://schemas.openxmlformats.org/officeDocument/2006/relationships/chart" Target="../charts/chart162.xm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7.xml"/><Relationship Id="rId2" Type="http://schemas.openxmlformats.org/officeDocument/2006/relationships/chart" Target="../charts/chart166.xml"/><Relationship Id="rId1" Type="http://schemas.openxmlformats.org/officeDocument/2006/relationships/chart" Target="../charts/chart165.xml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0.xml"/><Relationship Id="rId2" Type="http://schemas.openxmlformats.org/officeDocument/2006/relationships/chart" Target="../charts/chart169.xml"/><Relationship Id="rId1" Type="http://schemas.openxmlformats.org/officeDocument/2006/relationships/chart" Target="../charts/chart168.xml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3.xml"/><Relationship Id="rId2" Type="http://schemas.openxmlformats.org/officeDocument/2006/relationships/chart" Target="../charts/chart172.xml"/><Relationship Id="rId1" Type="http://schemas.openxmlformats.org/officeDocument/2006/relationships/chart" Target="../charts/chart171.xml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6.xml"/><Relationship Id="rId2" Type="http://schemas.openxmlformats.org/officeDocument/2006/relationships/chart" Target="../charts/chart175.xml"/><Relationship Id="rId1" Type="http://schemas.openxmlformats.org/officeDocument/2006/relationships/chart" Target="../charts/chart174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9.xml"/><Relationship Id="rId2" Type="http://schemas.openxmlformats.org/officeDocument/2006/relationships/chart" Target="../charts/chart178.xml"/><Relationship Id="rId1" Type="http://schemas.openxmlformats.org/officeDocument/2006/relationships/chart" Target="../charts/chart177.xml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2.xml"/><Relationship Id="rId2" Type="http://schemas.openxmlformats.org/officeDocument/2006/relationships/chart" Target="../charts/chart181.xml"/><Relationship Id="rId1" Type="http://schemas.openxmlformats.org/officeDocument/2006/relationships/chart" Target="../charts/chart180.xml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5.xml"/><Relationship Id="rId2" Type="http://schemas.openxmlformats.org/officeDocument/2006/relationships/chart" Target="../charts/chart184.xml"/><Relationship Id="rId1" Type="http://schemas.openxmlformats.org/officeDocument/2006/relationships/chart" Target="../charts/chart183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8.xml"/><Relationship Id="rId2" Type="http://schemas.openxmlformats.org/officeDocument/2006/relationships/chart" Target="../charts/chart187.xml"/><Relationship Id="rId1" Type="http://schemas.openxmlformats.org/officeDocument/2006/relationships/chart" Target="../charts/chart186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1.xml"/><Relationship Id="rId2" Type="http://schemas.openxmlformats.org/officeDocument/2006/relationships/chart" Target="../charts/chart190.xml"/><Relationship Id="rId1" Type="http://schemas.openxmlformats.org/officeDocument/2006/relationships/chart" Target="../charts/chart18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4.xml"/><Relationship Id="rId2" Type="http://schemas.openxmlformats.org/officeDocument/2006/relationships/chart" Target="../charts/chart193.xml"/><Relationship Id="rId1" Type="http://schemas.openxmlformats.org/officeDocument/2006/relationships/chart" Target="../charts/chart192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7.xml"/><Relationship Id="rId2" Type="http://schemas.openxmlformats.org/officeDocument/2006/relationships/chart" Target="../charts/chart196.xml"/><Relationship Id="rId1" Type="http://schemas.openxmlformats.org/officeDocument/2006/relationships/chart" Target="../charts/chart195.xml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0.xml"/><Relationship Id="rId2" Type="http://schemas.openxmlformats.org/officeDocument/2006/relationships/chart" Target="../charts/chart199.xml"/><Relationship Id="rId1" Type="http://schemas.openxmlformats.org/officeDocument/2006/relationships/chart" Target="../charts/chart198.xm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3.xml"/><Relationship Id="rId2" Type="http://schemas.openxmlformats.org/officeDocument/2006/relationships/chart" Target="../charts/chart202.xml"/><Relationship Id="rId1" Type="http://schemas.openxmlformats.org/officeDocument/2006/relationships/chart" Target="../charts/chart201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6.xml"/><Relationship Id="rId2" Type="http://schemas.openxmlformats.org/officeDocument/2006/relationships/chart" Target="../charts/chart205.xml"/><Relationship Id="rId1" Type="http://schemas.openxmlformats.org/officeDocument/2006/relationships/chart" Target="../charts/chart204.xml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9.xml"/><Relationship Id="rId2" Type="http://schemas.openxmlformats.org/officeDocument/2006/relationships/chart" Target="../charts/chart208.xml"/><Relationship Id="rId1" Type="http://schemas.openxmlformats.org/officeDocument/2006/relationships/chart" Target="../charts/chart207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2.xml"/><Relationship Id="rId2" Type="http://schemas.openxmlformats.org/officeDocument/2006/relationships/chart" Target="../charts/chart211.xml"/><Relationship Id="rId1" Type="http://schemas.openxmlformats.org/officeDocument/2006/relationships/chart" Target="../charts/chart210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3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4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8.xml"/><Relationship Id="rId2" Type="http://schemas.openxmlformats.org/officeDocument/2006/relationships/chart" Target="../charts/chart217.xml"/><Relationship Id="rId1" Type="http://schemas.openxmlformats.org/officeDocument/2006/relationships/chart" Target="../charts/chart216.xml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1.xml"/><Relationship Id="rId2" Type="http://schemas.openxmlformats.org/officeDocument/2006/relationships/chart" Target="../charts/chart220.xml"/><Relationship Id="rId1" Type="http://schemas.openxmlformats.org/officeDocument/2006/relationships/chart" Target="../charts/chart219.xml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4.xml"/><Relationship Id="rId2" Type="http://schemas.openxmlformats.org/officeDocument/2006/relationships/chart" Target="../charts/chart223.xml"/><Relationship Id="rId1" Type="http://schemas.openxmlformats.org/officeDocument/2006/relationships/chart" Target="../charts/chart222.xml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7.xml"/><Relationship Id="rId2" Type="http://schemas.openxmlformats.org/officeDocument/2006/relationships/chart" Target="../charts/chart226.xml"/><Relationship Id="rId1" Type="http://schemas.openxmlformats.org/officeDocument/2006/relationships/chart" Target="../charts/chart225.xml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0.xml"/><Relationship Id="rId2" Type="http://schemas.openxmlformats.org/officeDocument/2006/relationships/chart" Target="../charts/chart229.xml"/><Relationship Id="rId1" Type="http://schemas.openxmlformats.org/officeDocument/2006/relationships/chart" Target="../charts/chart228.xml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3.xml"/><Relationship Id="rId2" Type="http://schemas.openxmlformats.org/officeDocument/2006/relationships/chart" Target="../charts/chart232.xml"/><Relationship Id="rId1" Type="http://schemas.openxmlformats.org/officeDocument/2006/relationships/chart" Target="../charts/chart231.xml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6.xml"/><Relationship Id="rId2" Type="http://schemas.openxmlformats.org/officeDocument/2006/relationships/chart" Target="../charts/chart235.xml"/><Relationship Id="rId1" Type="http://schemas.openxmlformats.org/officeDocument/2006/relationships/chart" Target="../charts/chart234.xml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9.xml"/><Relationship Id="rId2" Type="http://schemas.openxmlformats.org/officeDocument/2006/relationships/chart" Target="../charts/chart238.xml"/><Relationship Id="rId1" Type="http://schemas.openxmlformats.org/officeDocument/2006/relationships/chart" Target="../charts/chart237.xml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2.xml"/><Relationship Id="rId2" Type="http://schemas.openxmlformats.org/officeDocument/2006/relationships/chart" Target="../charts/chart241.xml"/><Relationship Id="rId1" Type="http://schemas.openxmlformats.org/officeDocument/2006/relationships/chart" Target="../charts/chart240.xml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5.xml"/><Relationship Id="rId2" Type="http://schemas.openxmlformats.org/officeDocument/2006/relationships/chart" Target="../charts/chart244.xml"/><Relationship Id="rId1" Type="http://schemas.openxmlformats.org/officeDocument/2006/relationships/chart" Target="../charts/chart24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8.xml"/><Relationship Id="rId2" Type="http://schemas.openxmlformats.org/officeDocument/2006/relationships/chart" Target="../charts/chart247.xml"/><Relationship Id="rId1" Type="http://schemas.openxmlformats.org/officeDocument/2006/relationships/chart" Target="../charts/chart246.xml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1.xml"/><Relationship Id="rId2" Type="http://schemas.openxmlformats.org/officeDocument/2006/relationships/chart" Target="../charts/chart250.xml"/><Relationship Id="rId1" Type="http://schemas.openxmlformats.org/officeDocument/2006/relationships/chart" Target="../charts/chart249.xml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4.xml"/><Relationship Id="rId2" Type="http://schemas.openxmlformats.org/officeDocument/2006/relationships/chart" Target="../charts/chart253.xml"/><Relationship Id="rId1" Type="http://schemas.openxmlformats.org/officeDocument/2006/relationships/chart" Target="../charts/chart252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7.xml"/><Relationship Id="rId2" Type="http://schemas.openxmlformats.org/officeDocument/2006/relationships/chart" Target="../charts/chart256.xml"/><Relationship Id="rId1" Type="http://schemas.openxmlformats.org/officeDocument/2006/relationships/chart" Target="../charts/chart255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0.xml"/><Relationship Id="rId2" Type="http://schemas.openxmlformats.org/officeDocument/2006/relationships/chart" Target="../charts/chart259.xml"/><Relationship Id="rId1" Type="http://schemas.openxmlformats.org/officeDocument/2006/relationships/chart" Target="../charts/chart258.xml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3.xml"/><Relationship Id="rId2" Type="http://schemas.openxmlformats.org/officeDocument/2006/relationships/chart" Target="../charts/chart262.xml"/><Relationship Id="rId1" Type="http://schemas.openxmlformats.org/officeDocument/2006/relationships/chart" Target="../charts/chart261.xml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6.xml"/><Relationship Id="rId2" Type="http://schemas.openxmlformats.org/officeDocument/2006/relationships/chart" Target="../charts/chart265.xml"/><Relationship Id="rId1" Type="http://schemas.openxmlformats.org/officeDocument/2006/relationships/chart" Target="../charts/chart264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9.xml"/><Relationship Id="rId2" Type="http://schemas.openxmlformats.org/officeDocument/2006/relationships/chart" Target="../charts/chart268.xml"/><Relationship Id="rId1" Type="http://schemas.openxmlformats.org/officeDocument/2006/relationships/chart" Target="../charts/chart267.xml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2.xml"/><Relationship Id="rId2" Type="http://schemas.openxmlformats.org/officeDocument/2006/relationships/chart" Target="../charts/chart271.xml"/><Relationship Id="rId1" Type="http://schemas.openxmlformats.org/officeDocument/2006/relationships/chart" Target="../charts/chart270.xml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5.xml"/><Relationship Id="rId2" Type="http://schemas.openxmlformats.org/officeDocument/2006/relationships/chart" Target="../charts/chart274.xml"/><Relationship Id="rId1" Type="http://schemas.openxmlformats.org/officeDocument/2006/relationships/chart" Target="../charts/chart27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DD0284DE-16EF-4B60-A274-D19982395F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15</xdr:row>
      <xdr:rowOff>180975</xdr:rowOff>
    </xdr:from>
    <xdr:to>
      <xdr:col>10</xdr:col>
      <xdr:colOff>600075</xdr:colOff>
      <xdr:row>27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367E8496-4F70-4EF2-A941-6579912ABF8B}"/>
            </a:ext>
            <a:ext uri="{147F2762-F138-4A5C-976F-8EAC2B608ADB}">
              <a16:predDERef xmlns:a16="http://schemas.microsoft.com/office/drawing/2014/main" xmlns="" pred="{DD0284DE-16EF-4B60-A274-D19982395F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600075</xdr:colOff>
      <xdr:row>15</xdr:row>
      <xdr:rowOff>180975</xdr:rowOff>
    </xdr:from>
    <xdr:to>
      <xdr:col>17</xdr:col>
      <xdr:colOff>0</xdr:colOff>
      <xdr:row>28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D83D8115-A8B0-410A-BA89-380AD5DD4AC2}"/>
            </a:ext>
            <a:ext uri="{147F2762-F138-4A5C-976F-8EAC2B608ADB}">
              <a16:predDERef xmlns:a16="http://schemas.microsoft.com/office/drawing/2014/main" xmlns="" pred="{367E8496-4F70-4EF2-A941-6579912ABF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BC64544-4F8D-4D5E-9C3A-05BD92FED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5D2AD77-8B49-43DE-BE10-DDE228795AA6}"/>
            </a:ext>
            <a:ext uri="{147F2762-F138-4A5C-976F-8EAC2B608ADB}">
              <a16:predDERef xmlns:a16="http://schemas.microsoft.com/office/drawing/2014/main" xmlns="" pred="{6BC64544-4F8D-4D5E-9C3A-05BD92FED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CC3BBDD-A8AC-4205-A5C5-25A24C5D7A82}"/>
            </a:ext>
            <a:ext uri="{147F2762-F138-4A5C-976F-8EAC2B608ADB}">
              <a16:predDERef xmlns:a16="http://schemas.microsoft.com/office/drawing/2014/main" xmlns="" pred="{35D2AD77-8B49-43DE-BE10-DDE228795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898C09C-D41D-498A-A15B-A7D1B10CB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CA7C6385-D65E-4DD2-A399-49C744922DFA}"/>
            </a:ext>
            <a:ext uri="{147F2762-F138-4A5C-976F-8EAC2B608ADB}">
              <a16:predDERef xmlns:a16="http://schemas.microsoft.com/office/drawing/2014/main" xmlns="" pred="{1898C09C-D41D-498A-A15B-A7D1B10CB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CCE967D6-C1EE-4320-AE93-F8A6A259D27B}"/>
            </a:ext>
            <a:ext uri="{147F2762-F138-4A5C-976F-8EAC2B608ADB}">
              <a16:predDERef xmlns:a16="http://schemas.microsoft.com/office/drawing/2014/main" xmlns="" pred="{CA7C6385-D65E-4DD2-A399-49C744922D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E6391C9-2974-4A5F-8BB6-3305095FF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C5AD7BE-6EC3-4EFA-ABA4-D2616AF5344A}"/>
            </a:ext>
            <a:ext uri="{147F2762-F138-4A5C-976F-8EAC2B608ADB}">
              <a16:predDERef xmlns:a16="http://schemas.microsoft.com/office/drawing/2014/main" xmlns="" pred="{EE6391C9-2974-4A5F-8BB6-3305095FF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F68AC53A-6ED3-4644-8702-57C182D878A8}"/>
            </a:ext>
            <a:ext uri="{147F2762-F138-4A5C-976F-8EAC2B608ADB}">
              <a16:predDERef xmlns:a16="http://schemas.microsoft.com/office/drawing/2014/main" xmlns="" pred="{1C5AD7BE-6EC3-4EFA-ABA4-D2616AF534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5308759E-4423-4C4F-956F-38D1C1ACE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246A800-DB74-4A9E-AD76-63BC5D8BB20C}"/>
            </a:ext>
            <a:ext uri="{147F2762-F138-4A5C-976F-8EAC2B608ADB}">
              <a16:predDERef xmlns:a16="http://schemas.microsoft.com/office/drawing/2014/main" xmlns="" pred="{5308759E-4423-4C4F-956F-38D1C1ACE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F93C43A8-85FC-4456-9852-CB77BA2A9BB6}"/>
            </a:ext>
            <a:ext uri="{147F2762-F138-4A5C-976F-8EAC2B608ADB}">
              <a16:predDERef xmlns:a16="http://schemas.microsoft.com/office/drawing/2014/main" xmlns="" pred="{3246A800-DB74-4A9E-AD76-63BC5D8BB2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63E34DA-19DD-4124-B996-5034448DC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C439111-F52C-436D-812F-C424523F3E2E}"/>
            </a:ext>
            <a:ext uri="{147F2762-F138-4A5C-976F-8EAC2B608ADB}">
              <a16:predDERef xmlns:a16="http://schemas.microsoft.com/office/drawing/2014/main" xmlns="" pred="{B63E34DA-19DD-4124-B996-5034448DC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1D9A6D4-3489-4D56-8A84-47D8F1759795}"/>
            </a:ext>
            <a:ext uri="{147F2762-F138-4A5C-976F-8EAC2B608ADB}">
              <a16:predDERef xmlns:a16="http://schemas.microsoft.com/office/drawing/2014/main" xmlns="" pred="{7C439111-F52C-436D-812F-C424523F3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51D4C89-67CD-4D4C-AFF2-D57315C26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8489374-5D35-4E9C-821A-55CB695329CE}"/>
            </a:ext>
            <a:ext uri="{147F2762-F138-4A5C-976F-8EAC2B608ADB}">
              <a16:predDERef xmlns:a16="http://schemas.microsoft.com/office/drawing/2014/main" xmlns="" pred="{251D4C89-67CD-4D4C-AFF2-D57315C26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02D2FA1-B02C-481C-BE56-46C709F3288E}"/>
            </a:ext>
            <a:ext uri="{147F2762-F138-4A5C-976F-8EAC2B608ADB}">
              <a16:predDERef xmlns:a16="http://schemas.microsoft.com/office/drawing/2014/main" xmlns="" pred="{B8489374-5D35-4E9C-821A-55CB695329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F934366-82BE-478C-9EC2-28E5724FD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AB6561B-8860-4D25-988F-09726D07DB3B}"/>
            </a:ext>
            <a:ext uri="{147F2762-F138-4A5C-976F-8EAC2B608ADB}">
              <a16:predDERef xmlns:a16="http://schemas.microsoft.com/office/drawing/2014/main" xmlns="" pred="{CF934366-82BE-478C-9EC2-28E5724FD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C5BBBA5-131E-4162-B8CB-7BE2944B3AEC}"/>
            </a:ext>
            <a:ext uri="{147F2762-F138-4A5C-976F-8EAC2B608ADB}">
              <a16:predDERef xmlns:a16="http://schemas.microsoft.com/office/drawing/2014/main" xmlns="" pred="{7AB6561B-8860-4D25-988F-09726D07DB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7DDA368-222D-44F4-9BB1-555F3F7D2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2F57DE4-4A4F-41B6-8694-E47AA890809D}"/>
            </a:ext>
            <a:ext uri="{147F2762-F138-4A5C-976F-8EAC2B608ADB}">
              <a16:predDERef xmlns:a16="http://schemas.microsoft.com/office/drawing/2014/main" xmlns="" pred="{27DDA368-222D-44F4-9BB1-555F3F7D2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5FCE472-6C20-4946-A0F9-740A5CEF6EFC}"/>
            </a:ext>
            <a:ext uri="{147F2762-F138-4A5C-976F-8EAC2B608ADB}">
              <a16:predDERef xmlns:a16="http://schemas.microsoft.com/office/drawing/2014/main" xmlns="" pred="{22F57DE4-4A4F-41B6-8694-E47AA8908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12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C636096C-EEC9-4405-964D-C23282B4212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63953C5-FDD2-46DC-A5F1-9E3F545CD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8AFC9DB-2146-4499-B1FD-5257DEEFBE29}"/>
            </a:ext>
            <a:ext uri="{147F2762-F138-4A5C-976F-8EAC2B608ADB}">
              <a16:predDERef xmlns:a16="http://schemas.microsoft.com/office/drawing/2014/main" xmlns="" pred="{E63953C5-FDD2-46DC-A5F1-9E3F545CD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B634DAD-46D7-47EF-A394-117080B9F465}"/>
            </a:ext>
            <a:ext uri="{147F2762-F138-4A5C-976F-8EAC2B608ADB}">
              <a16:predDERef xmlns:a16="http://schemas.microsoft.com/office/drawing/2014/main" xmlns="" pred="{78AFC9DB-2146-4499-B1FD-5257DEEFBE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D248039-8F49-4214-8ED3-7AC751D37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30FDA0C-0561-43D8-8CD3-098E696FAC31}"/>
            </a:ext>
            <a:ext uri="{147F2762-F138-4A5C-976F-8EAC2B608ADB}">
              <a16:predDERef xmlns:a16="http://schemas.microsoft.com/office/drawing/2014/main" xmlns="" pred="{1D248039-8F49-4214-8ED3-7AC751D37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453DF9F-CDD5-421E-A881-C9DAD01E3CF1}"/>
            </a:ext>
            <a:ext uri="{147F2762-F138-4A5C-976F-8EAC2B608ADB}">
              <a16:predDERef xmlns:a16="http://schemas.microsoft.com/office/drawing/2014/main" xmlns="" pred="{930FDA0C-0561-43D8-8CD3-098E696FAC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9B6F1AB-F45F-45CF-A06E-F6B120313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9E79F61-0B39-48CE-A8CA-F792D6C772B6}"/>
            </a:ext>
            <a:ext uri="{147F2762-F138-4A5C-976F-8EAC2B608ADB}">
              <a16:predDERef xmlns:a16="http://schemas.microsoft.com/office/drawing/2014/main" xmlns="" pred="{29B6F1AB-F45F-45CF-A06E-F6B120313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6E1629D-26A1-4AAB-B48B-E412A74C2A28}"/>
            </a:ext>
            <a:ext uri="{147F2762-F138-4A5C-976F-8EAC2B608ADB}">
              <a16:predDERef xmlns:a16="http://schemas.microsoft.com/office/drawing/2014/main" xmlns="" pred="{69E79F61-0B39-48CE-A8CA-F792D6C77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21D480F-42F1-4E86-8327-8C06F222B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D65A3151-F483-4AD5-8254-A00BE6E67508}"/>
            </a:ext>
            <a:ext uri="{147F2762-F138-4A5C-976F-8EAC2B608ADB}">
              <a16:predDERef xmlns:a16="http://schemas.microsoft.com/office/drawing/2014/main" xmlns="" pred="{621D480F-42F1-4E86-8327-8C06F222B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6E3DED4-09B3-4EFC-867E-AB9F5C17262E}"/>
            </a:ext>
            <a:ext uri="{147F2762-F138-4A5C-976F-8EAC2B608ADB}">
              <a16:predDERef xmlns:a16="http://schemas.microsoft.com/office/drawing/2014/main" xmlns="" pred="{D65A3151-F483-4AD5-8254-A00BE6E67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B4192DA-FE1F-4BFD-A4AB-87E8AAE9C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C574363-9E72-4659-B290-38A2B207522E}"/>
            </a:ext>
            <a:ext uri="{147F2762-F138-4A5C-976F-8EAC2B608ADB}">
              <a16:predDERef xmlns:a16="http://schemas.microsoft.com/office/drawing/2014/main" xmlns="" pred="{6B4192DA-FE1F-4BFD-A4AB-87E8AAE9C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5D435B5-4DC2-4CAA-995C-88DAED646FFE}"/>
            </a:ext>
            <a:ext uri="{147F2762-F138-4A5C-976F-8EAC2B608ADB}">
              <a16:predDERef xmlns:a16="http://schemas.microsoft.com/office/drawing/2014/main" xmlns="" pred="{3C574363-9E72-4659-B290-38A2B2075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61B6493-C8CA-4CBC-AFC4-B2EC595B8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5571586-8F7A-4C1B-81E3-A2E9360D2FEB}"/>
            </a:ext>
            <a:ext uri="{147F2762-F138-4A5C-976F-8EAC2B608ADB}">
              <a16:predDERef xmlns:a16="http://schemas.microsoft.com/office/drawing/2014/main" xmlns="" pred="{E61B6493-C8CA-4CBC-AFC4-B2EC595B8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04A82917-2329-4772-BD4D-62D2EF82C438}"/>
            </a:ext>
            <a:ext uri="{147F2762-F138-4A5C-976F-8EAC2B608ADB}">
              <a16:predDERef xmlns:a16="http://schemas.microsoft.com/office/drawing/2014/main" xmlns="" pred="{75571586-8F7A-4C1B-81E3-A2E9360D2F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6E3A1B7-4E23-48A1-9A08-5E82523649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C6E1390-C49E-4861-BF4B-E9A76E66717D}"/>
            </a:ext>
            <a:ext uri="{147F2762-F138-4A5C-976F-8EAC2B608ADB}">
              <a16:predDERef xmlns:a16="http://schemas.microsoft.com/office/drawing/2014/main" xmlns="" pred="{16E3A1B7-4E23-48A1-9A08-5E82523649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9A926ED-EF94-487E-AF26-39354C42122E}"/>
            </a:ext>
            <a:ext uri="{147F2762-F138-4A5C-976F-8EAC2B608ADB}">
              <a16:predDERef xmlns:a16="http://schemas.microsoft.com/office/drawing/2014/main" xmlns="" pred="{0C6E1390-C49E-4861-BF4B-E9A76E6671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95C8B1F-AD70-4932-8BF5-E396CA70ED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04F9ACA-B3BF-4D23-A10C-C700E72AD98D}"/>
            </a:ext>
            <a:ext uri="{147F2762-F138-4A5C-976F-8EAC2B608ADB}">
              <a16:predDERef xmlns:a16="http://schemas.microsoft.com/office/drawing/2014/main" xmlns="" pred="{B95C8B1F-AD70-4932-8BF5-E396CA70ED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F047E4C-5B43-4E1D-82EE-33A0D220D4B7}"/>
            </a:ext>
            <a:ext uri="{147F2762-F138-4A5C-976F-8EAC2B608ADB}">
              <a16:predDERef xmlns:a16="http://schemas.microsoft.com/office/drawing/2014/main" xmlns="" pred="{304F9ACA-B3BF-4D23-A10C-C700E72AD9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2598E30-58FF-4D2F-8E28-0020DC4953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35722A7-1846-458D-A1CE-90019F866A9E}"/>
            </a:ext>
            <a:ext uri="{147F2762-F138-4A5C-976F-8EAC2B608ADB}">
              <a16:predDERef xmlns:a16="http://schemas.microsoft.com/office/drawing/2014/main" xmlns="" pred="{62598E30-58FF-4D2F-8E28-0020DC4953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0BABCEA-C94A-43E8-9A85-A6B738BAEFAF}"/>
            </a:ext>
            <a:ext uri="{147F2762-F138-4A5C-976F-8EAC2B608ADB}">
              <a16:predDERef xmlns:a16="http://schemas.microsoft.com/office/drawing/2014/main" xmlns="" pred="{535722A7-1846-458D-A1CE-90019F866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D4C9FD9-52D6-4E63-9DAC-CE0F9A9B8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041BC0D-8998-44EE-9CD2-120263D0B5AC}"/>
            </a:ext>
            <a:ext uri="{147F2762-F138-4A5C-976F-8EAC2B608ADB}">
              <a16:predDERef xmlns:a16="http://schemas.microsoft.com/office/drawing/2014/main" xmlns="" pred="{ED4C9FD9-52D6-4E63-9DAC-CE0F9A9B8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D704EDF-8B84-4CB0-BC86-489B9660D6CF}"/>
            </a:ext>
            <a:ext uri="{147F2762-F138-4A5C-976F-8EAC2B608ADB}">
              <a16:predDERef xmlns:a16="http://schemas.microsoft.com/office/drawing/2014/main" xmlns="" pred="{7041BC0D-8998-44EE-9CD2-120263D0B5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184487F-975C-4235-B1DD-2AB49121F2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2FC8669-7616-4A60-9C47-825BEF1C6CBC}"/>
            </a:ext>
            <a:ext uri="{147F2762-F138-4A5C-976F-8EAC2B608ADB}">
              <a16:predDERef xmlns:a16="http://schemas.microsoft.com/office/drawing/2014/main" xmlns="" pred="{3184487F-975C-4235-B1DD-2AB49121F2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1A9F66B-13A7-43FA-A703-4C4A8750FDD2}"/>
            </a:ext>
            <a:ext uri="{147F2762-F138-4A5C-976F-8EAC2B608ADB}">
              <a16:predDERef xmlns:a16="http://schemas.microsoft.com/office/drawing/2014/main" xmlns="" pred="{82FC8669-7616-4A60-9C47-825BEF1C6C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E947DF8-065C-41B1-8E00-E90057720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03E3CBB-9AA9-47EF-B7A7-86451D182040}"/>
            </a:ext>
            <a:ext uri="{147F2762-F138-4A5C-976F-8EAC2B608ADB}">
              <a16:predDERef xmlns:a16="http://schemas.microsoft.com/office/drawing/2014/main" xmlns="" pred="{6E947DF8-065C-41B1-8E00-E90057720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95C165E6-AA89-4FCD-ADE5-5D0ABC108EF7}"/>
            </a:ext>
            <a:ext uri="{147F2762-F138-4A5C-976F-8EAC2B608ADB}">
              <a16:predDERef xmlns:a16="http://schemas.microsoft.com/office/drawing/2014/main" xmlns="" pred="{503E3CBB-9AA9-47EF-B7A7-86451D182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968BF80-1664-445F-AD20-D798BDB765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DBFB4F1-1448-4B7D-AFD8-CF742D2A8494}"/>
            </a:ext>
            <a:ext uri="{147F2762-F138-4A5C-976F-8EAC2B608ADB}">
              <a16:predDERef xmlns:a16="http://schemas.microsoft.com/office/drawing/2014/main" xmlns="" pred="{8968BF80-1664-445F-AD20-D798BDB765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5BC9E3F-C528-48EC-ACD3-92A4888A4352}"/>
            </a:ext>
            <a:ext uri="{147F2762-F138-4A5C-976F-8EAC2B608ADB}">
              <a16:predDERef xmlns:a16="http://schemas.microsoft.com/office/drawing/2014/main" xmlns="" pred="{0DBFB4F1-1448-4B7D-AFD8-CF742D2A84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A862274-921B-4560-BD8F-C551DCF59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409B5513-D633-481C-9EC3-29D6B6309CA0}"/>
            </a:ext>
            <a:ext uri="{147F2762-F138-4A5C-976F-8EAC2B608ADB}">
              <a16:predDERef xmlns:a16="http://schemas.microsoft.com/office/drawing/2014/main" xmlns="" pred="{AA862274-921B-4560-BD8F-C551DCF59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B715294-8E9C-465D-B68F-AA3B1258428F}"/>
            </a:ext>
            <a:ext uri="{147F2762-F138-4A5C-976F-8EAC2B608ADB}">
              <a16:predDERef xmlns:a16="http://schemas.microsoft.com/office/drawing/2014/main" xmlns="" pred="{409B5513-D633-481C-9EC3-29D6B6309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38CC05C-9542-4FC5-A4C8-F58E26BBE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426DCA7B-F683-4D2F-9FA4-F22B75A1CB5B}"/>
            </a:ext>
            <a:ext uri="{147F2762-F138-4A5C-976F-8EAC2B608ADB}">
              <a16:predDERef xmlns:a16="http://schemas.microsoft.com/office/drawing/2014/main" xmlns="" pred="{A38CC05C-9542-4FC5-A4C8-F58E26BBE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898457F8-8A0A-4AC4-9A16-0A1D095C429C}"/>
            </a:ext>
            <a:ext uri="{147F2762-F138-4A5C-976F-8EAC2B608ADB}">
              <a16:predDERef xmlns:a16="http://schemas.microsoft.com/office/drawing/2014/main" xmlns="" pred="{426DCA7B-F683-4D2F-9FA4-F22B75A1CB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DDF2E6F0-16D8-4213-AD88-66F549E82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E9B341B-73AD-4CCC-870B-2723B6CD233E}"/>
            </a:ext>
            <a:ext uri="{147F2762-F138-4A5C-976F-8EAC2B608ADB}">
              <a16:predDERef xmlns:a16="http://schemas.microsoft.com/office/drawing/2014/main" xmlns="" pred="{DDF2E6F0-16D8-4213-AD88-66F549E82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2EC4825-2B6F-4FA4-8E1F-5F1E91CA05E8}"/>
            </a:ext>
            <a:ext uri="{147F2762-F138-4A5C-976F-8EAC2B608ADB}">
              <a16:predDERef xmlns:a16="http://schemas.microsoft.com/office/drawing/2014/main" xmlns="" pred="{5E9B341B-73AD-4CCC-870B-2723B6CD23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BC12832C-110E-47EA-8EDB-CD8B8B2696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0DE8B72-9164-48E0-8815-E20EA9989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311D2FC-D0CC-4D8E-AED9-FE277EC2B9AD}"/>
            </a:ext>
            <a:ext uri="{147F2762-F138-4A5C-976F-8EAC2B608ADB}">
              <a16:predDERef xmlns:a16="http://schemas.microsoft.com/office/drawing/2014/main" xmlns="" pred="{80DE8B72-9164-48E0-8815-E20EA9989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B3B0576B-92F1-4217-9A66-D261E740B9D1}"/>
            </a:ext>
            <a:ext uri="{147F2762-F138-4A5C-976F-8EAC2B608ADB}">
              <a16:predDERef xmlns:a16="http://schemas.microsoft.com/office/drawing/2014/main" xmlns="" pred="{2311D2FC-D0CC-4D8E-AED9-FE277EC2B9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6749A8E-30A3-4538-992E-CE01900D3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C0C30C2A-16A1-4227-8252-2DA8F652165D}"/>
            </a:ext>
            <a:ext uri="{147F2762-F138-4A5C-976F-8EAC2B608ADB}">
              <a16:predDERef xmlns:a16="http://schemas.microsoft.com/office/drawing/2014/main" xmlns="" pred="{46749A8E-30A3-4538-992E-CE01900D3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20DC494-8577-4B2B-BE8C-3F6543B0A7A0}"/>
            </a:ext>
            <a:ext uri="{147F2762-F138-4A5C-976F-8EAC2B608ADB}">
              <a16:predDERef xmlns:a16="http://schemas.microsoft.com/office/drawing/2014/main" xmlns="" pred="{C0C30C2A-16A1-4227-8252-2DA8F6521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F713C39E-1314-44DA-9BAE-157184DE4E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AB7DF31-B8C7-4237-8158-99EBCC8AA847}"/>
            </a:ext>
            <a:ext uri="{147F2762-F138-4A5C-976F-8EAC2B608ADB}">
              <a16:predDERef xmlns:a16="http://schemas.microsoft.com/office/drawing/2014/main" xmlns="" pred="{F713C39E-1314-44DA-9BAE-157184DE4E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CA0BA85-37ED-4F4D-B1E8-8640D5702D3B}"/>
            </a:ext>
            <a:ext uri="{147F2762-F138-4A5C-976F-8EAC2B608ADB}">
              <a16:predDERef xmlns:a16="http://schemas.microsoft.com/office/drawing/2014/main" xmlns="" pred="{8AB7DF31-B8C7-4237-8158-99EBCC8AA8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062E9732-E923-4F0F-AE38-DE1DA1CC9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3D2234C-769F-4739-A289-813312415B73}"/>
            </a:ext>
            <a:ext uri="{147F2762-F138-4A5C-976F-8EAC2B608ADB}">
              <a16:predDERef xmlns:a16="http://schemas.microsoft.com/office/drawing/2014/main" xmlns="" pred="{062E9732-E923-4F0F-AE38-DE1DA1CC9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7483C76-09B8-437A-BE02-314BB3B43F5F}"/>
            </a:ext>
            <a:ext uri="{147F2762-F138-4A5C-976F-8EAC2B608ADB}">
              <a16:predDERef xmlns:a16="http://schemas.microsoft.com/office/drawing/2014/main" xmlns="" pred="{03D2234C-769F-4739-A289-813312415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FB1C5ECE-EB3C-4E80-B3B0-44FC67F7E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C825247-EF7F-43FF-B675-E8F19A6DC9ED}"/>
            </a:ext>
            <a:ext uri="{147F2762-F138-4A5C-976F-8EAC2B608ADB}">
              <a16:predDERef xmlns:a16="http://schemas.microsoft.com/office/drawing/2014/main" xmlns="" pred="{FB1C5ECE-EB3C-4E80-B3B0-44FC67F7E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3754B3B-F272-49BF-9A59-FAE245B76C79}"/>
            </a:ext>
            <a:ext uri="{147F2762-F138-4A5C-976F-8EAC2B608ADB}">
              <a16:predDERef xmlns:a16="http://schemas.microsoft.com/office/drawing/2014/main" xmlns="" pred="{2C825247-EF7F-43FF-B675-E8F19A6DC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06D718DC-0D5E-47FC-A475-33A294E7D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EA5E1A3-64F1-4DDA-8A33-80BB42E9D295}"/>
            </a:ext>
            <a:ext uri="{147F2762-F138-4A5C-976F-8EAC2B608ADB}">
              <a16:predDERef xmlns:a16="http://schemas.microsoft.com/office/drawing/2014/main" xmlns="" pred="{06D718DC-0D5E-47FC-A475-33A294E7D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C9CFA50-6ACC-42C2-B690-E145AE0437F0}"/>
            </a:ext>
            <a:ext uri="{147F2762-F138-4A5C-976F-8EAC2B608ADB}">
              <a16:predDERef xmlns:a16="http://schemas.microsoft.com/office/drawing/2014/main" xmlns="" pred="{9EA5E1A3-64F1-4DDA-8A33-80BB42E9D2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BDF4685-C24B-4810-A90E-C31960CDB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1AEC422-3C2B-4B8B-9208-F17E66738D18}"/>
            </a:ext>
            <a:ext uri="{147F2762-F138-4A5C-976F-8EAC2B608ADB}">
              <a16:predDERef xmlns:a16="http://schemas.microsoft.com/office/drawing/2014/main" xmlns="" pred="{8BDF4685-C24B-4810-A90E-C31960CDB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2C980FD-3B45-4EE7-A8A0-3BA7C7929915}"/>
            </a:ext>
            <a:ext uri="{147F2762-F138-4A5C-976F-8EAC2B608ADB}">
              <a16:predDERef xmlns:a16="http://schemas.microsoft.com/office/drawing/2014/main" xmlns="" pred="{11AEC422-3C2B-4B8B-9208-F17E66738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9AE6E84-63CD-47E7-AA02-F0AEBA10F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6000F23-E1B1-4872-8708-1846FA9A507C}"/>
            </a:ext>
            <a:ext uri="{147F2762-F138-4A5C-976F-8EAC2B608ADB}">
              <a16:predDERef xmlns:a16="http://schemas.microsoft.com/office/drawing/2014/main" xmlns="" pred="{29AE6E84-63CD-47E7-AA02-F0AEBA10F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973B3DC-1CD5-4BD9-86CF-FBEDEF5808EE}"/>
            </a:ext>
            <a:ext uri="{147F2762-F138-4A5C-976F-8EAC2B608ADB}">
              <a16:predDERef xmlns:a16="http://schemas.microsoft.com/office/drawing/2014/main" xmlns="" pred="{A6000F23-E1B1-4872-8708-1846FA9A5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8D02E3E-EF27-4DDC-83D7-A8C13E7EC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E170E85-6A66-4DD4-9D2D-6ACCD63B024E}"/>
            </a:ext>
            <a:ext uri="{147F2762-F138-4A5C-976F-8EAC2B608ADB}">
              <a16:predDERef xmlns:a16="http://schemas.microsoft.com/office/drawing/2014/main" xmlns="" pred="{98D02E3E-EF27-4DDC-83D7-A8C13E7EC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0238A15-A122-4062-8DAD-099DE41A4D81}"/>
            </a:ext>
            <a:ext uri="{147F2762-F138-4A5C-976F-8EAC2B608ADB}">
              <a16:predDERef xmlns:a16="http://schemas.microsoft.com/office/drawing/2014/main" xmlns="" pred="{AE170E85-6A66-4DD4-9D2D-6ACCD63B0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08A3375-CB87-4300-AAFB-3CA008DEB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F210709-1624-41C9-B937-5A35F5C6ECCF}"/>
            </a:ext>
            <a:ext uri="{147F2762-F138-4A5C-976F-8EAC2B608ADB}">
              <a16:predDERef xmlns:a16="http://schemas.microsoft.com/office/drawing/2014/main" xmlns="" pred="{A08A3375-CB87-4300-AAFB-3CA008DEB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09DADD2-70DD-48AF-8115-1130A8A630BC}"/>
            </a:ext>
            <a:ext uri="{147F2762-F138-4A5C-976F-8EAC2B608ADB}">
              <a16:predDERef xmlns:a16="http://schemas.microsoft.com/office/drawing/2014/main" xmlns="" pred="{1F210709-1624-41C9-B937-5A35F5C6EC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C111B37-DF6D-443D-B5AB-0DEF027B3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63A54E9-FB07-488F-A748-06CE8EF51415}"/>
            </a:ext>
            <a:ext uri="{147F2762-F138-4A5C-976F-8EAC2B608ADB}">
              <a16:predDERef xmlns:a16="http://schemas.microsoft.com/office/drawing/2014/main" xmlns="" pred="{AC111B37-DF6D-443D-B5AB-0DEF027B3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CD6CE0A5-E247-4462-9FBB-C3AA2651F66B}"/>
            </a:ext>
            <a:ext uri="{147F2762-F138-4A5C-976F-8EAC2B608ADB}">
              <a16:predDERef xmlns:a16="http://schemas.microsoft.com/office/drawing/2014/main" xmlns="" pred="{263A54E9-FB07-488F-A748-06CE8EF514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1AF8CA1-A960-4524-B0E8-11D1C02D2E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369CA68-9510-4D0D-A544-17B2ED912DFC}"/>
            </a:ext>
            <a:ext uri="{147F2762-F138-4A5C-976F-8EAC2B608ADB}">
              <a16:predDERef xmlns:a16="http://schemas.microsoft.com/office/drawing/2014/main" xmlns="" pred="{41AF8CA1-A960-4524-B0E8-11D1C02D2E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ABCB16FB-8461-4912-8AF3-960B5A4419C3}"/>
            </a:ext>
            <a:ext uri="{147F2762-F138-4A5C-976F-8EAC2B608ADB}">
              <a16:predDERef xmlns:a16="http://schemas.microsoft.com/office/drawing/2014/main" xmlns="" pred="{5369CA68-9510-4D0D-A544-17B2ED912D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E72B7C4-20A4-4C2F-B0A1-0316EB704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EF70805-32C2-435E-8956-FC7C973FF7EB}"/>
            </a:ext>
            <a:ext uri="{147F2762-F138-4A5C-976F-8EAC2B608ADB}">
              <a16:predDERef xmlns:a16="http://schemas.microsoft.com/office/drawing/2014/main" xmlns="" pred="{CE72B7C4-20A4-4C2F-B0A1-0316EB704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BC17CAFA-4FD0-42D8-8C89-ED258F21E857}"/>
            </a:ext>
            <a:ext uri="{147F2762-F138-4A5C-976F-8EAC2B608ADB}">
              <a16:predDERef xmlns:a16="http://schemas.microsoft.com/office/drawing/2014/main" xmlns="" pred="{2EF70805-32C2-435E-8956-FC7C973FF7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C3CF7640-3538-473E-A295-E41B56693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F9317A7-8615-4D4D-876C-F426E5215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FA7305B-5221-4D8A-8354-5CC27E11185E}"/>
            </a:ext>
            <a:ext uri="{147F2762-F138-4A5C-976F-8EAC2B608ADB}">
              <a16:predDERef xmlns:a16="http://schemas.microsoft.com/office/drawing/2014/main" xmlns="" pred="{8F9317A7-8615-4D4D-876C-F426E5215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5DE2789-4E78-42EA-BC7D-0116B19CE062}"/>
            </a:ext>
            <a:ext uri="{147F2762-F138-4A5C-976F-8EAC2B608ADB}">
              <a16:predDERef xmlns:a16="http://schemas.microsoft.com/office/drawing/2014/main" xmlns="" pred="{AFA7305B-5221-4D8A-8354-5CC27E1118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581025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2835CA70-E279-479C-955D-E80750B82B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385FCB0-01B0-46B9-984E-840D3AACF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52DA2B6-82B9-40A6-A0A7-753D0852BC67}"/>
            </a:ext>
            <a:ext uri="{147F2762-F138-4A5C-976F-8EAC2B608ADB}">
              <a16:predDERef xmlns:a16="http://schemas.microsoft.com/office/drawing/2014/main" xmlns="" pred="{6385FCB0-01B0-46B9-984E-840D3AACF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74A65B9-BF7B-42A3-9F02-09210C910EBC}"/>
            </a:ext>
            <a:ext uri="{147F2762-F138-4A5C-976F-8EAC2B608ADB}">
              <a16:predDERef xmlns:a16="http://schemas.microsoft.com/office/drawing/2014/main" xmlns="" pred="{752DA2B6-82B9-40A6-A0A7-753D0852BC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EB9CFE8-9C5D-4719-9E52-CF1F52CCD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7A55B21-891E-4BA8-A26A-67F196E9E819}"/>
            </a:ext>
            <a:ext uri="{147F2762-F138-4A5C-976F-8EAC2B608ADB}">
              <a16:predDERef xmlns:a16="http://schemas.microsoft.com/office/drawing/2014/main" xmlns="" pred="{9EB9CFE8-9C5D-4719-9E52-CF1F52CCD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A5A58CE6-807A-4589-B6E3-75AB7204B57A}"/>
            </a:ext>
            <a:ext uri="{147F2762-F138-4A5C-976F-8EAC2B608ADB}">
              <a16:predDERef xmlns:a16="http://schemas.microsoft.com/office/drawing/2014/main" xmlns="" pred="{97A55B21-891E-4BA8-A26A-67F196E9E8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84905C4-3561-4492-AF6A-3F16E5D9A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57B3E71-2164-4F01-B101-99A04B56B8B9}"/>
            </a:ext>
            <a:ext uri="{147F2762-F138-4A5C-976F-8EAC2B608ADB}">
              <a16:predDERef xmlns:a16="http://schemas.microsoft.com/office/drawing/2014/main" xmlns="" pred="{784905C4-3561-4492-AF6A-3F16E5D9A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5BCC8AA-77C2-416E-A647-FE916A43D1BF}"/>
            </a:ext>
            <a:ext uri="{147F2762-F138-4A5C-976F-8EAC2B608ADB}">
              <a16:predDERef xmlns:a16="http://schemas.microsoft.com/office/drawing/2014/main" xmlns="" pred="{757B3E71-2164-4F01-B101-99A04B56B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059BD13-9D61-44E0-AEF4-22A63B3A2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DD62538-ABFD-487A-B659-02C776711733}"/>
            </a:ext>
            <a:ext uri="{147F2762-F138-4A5C-976F-8EAC2B608ADB}">
              <a16:predDERef xmlns:a16="http://schemas.microsoft.com/office/drawing/2014/main" xmlns="" pred="{A059BD13-9D61-44E0-AEF4-22A63B3A2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9787E38-B134-4037-86A2-B90E9AADFA64}"/>
            </a:ext>
            <a:ext uri="{147F2762-F138-4A5C-976F-8EAC2B608ADB}">
              <a16:predDERef xmlns:a16="http://schemas.microsoft.com/office/drawing/2014/main" xmlns="" pred="{6DD62538-ABFD-487A-B659-02C7767117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2</xdr:row>
      <xdr:rowOff>180975</xdr:rowOff>
    </xdr:from>
    <xdr:to>
      <xdr:col>17</xdr:col>
      <xdr:colOff>600075</xdr:colOff>
      <xdr:row>11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A4344EE3-0FA1-4C18-A5DB-49FA51CE4B7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AEF971A-F2FA-45A6-A046-0E4A8DAA7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8D36F90-92D6-4317-84EF-71738F1D93E5}"/>
            </a:ext>
            <a:ext uri="{147F2762-F138-4A5C-976F-8EAC2B608ADB}">
              <a16:predDERef xmlns:a16="http://schemas.microsoft.com/office/drawing/2014/main" xmlns="" pred="{1AEF971A-F2FA-45A6-A046-0E4A8DAA7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A1E777DD-BE8D-45F3-AB1F-8DC963898486}"/>
            </a:ext>
            <a:ext uri="{147F2762-F138-4A5C-976F-8EAC2B608ADB}">
              <a16:predDERef xmlns:a16="http://schemas.microsoft.com/office/drawing/2014/main" xmlns="" pred="{28D36F90-92D6-4317-84EF-71738F1D9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699CD41-1572-4F60-A6BD-CC56CDD95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C1C86530-D76C-4D8F-A107-DD3FDF9C3A0F}"/>
            </a:ext>
            <a:ext uri="{147F2762-F138-4A5C-976F-8EAC2B608ADB}">
              <a16:predDERef xmlns:a16="http://schemas.microsoft.com/office/drawing/2014/main" xmlns="" pred="{E699CD41-1572-4F60-A6BD-CC56CDD95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913F476-9DDA-469F-AF38-CB24993658C5}"/>
            </a:ext>
            <a:ext uri="{147F2762-F138-4A5C-976F-8EAC2B608ADB}">
              <a16:predDERef xmlns:a16="http://schemas.microsoft.com/office/drawing/2014/main" xmlns="" pred="{C1C86530-D76C-4D8F-A107-DD3FDF9C3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58251A0C-63AC-4662-AFEF-C2ADF5CA3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BC92856-A6FC-4791-A5C7-11AC149340E3}"/>
            </a:ext>
            <a:ext uri="{147F2762-F138-4A5C-976F-8EAC2B608ADB}">
              <a16:predDERef xmlns:a16="http://schemas.microsoft.com/office/drawing/2014/main" xmlns="" pred="{58251A0C-63AC-4662-AFEF-C2ADF5CA3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A1DD2B3-324D-474D-9A8F-78E0F6A594F6}"/>
            </a:ext>
            <a:ext uri="{147F2762-F138-4A5C-976F-8EAC2B608ADB}">
              <a16:predDERef xmlns:a16="http://schemas.microsoft.com/office/drawing/2014/main" xmlns="" pred="{5BC92856-A6FC-4791-A5C7-11AC149340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6973798-939F-47F3-986D-5EBAE21D4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50AF377-1C97-40A0-8DDC-3E8EA7C27379}"/>
            </a:ext>
            <a:ext uri="{147F2762-F138-4A5C-976F-8EAC2B608ADB}">
              <a16:predDERef xmlns:a16="http://schemas.microsoft.com/office/drawing/2014/main" xmlns="" pred="{C6973798-939F-47F3-986D-5EBAE21D4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D7F68CB-0AA7-4E92-9B0C-46915F4584C7}"/>
            </a:ext>
            <a:ext uri="{147F2762-F138-4A5C-976F-8EAC2B608ADB}">
              <a16:predDERef xmlns:a16="http://schemas.microsoft.com/office/drawing/2014/main" xmlns="" pred="{350AF377-1C97-40A0-8DDC-3E8EA7C27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6266D2D-B43B-4790-BF1A-18D88D918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59C5C3F-089C-4305-8C90-E84D5E51ABD5}"/>
            </a:ext>
            <a:ext uri="{147F2762-F138-4A5C-976F-8EAC2B608ADB}">
              <a16:predDERef xmlns:a16="http://schemas.microsoft.com/office/drawing/2014/main" xmlns="" pred="{66266D2D-B43B-4790-BF1A-18D88D918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C6FD4A37-E276-4077-94BD-64A48F002DFE}"/>
            </a:ext>
            <a:ext uri="{147F2762-F138-4A5C-976F-8EAC2B608ADB}">
              <a16:predDERef xmlns:a16="http://schemas.microsoft.com/office/drawing/2014/main" xmlns="" pred="{759C5C3F-089C-4305-8C90-E84D5E51A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D9DBA9F5-D307-40F3-AC80-75D25243F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2E45318-99EA-4055-B558-34391042B872}"/>
            </a:ext>
            <a:ext uri="{147F2762-F138-4A5C-976F-8EAC2B608ADB}">
              <a16:predDERef xmlns:a16="http://schemas.microsoft.com/office/drawing/2014/main" xmlns="" pred="{D9DBA9F5-D307-40F3-AC80-75D25243F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9AD9FD8-386D-4794-90AA-6E44A1B5E5B1}"/>
            </a:ext>
            <a:ext uri="{147F2762-F138-4A5C-976F-8EAC2B608ADB}">
              <a16:predDERef xmlns:a16="http://schemas.microsoft.com/office/drawing/2014/main" xmlns="" pred="{32E45318-99EA-4055-B558-34391042B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B380D56-7A43-46ED-9550-7D3A82409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FE63008C-6C80-47CD-A2E5-70963AC0B156}"/>
            </a:ext>
            <a:ext uri="{147F2762-F138-4A5C-976F-8EAC2B608ADB}">
              <a16:predDERef xmlns:a16="http://schemas.microsoft.com/office/drawing/2014/main" xmlns="" pred="{1B380D56-7A43-46ED-9550-7D3A82409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FD3DABA-617F-4415-9E50-BA1C36FEA063}"/>
            </a:ext>
            <a:ext uri="{147F2762-F138-4A5C-976F-8EAC2B608ADB}">
              <a16:predDERef xmlns:a16="http://schemas.microsoft.com/office/drawing/2014/main" xmlns="" pred="{FE63008C-6C80-47CD-A2E5-70963AC0B1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59EBBE42-B2F0-4DC1-ADFA-E3789BB8F4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DAF2D6B-AF6D-48CE-ACF2-897BCEB0C720}"/>
            </a:ext>
            <a:ext uri="{147F2762-F138-4A5C-976F-8EAC2B608ADB}">
              <a16:predDERef xmlns:a16="http://schemas.microsoft.com/office/drawing/2014/main" xmlns="" pred="{59EBBE42-B2F0-4DC1-ADFA-E3789BB8F4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71E8E4D-4E25-451D-B759-E5C3ED22ED5F}"/>
            </a:ext>
            <a:ext uri="{147F2762-F138-4A5C-976F-8EAC2B608ADB}">
              <a16:predDERef xmlns:a16="http://schemas.microsoft.com/office/drawing/2014/main" xmlns="" pred="{BDAF2D6B-AF6D-48CE-ACF2-897BCEB0C7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048CDD8-E75E-4B7A-B6C6-011EE059D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D61348B-EBFA-428D-9297-BBE017127004}"/>
            </a:ext>
            <a:ext uri="{147F2762-F138-4A5C-976F-8EAC2B608ADB}">
              <a16:predDERef xmlns:a16="http://schemas.microsoft.com/office/drawing/2014/main" xmlns="" pred="{6048CDD8-E75E-4B7A-B6C6-011EE059D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D22C215-3DEB-4A11-BA8B-75DD72B75493}"/>
            </a:ext>
            <a:ext uri="{147F2762-F138-4A5C-976F-8EAC2B608ADB}">
              <a16:predDERef xmlns:a16="http://schemas.microsoft.com/office/drawing/2014/main" xmlns="" pred="{1D61348B-EBFA-428D-9297-BBE0171270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1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18C122D3-28C4-4A30-9130-600CE54832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F59ABEDE-F5D6-4621-815B-646A3CA8E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2C6801F-1554-4890-9522-69FF9138D3F2}"/>
            </a:ext>
            <a:ext uri="{147F2762-F138-4A5C-976F-8EAC2B608ADB}">
              <a16:predDERef xmlns:a16="http://schemas.microsoft.com/office/drawing/2014/main" xmlns="" pred="{F59ABEDE-F5D6-4621-815B-646A3CA8E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F4DEFA53-A87F-4ED6-87A7-2B5EFC52AC57}"/>
            </a:ext>
            <a:ext uri="{147F2762-F138-4A5C-976F-8EAC2B608ADB}">
              <a16:predDERef xmlns:a16="http://schemas.microsoft.com/office/drawing/2014/main" xmlns="" pred="{12C6801F-1554-4890-9522-69FF9138D3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B1C39D1-BE50-4A67-85E5-03B170A69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F3D23AB-D1A1-4DDC-B501-724918E0A342}"/>
            </a:ext>
            <a:ext uri="{147F2762-F138-4A5C-976F-8EAC2B608ADB}">
              <a16:predDERef xmlns:a16="http://schemas.microsoft.com/office/drawing/2014/main" xmlns="" pred="{4B1C39D1-BE50-4A67-85E5-03B170A69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7C0AE11-05E2-443A-BA38-3F8E5BB85ACE}"/>
            </a:ext>
            <a:ext uri="{147F2762-F138-4A5C-976F-8EAC2B608ADB}">
              <a16:predDERef xmlns:a16="http://schemas.microsoft.com/office/drawing/2014/main" xmlns="" pred="{0F3D23AB-D1A1-4DDC-B501-724918E0A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CF08D3A-65A9-46B5-B71D-93D6E7DD3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B0432AE-9E88-4DDC-B043-9CCB5C62516D}"/>
            </a:ext>
            <a:ext uri="{147F2762-F138-4A5C-976F-8EAC2B608ADB}">
              <a16:predDERef xmlns:a16="http://schemas.microsoft.com/office/drawing/2014/main" xmlns="" pred="{CCF08D3A-65A9-46B5-B71D-93D6E7DD3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BB0E3C5-E939-46A6-B4E7-593D2982E315}"/>
            </a:ext>
            <a:ext uri="{147F2762-F138-4A5C-976F-8EAC2B608ADB}">
              <a16:predDERef xmlns:a16="http://schemas.microsoft.com/office/drawing/2014/main" xmlns="" pred="{2B0432AE-9E88-4DDC-B043-9CCB5C6251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96608440-D7A0-4106-B72B-3C95B46C9F3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E3905DD1-849E-440D-BD7F-BDC52CCC1E5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26D0BF7-2489-4CF2-981F-12F8A9993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701F67C-8D61-418A-A4F9-57061D1E1A9D}"/>
            </a:ext>
            <a:ext uri="{147F2762-F138-4A5C-976F-8EAC2B608ADB}">
              <a16:predDERef xmlns:a16="http://schemas.microsoft.com/office/drawing/2014/main" xmlns="" pred="{826D0BF7-2489-4CF2-981F-12F8A9993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1B213D9-B75D-4350-A550-8137800DC8EA}"/>
            </a:ext>
            <a:ext uri="{147F2762-F138-4A5C-976F-8EAC2B608ADB}">
              <a16:predDERef xmlns:a16="http://schemas.microsoft.com/office/drawing/2014/main" xmlns="" pred="{1701F67C-8D61-418A-A4F9-57061D1E1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C141DBF-CF72-4301-BFDE-C8E2A34E8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FBCE367-2E03-4F9D-A9E8-3907B4ACB80A}"/>
            </a:ext>
            <a:ext uri="{147F2762-F138-4A5C-976F-8EAC2B608ADB}">
              <a16:predDERef xmlns:a16="http://schemas.microsoft.com/office/drawing/2014/main" xmlns="" pred="{9C141DBF-CF72-4301-BFDE-C8E2A34E8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B6D5CE6A-3C73-4C3F-A498-2F3A3201A9CF}"/>
            </a:ext>
            <a:ext uri="{147F2762-F138-4A5C-976F-8EAC2B608ADB}">
              <a16:predDERef xmlns:a16="http://schemas.microsoft.com/office/drawing/2014/main" xmlns="" pred="{9FBCE367-2E03-4F9D-A9E8-3907B4ACB8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7B95E0C-79A7-4319-BD58-920550BC9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9880A39-A314-4FBE-A08E-4FDB5336D2EE}"/>
            </a:ext>
            <a:ext uri="{147F2762-F138-4A5C-976F-8EAC2B608ADB}">
              <a16:predDERef xmlns:a16="http://schemas.microsoft.com/office/drawing/2014/main" xmlns="" pred="{97B95E0C-79A7-4319-BD58-920550BC9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89728366-F1AF-4A77-A600-52B3D0F2F779}"/>
            </a:ext>
            <a:ext uri="{147F2762-F138-4A5C-976F-8EAC2B608ADB}">
              <a16:predDERef xmlns:a16="http://schemas.microsoft.com/office/drawing/2014/main" xmlns="" pred="{09880A39-A314-4FBE-A08E-4FDB5336D2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8139EE5-BDEC-4C37-AE5A-CC7EC25D4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49C6BFB2-4669-450C-902D-FE1A8908B2D6}"/>
            </a:ext>
            <a:ext uri="{147F2762-F138-4A5C-976F-8EAC2B608ADB}">
              <a16:predDERef xmlns:a16="http://schemas.microsoft.com/office/drawing/2014/main" xmlns="" pred="{B8139EE5-BDEC-4C37-AE5A-CC7EC25D4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8E75FD2E-B580-4F26-AF18-DE9046C7D1E9}"/>
            </a:ext>
            <a:ext uri="{147F2762-F138-4A5C-976F-8EAC2B608ADB}">
              <a16:predDERef xmlns:a16="http://schemas.microsoft.com/office/drawing/2014/main" xmlns="" pred="{49C6BFB2-4669-450C-902D-FE1A8908B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200F6A9-602C-4301-8D6B-97947C95F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8B967F0-61DB-423F-AFF1-593D41CA4458}"/>
            </a:ext>
            <a:ext uri="{147F2762-F138-4A5C-976F-8EAC2B608ADB}">
              <a16:predDERef xmlns:a16="http://schemas.microsoft.com/office/drawing/2014/main" xmlns="" pred="{9200F6A9-602C-4301-8D6B-97947C95F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D60E76B-A63B-4485-A2BA-CF0656E0C757}"/>
            </a:ext>
            <a:ext uri="{147F2762-F138-4A5C-976F-8EAC2B608ADB}">
              <a16:predDERef xmlns:a16="http://schemas.microsoft.com/office/drawing/2014/main" xmlns="" pred="{68B967F0-61DB-423F-AFF1-593D41CA4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1AF7926-D630-4890-B754-C3C385DC5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AAACCC9-80B8-4611-BC80-92BF00132FA1}"/>
            </a:ext>
            <a:ext uri="{147F2762-F138-4A5C-976F-8EAC2B608ADB}">
              <a16:predDERef xmlns:a16="http://schemas.microsoft.com/office/drawing/2014/main" xmlns="" pred="{C1AF7926-D630-4890-B754-C3C385DC5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9D069FA-2162-459A-9736-3C20D42DF465}"/>
            </a:ext>
            <a:ext uri="{147F2762-F138-4A5C-976F-8EAC2B608ADB}">
              <a16:predDERef xmlns:a16="http://schemas.microsoft.com/office/drawing/2014/main" xmlns="" pred="{6AAACCC9-80B8-4611-BC80-92BF00132F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18A8CC4-A6E4-41C7-8ECF-7AEACDD27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DBE08FF-A5BD-4487-8AD0-7986A7F0A0F3}"/>
            </a:ext>
            <a:ext uri="{147F2762-F138-4A5C-976F-8EAC2B608ADB}">
              <a16:predDERef xmlns:a16="http://schemas.microsoft.com/office/drawing/2014/main" xmlns="" pred="{B18A8CC4-A6E4-41C7-8ECF-7AEACDD27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C73113D0-40E3-44A2-BCC7-7CBB72BC32E9}"/>
            </a:ext>
            <a:ext uri="{147F2762-F138-4A5C-976F-8EAC2B608ADB}">
              <a16:predDERef xmlns:a16="http://schemas.microsoft.com/office/drawing/2014/main" xmlns="" pred="{3DBE08FF-A5BD-4487-8AD0-7986A7F0A0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0A952EA-3BA4-4BF2-9FA5-1A474147B9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40106D0-95A1-4304-BF78-FE8315FA885B}"/>
            </a:ext>
            <a:ext uri="{147F2762-F138-4A5C-976F-8EAC2B608ADB}">
              <a16:predDERef xmlns:a16="http://schemas.microsoft.com/office/drawing/2014/main" xmlns="" pred="{20A952EA-3BA4-4BF2-9FA5-1A474147B9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5110C7F-7C79-4CAE-B219-C3864ED3F06A}"/>
            </a:ext>
            <a:ext uri="{147F2762-F138-4A5C-976F-8EAC2B608ADB}">
              <a16:predDERef xmlns:a16="http://schemas.microsoft.com/office/drawing/2014/main" xmlns="" pred="{A40106D0-95A1-4304-BF78-FE8315FA8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24E9CFA-F2D7-4154-B5D4-E3C3D45CB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DB6AC23-12F4-4AB0-8F8A-60084883726C}"/>
            </a:ext>
            <a:ext uri="{147F2762-F138-4A5C-976F-8EAC2B608ADB}">
              <a16:predDERef xmlns:a16="http://schemas.microsoft.com/office/drawing/2014/main" xmlns="" pred="{A24E9CFA-F2D7-4154-B5D4-E3C3D45CB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D1FC24D-F6AF-49CC-8C96-72E54051741F}"/>
            </a:ext>
            <a:ext uri="{147F2762-F138-4A5C-976F-8EAC2B608ADB}">
              <a16:predDERef xmlns:a16="http://schemas.microsoft.com/office/drawing/2014/main" xmlns="" pred="{3DB6AC23-12F4-4AB0-8F8A-600848837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C0C49B2-029D-4734-A0F6-A6F466366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F88CC546-CAC1-4644-AA89-1C7F2105BE04}"/>
            </a:ext>
            <a:ext uri="{147F2762-F138-4A5C-976F-8EAC2B608ADB}">
              <a16:predDERef xmlns:a16="http://schemas.microsoft.com/office/drawing/2014/main" xmlns="" pred="{1C0C49B2-029D-4734-A0F6-A6F466366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0628DC6-752E-4FAF-9087-A1202AC02EA8}"/>
            </a:ext>
            <a:ext uri="{147F2762-F138-4A5C-976F-8EAC2B608ADB}">
              <a16:predDERef xmlns:a16="http://schemas.microsoft.com/office/drawing/2014/main" xmlns="" pred="{F88CC546-CAC1-4644-AA89-1C7F2105B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838200</xdr:colOff>
      <xdr:row>15</xdr:row>
      <xdr:rowOff>180975</xdr:rowOff>
    </xdr:from>
    <xdr:to>
      <xdr:col>10</xdr:col>
      <xdr:colOff>342900</xdr:colOff>
      <xdr:row>27</xdr:row>
      <xdr:rowOff>180975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01B4CBDE-2172-4670-B98E-E35343110B4D}"/>
            </a:ext>
            <a:ext uri="{147F2762-F138-4A5C-976F-8EAC2B608ADB}">
              <a16:predDERef xmlns:a16="http://schemas.microsoft.com/office/drawing/2014/main" xmlns="" pred="{610767D0-3CCB-4CC6-B5AE-ACED85DD46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704850</xdr:colOff>
      <xdr:row>15</xdr:row>
      <xdr:rowOff>180975</xdr:rowOff>
    </xdr:from>
    <xdr:to>
      <xdr:col>15</xdr:col>
      <xdr:colOff>0</xdr:colOff>
      <xdr:row>28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xmlns="" id="{47F18DEF-71D0-49D2-A72A-C52D42D09082}"/>
            </a:ext>
            <a:ext uri="{147F2762-F138-4A5C-976F-8EAC2B608ADB}">
              <a16:predDERef xmlns:a16="http://schemas.microsoft.com/office/drawing/2014/main" xmlns="" pred="{01B4CBDE-2172-4670-B98E-E35343110B4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361950</xdr:colOff>
      <xdr:row>2</xdr:row>
      <xdr:rowOff>180975</xdr:rowOff>
    </xdr:from>
    <xdr:to>
      <xdr:col>16</xdr:col>
      <xdr:colOff>590550</xdr:colOff>
      <xdr:row>13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945CD7D9-7CBB-4058-981F-66633473E299}"/>
            </a:ext>
            <a:ext uri="{147F2762-F138-4A5C-976F-8EAC2B608ADB}">
              <a16:predDERef xmlns:a16="http://schemas.microsoft.com/office/drawing/2014/main" xmlns="" pred="{47F18DEF-71D0-49D2-A72A-C52D42D090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171450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90B17A2E-7A1A-41FA-892E-5CA42A51B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B60BAEEC-2B8E-47B0-8A56-8BD01A610F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CF01F9C-AD3E-4121-AEF9-8A88470896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6BC885C-6488-4DF1-A3B5-A96CC2B9FFC6}"/>
            </a:ext>
            <a:ext uri="{147F2762-F138-4A5C-976F-8EAC2B608ADB}">
              <a16:predDERef xmlns:a16="http://schemas.microsoft.com/office/drawing/2014/main" xmlns="" pred="{4CF01F9C-AD3E-4121-AEF9-8A88470896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29CF3D9-45D5-442E-925F-13D71673B06C}"/>
            </a:ext>
            <a:ext uri="{147F2762-F138-4A5C-976F-8EAC2B608ADB}">
              <a16:predDERef xmlns:a16="http://schemas.microsoft.com/office/drawing/2014/main" xmlns="" pred="{36BC885C-6488-4DF1-A3B5-A96CC2B9F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05BF230C-84D2-43FB-8CEF-E59F6D84F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3C96A02-E061-4B0D-B24F-C6B580552C7C}"/>
            </a:ext>
            <a:ext uri="{147F2762-F138-4A5C-976F-8EAC2B608ADB}">
              <a16:predDERef xmlns:a16="http://schemas.microsoft.com/office/drawing/2014/main" xmlns="" pred="{05BF230C-84D2-43FB-8CEF-E59F6D84F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E21B638-354D-4472-AB7F-602058E45D99}"/>
            </a:ext>
            <a:ext uri="{147F2762-F138-4A5C-976F-8EAC2B608ADB}">
              <a16:predDERef xmlns:a16="http://schemas.microsoft.com/office/drawing/2014/main" xmlns="" pred="{83C96A02-E061-4B0D-B24F-C6B580552C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0103B70-7A3B-401E-84C7-17D175614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5EFEB4E-06E9-4C77-B2F3-8224471A0F9A}"/>
            </a:ext>
            <a:ext uri="{147F2762-F138-4A5C-976F-8EAC2B608ADB}">
              <a16:predDERef xmlns:a16="http://schemas.microsoft.com/office/drawing/2014/main" xmlns="" pred="{70103B70-7A3B-401E-84C7-17D175614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FEBE228-DF12-4CF3-AD66-F15CC03E7C52}"/>
            </a:ext>
            <a:ext uri="{147F2762-F138-4A5C-976F-8EAC2B608ADB}">
              <a16:predDERef xmlns:a16="http://schemas.microsoft.com/office/drawing/2014/main" xmlns="" pred="{05EFEB4E-06E9-4C77-B2F3-8224471A0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A5F74DB-D85A-41C1-80A1-9EE46FCDB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4DF89D4-A778-46C2-8E58-A46946988D3E}"/>
            </a:ext>
            <a:ext uri="{147F2762-F138-4A5C-976F-8EAC2B608ADB}">
              <a16:predDERef xmlns:a16="http://schemas.microsoft.com/office/drawing/2014/main" xmlns="" pred="{6A5F74DB-D85A-41C1-80A1-9EE46FCDB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106890C-B70B-4CEE-9E5A-49B5B2827D2A}"/>
            </a:ext>
            <a:ext uri="{147F2762-F138-4A5C-976F-8EAC2B608ADB}">
              <a16:predDERef xmlns:a16="http://schemas.microsoft.com/office/drawing/2014/main" xmlns="" pred="{04DF89D4-A778-46C2-8E58-A46946988D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D4646751-3B95-4861-8FA3-55A32BC2D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56BAABD-91DE-497C-80BF-DF5D9060490A}"/>
            </a:ext>
            <a:ext uri="{147F2762-F138-4A5C-976F-8EAC2B608ADB}">
              <a16:predDERef xmlns:a16="http://schemas.microsoft.com/office/drawing/2014/main" xmlns="" pred="{D4646751-3B95-4861-8FA3-55A32BC2D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BACD77C0-22B0-457B-A964-51318DBF78AA}"/>
            </a:ext>
            <a:ext uri="{147F2762-F138-4A5C-976F-8EAC2B608ADB}">
              <a16:predDERef xmlns:a16="http://schemas.microsoft.com/office/drawing/2014/main" xmlns="" pred="{B56BAABD-91DE-497C-80BF-DF5D90604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4AE5DCD-9E53-42FF-BCA7-A3F7D0B45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C402A4AE-FCB7-4687-8D52-0F72D07CA393}"/>
            </a:ext>
            <a:ext uri="{147F2762-F138-4A5C-976F-8EAC2B608ADB}">
              <a16:predDERef xmlns:a16="http://schemas.microsoft.com/office/drawing/2014/main" xmlns="" pred="{34AE5DCD-9E53-42FF-BCA7-A3F7D0B45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41CACB7-EF44-453A-B5B6-E9B667255444}"/>
            </a:ext>
            <a:ext uri="{147F2762-F138-4A5C-976F-8EAC2B608ADB}">
              <a16:predDERef xmlns:a16="http://schemas.microsoft.com/office/drawing/2014/main" xmlns="" pred="{C402A4AE-FCB7-4687-8D52-0F72D07CA3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F099A25-4EA7-4095-9FBC-DFF291538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C17ADE3-C830-4EE7-AC30-17BC0E3C2CC7}"/>
            </a:ext>
            <a:ext uri="{147F2762-F138-4A5C-976F-8EAC2B608ADB}">
              <a16:predDERef xmlns:a16="http://schemas.microsoft.com/office/drawing/2014/main" xmlns="" pred="{3F099A25-4EA7-4095-9FBC-DFF291538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D6EE127-4554-44CC-A2D3-1D0F02C701DE}"/>
            </a:ext>
            <a:ext uri="{147F2762-F138-4A5C-976F-8EAC2B608ADB}">
              <a16:predDERef xmlns:a16="http://schemas.microsoft.com/office/drawing/2014/main" xmlns="" pred="{8C17ADE3-C830-4EE7-AC30-17BC0E3C2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409B756-8452-4D70-81A4-4259B81B0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6BCA200-F163-4FAC-ABB6-F9E1882C2AF0}"/>
            </a:ext>
            <a:ext uri="{147F2762-F138-4A5C-976F-8EAC2B608ADB}">
              <a16:predDERef xmlns:a16="http://schemas.microsoft.com/office/drawing/2014/main" xmlns="" pred="{E409B756-8452-4D70-81A4-4259B81B0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50A8EE5-EEAC-484E-843C-CDE1AFD9C522}"/>
            </a:ext>
            <a:ext uri="{147F2762-F138-4A5C-976F-8EAC2B608ADB}">
              <a16:predDERef xmlns:a16="http://schemas.microsoft.com/office/drawing/2014/main" xmlns="" pred="{06BCA200-F163-4FAC-ABB6-F9E1882C2A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BCA6004-B34D-4266-9BED-1F9CDDFBF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A1D4E49-F78B-4A04-BA5B-4DD4B7F72228}"/>
            </a:ext>
            <a:ext uri="{147F2762-F138-4A5C-976F-8EAC2B608ADB}">
              <a16:predDERef xmlns:a16="http://schemas.microsoft.com/office/drawing/2014/main" xmlns="" pred="{7BCA6004-B34D-4266-9BED-1F9CDDFBF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05E02C4A-B743-44C4-BE8C-DABA5E260AA3}"/>
            </a:ext>
            <a:ext uri="{147F2762-F138-4A5C-976F-8EAC2B608ADB}">
              <a16:predDERef xmlns:a16="http://schemas.microsoft.com/office/drawing/2014/main" xmlns="" pred="{AA1D4E49-F78B-4A04-BA5B-4DD4B7F722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42C7B1F-5ADA-4B1B-A5BC-BCB425196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8069969-4285-4B22-BD27-87309455EDAF}"/>
            </a:ext>
            <a:ext uri="{147F2762-F138-4A5C-976F-8EAC2B608ADB}">
              <a16:predDERef xmlns:a16="http://schemas.microsoft.com/office/drawing/2014/main" xmlns="" pred="{442C7B1F-5ADA-4B1B-A5BC-BCB425196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E348A90-6ED4-4BCB-A196-EA49DCD680C2}"/>
            </a:ext>
            <a:ext uri="{147F2762-F138-4A5C-976F-8EAC2B608ADB}">
              <a16:predDERef xmlns:a16="http://schemas.microsoft.com/office/drawing/2014/main" xmlns="" pred="{B8069969-4285-4B22-BD27-87309455E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CFAE5B1-429B-483F-9D15-3C42EF518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B0567D4-7B09-416C-BB32-C80F67EFF376}"/>
            </a:ext>
            <a:ext uri="{147F2762-F138-4A5C-976F-8EAC2B608ADB}">
              <a16:predDERef xmlns:a16="http://schemas.microsoft.com/office/drawing/2014/main" xmlns="" pred="{6CFAE5B1-429B-483F-9D15-3C42EF518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312983C-ADCA-4E1B-8C8E-AC8EB9CD68B8}"/>
            </a:ext>
            <a:ext uri="{147F2762-F138-4A5C-976F-8EAC2B608ADB}">
              <a16:predDERef xmlns:a16="http://schemas.microsoft.com/office/drawing/2014/main" xmlns="" pred="{1B0567D4-7B09-416C-BB32-C80F67EFF3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A388528-083F-4473-A81D-5F13BB581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D3F23E4-B31E-40D0-BC29-2CBC7364533D}"/>
            </a:ext>
            <a:ext uri="{147F2762-F138-4A5C-976F-8EAC2B608ADB}">
              <a16:predDERef xmlns:a16="http://schemas.microsoft.com/office/drawing/2014/main" xmlns="" pred="{9A388528-083F-4473-A81D-5F13BB581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BA717CC4-F28A-48BC-AB9F-B5EDC175FDD7}"/>
            </a:ext>
            <a:ext uri="{147F2762-F138-4A5C-976F-8EAC2B608ADB}">
              <a16:predDERef xmlns:a16="http://schemas.microsoft.com/office/drawing/2014/main" xmlns="" pred="{3D3F23E4-B31E-40D0-BC29-2CBC73645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F914782-DF13-4EFC-884B-F70EC781F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E59971F-7098-47B8-80BE-EF372945C642}"/>
            </a:ext>
            <a:ext uri="{147F2762-F138-4A5C-976F-8EAC2B608ADB}">
              <a16:predDERef xmlns:a16="http://schemas.microsoft.com/office/drawing/2014/main" xmlns="" pred="{7F914782-DF13-4EFC-884B-F70EC781F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4314679-59A0-42AF-80D2-A9A2C16CB852}"/>
            </a:ext>
            <a:ext uri="{147F2762-F138-4A5C-976F-8EAC2B608ADB}">
              <a16:predDERef xmlns:a16="http://schemas.microsoft.com/office/drawing/2014/main" xmlns="" pred="{2E59971F-7098-47B8-80BE-EF372945C6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3CFD973-EEE1-4D4A-ABBC-DF1088942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C4FAA786-4846-4EF1-A86A-D88395E03E5F}"/>
            </a:ext>
            <a:ext uri="{147F2762-F138-4A5C-976F-8EAC2B608ADB}">
              <a16:predDERef xmlns:a16="http://schemas.microsoft.com/office/drawing/2014/main" xmlns="" pred="{83CFD973-EEE1-4D4A-ABBC-DF1088942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B281B4D-3496-4232-ABCF-177FECF233BF}"/>
            </a:ext>
            <a:ext uri="{147F2762-F138-4A5C-976F-8EAC2B608ADB}">
              <a16:predDERef xmlns:a16="http://schemas.microsoft.com/office/drawing/2014/main" xmlns="" pred="{C4FAA786-4846-4EF1-A86A-D88395E03E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723E832-059A-4EB0-B0B1-F0731099EF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53CB72A-57A8-4CC7-811C-5555667AE557}"/>
            </a:ext>
            <a:ext uri="{147F2762-F138-4A5C-976F-8EAC2B608ADB}">
              <a16:predDERef xmlns:a16="http://schemas.microsoft.com/office/drawing/2014/main" xmlns="" pred="{1723E832-059A-4EB0-B0B1-F0731099EF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5C2A16F-3CE4-4684-81B8-A98222FBBF99}"/>
            </a:ext>
            <a:ext uri="{147F2762-F138-4A5C-976F-8EAC2B608ADB}">
              <a16:predDERef xmlns:a16="http://schemas.microsoft.com/office/drawing/2014/main" xmlns="" pred="{253CB72A-57A8-4CC7-811C-5555667AE5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19636EF-0759-441A-B2B9-AC2F7CCEB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278E989-3223-4390-A700-9B10C43B6113}"/>
            </a:ext>
            <a:ext uri="{147F2762-F138-4A5C-976F-8EAC2B608ADB}">
              <a16:predDERef xmlns:a16="http://schemas.microsoft.com/office/drawing/2014/main" xmlns="" pred="{B19636EF-0759-441A-B2B9-AC2F7CCEB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E187386-7548-48C6-A6C6-DE5A8E0C5E2F}"/>
            </a:ext>
            <a:ext uri="{147F2762-F138-4A5C-976F-8EAC2B608ADB}">
              <a16:predDERef xmlns:a16="http://schemas.microsoft.com/office/drawing/2014/main" xmlns="" pred="{2278E989-3223-4390-A700-9B10C43B6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8A2EDFB-BC42-4EE2-A9CE-6E49D1C17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D389C7DF-7630-46DD-BB8A-50364775041A}"/>
            </a:ext>
            <a:ext uri="{147F2762-F138-4A5C-976F-8EAC2B608ADB}">
              <a16:predDERef xmlns:a16="http://schemas.microsoft.com/office/drawing/2014/main" xmlns="" pred="{18A2EDFB-BC42-4EE2-A9CE-6E49D1C17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7433DDC-3844-4ECF-9304-2731755051FE}"/>
            </a:ext>
            <a:ext uri="{147F2762-F138-4A5C-976F-8EAC2B608ADB}">
              <a16:predDERef xmlns:a16="http://schemas.microsoft.com/office/drawing/2014/main" xmlns="" pred="{D389C7DF-7630-46DD-BB8A-5036477504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1AB3EB6-88F0-4151-85B2-E6B66B917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B774C1F-BFE6-45A9-9CB5-AA3E1E4CF180}"/>
            </a:ext>
            <a:ext uri="{147F2762-F138-4A5C-976F-8EAC2B608ADB}">
              <a16:predDERef xmlns:a16="http://schemas.microsoft.com/office/drawing/2014/main" xmlns="" pred="{81AB3EB6-88F0-4151-85B2-E6B66B917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4DECFD9-DBB0-4492-9E2C-BA773E1E502D}"/>
            </a:ext>
            <a:ext uri="{147F2762-F138-4A5C-976F-8EAC2B608ADB}">
              <a16:predDERef xmlns:a16="http://schemas.microsoft.com/office/drawing/2014/main" xmlns="" pred="{2B774C1F-BFE6-45A9-9CB5-AA3E1E4CF1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D3833084-EB27-49A4-8ACA-30FC91C93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C3372BC-648B-4A02-AF81-854B7A2BAF38}"/>
            </a:ext>
            <a:ext uri="{147F2762-F138-4A5C-976F-8EAC2B608ADB}">
              <a16:predDERef xmlns:a16="http://schemas.microsoft.com/office/drawing/2014/main" xmlns="" pred="{D3833084-EB27-49A4-8ACA-30FC91C93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42E6CA8-84BE-4C73-8D15-58A6165D50DF}"/>
            </a:ext>
            <a:ext uri="{147F2762-F138-4A5C-976F-8EAC2B608ADB}">
              <a16:predDERef xmlns:a16="http://schemas.microsoft.com/office/drawing/2014/main" xmlns="" pred="{BC3372BC-648B-4A02-AF81-854B7A2BA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822C02C-06ED-4107-9FEA-30135B823C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367A69A-2B41-4A46-8172-4F081AEE5B3A}"/>
            </a:ext>
            <a:ext uri="{147F2762-F138-4A5C-976F-8EAC2B608ADB}">
              <a16:predDERef xmlns:a16="http://schemas.microsoft.com/office/drawing/2014/main" xmlns="" pred="{8822C02C-06ED-4107-9FEA-30135B823C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E3346E7-AD98-4A48-8DBA-D228EA838CB9}"/>
            </a:ext>
            <a:ext uri="{147F2762-F138-4A5C-976F-8EAC2B608ADB}">
              <a16:predDERef xmlns:a16="http://schemas.microsoft.com/office/drawing/2014/main" xmlns="" pred="{B367A69A-2B41-4A46-8172-4F081AEE5B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550783E-90C5-4A2A-B467-343A027573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F7E446C-7603-4BC2-896D-707D10AA3D7D}"/>
            </a:ext>
            <a:ext uri="{147F2762-F138-4A5C-976F-8EAC2B608ADB}">
              <a16:predDERef xmlns:a16="http://schemas.microsoft.com/office/drawing/2014/main" xmlns="" pred="{A550783E-90C5-4A2A-B467-343A027573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FCE66CD7-A330-494F-A353-DE7F17A833D0}"/>
            </a:ext>
            <a:ext uri="{147F2762-F138-4A5C-976F-8EAC2B608ADB}">
              <a16:predDERef xmlns:a16="http://schemas.microsoft.com/office/drawing/2014/main" xmlns="" pred="{5F7E446C-7603-4BC2-896D-707D10AA3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5020869-011D-49CF-977F-938AF6BFC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EA58864-B7CC-43F7-BC1E-9C723DBFE412}"/>
            </a:ext>
            <a:ext uri="{147F2762-F138-4A5C-976F-8EAC2B608ADB}">
              <a16:predDERef xmlns:a16="http://schemas.microsoft.com/office/drawing/2014/main" xmlns="" pred="{E5020869-011D-49CF-977F-938AF6BFC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BCD01C6-14BF-42BA-8ECF-C49606C30820}"/>
            </a:ext>
            <a:ext uri="{147F2762-F138-4A5C-976F-8EAC2B608ADB}">
              <a16:predDERef xmlns:a16="http://schemas.microsoft.com/office/drawing/2014/main" xmlns="" pred="{9EA58864-B7CC-43F7-BC1E-9C723DBFE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76EB356-2A9B-4385-9432-CC249A84C3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4654DFA4-686A-47D2-8428-C8DDFF387952}"/>
            </a:ext>
            <a:ext uri="{147F2762-F138-4A5C-976F-8EAC2B608ADB}">
              <a16:predDERef xmlns:a16="http://schemas.microsoft.com/office/drawing/2014/main" xmlns="" pred="{E76EB356-2A9B-4385-9432-CC249A84C3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F383C90-5ABE-4B32-841F-66EB402A6F31}"/>
            </a:ext>
            <a:ext uri="{147F2762-F138-4A5C-976F-8EAC2B608ADB}">
              <a16:predDERef xmlns:a16="http://schemas.microsoft.com/office/drawing/2014/main" xmlns="" pred="{4654DFA4-686A-47D2-8428-C8DDFF387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6D27A001-F186-409B-BE63-6F1B38395C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DC6808CB-0B02-4C6A-B3FF-977DCA504F48}"/>
            </a:ext>
            <a:ext uri="{147F2762-F138-4A5C-976F-8EAC2B608ADB}">
              <a16:predDERef xmlns:a16="http://schemas.microsoft.com/office/drawing/2014/main" xmlns="" pred="{6D27A001-F186-409B-BE63-6F1B38395C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xmlns="" id="{8C43AEF2-357E-469B-A6E1-A04E9ABFEC8C}"/>
            </a:ext>
            <a:ext uri="{147F2762-F138-4A5C-976F-8EAC2B608ADB}">
              <a16:predDERef xmlns:a16="http://schemas.microsoft.com/office/drawing/2014/main" xmlns="" pred="{DC6808CB-0B02-4C6A-B3FF-977DCA504F4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ABAF49C-3BFD-40DC-93F4-29C1A11D0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7ECD118-BC97-4F34-891B-8C4E9E7582B0}"/>
            </a:ext>
            <a:ext uri="{147F2762-F138-4A5C-976F-8EAC2B608ADB}">
              <a16:predDERef xmlns:a16="http://schemas.microsoft.com/office/drawing/2014/main" xmlns="" pred="{BABAF49C-3BFD-40DC-93F4-29C1A11D0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421668F-0DB3-4238-AA13-16CE63E8B5E0}"/>
            </a:ext>
            <a:ext uri="{147F2762-F138-4A5C-976F-8EAC2B608ADB}">
              <a16:predDERef xmlns:a16="http://schemas.microsoft.com/office/drawing/2014/main" xmlns="" pred="{87ECD118-BC97-4F34-891B-8C4E9E758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1F02F43-F550-454E-AA48-2B49CB8DD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897F429-4A67-4D1C-9ECF-34B6CB9253A7}"/>
            </a:ext>
            <a:ext uri="{147F2762-F138-4A5C-976F-8EAC2B608ADB}">
              <a16:predDERef xmlns:a16="http://schemas.microsoft.com/office/drawing/2014/main" xmlns="" pred="{E1F02F43-F550-454E-AA48-2B49CB8DD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9CE146D4-6572-4E65-8023-A43F80D6E24D}"/>
            </a:ext>
            <a:ext uri="{147F2762-F138-4A5C-976F-8EAC2B608ADB}">
              <a16:predDERef xmlns:a16="http://schemas.microsoft.com/office/drawing/2014/main" xmlns="" pred="{3897F429-4A67-4D1C-9ECF-34B6CB9253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09A40EEE-C2C1-45F9-89C5-2D5C1E905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2342201-0A0E-43EB-A140-BC9B61D2762F}"/>
            </a:ext>
            <a:ext uri="{147F2762-F138-4A5C-976F-8EAC2B608ADB}">
              <a16:predDERef xmlns:a16="http://schemas.microsoft.com/office/drawing/2014/main" xmlns="" pred="{09A40EEE-C2C1-45F9-89C5-2D5C1E905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A1E8636-9B90-4F3D-BE98-DB2B4689BDFD}"/>
            </a:ext>
            <a:ext uri="{147F2762-F138-4A5C-976F-8EAC2B608ADB}">
              <a16:predDERef xmlns:a16="http://schemas.microsoft.com/office/drawing/2014/main" xmlns="" pred="{82342201-0A0E-43EB-A140-BC9B61D276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2</xdr:row>
      <xdr:rowOff>180975</xdr:rowOff>
    </xdr:from>
    <xdr:to>
      <xdr:col>18</xdr:col>
      <xdr:colOff>590550</xdr:colOff>
      <xdr:row>14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8A19CB99-9B39-46D7-8E2D-EF05B1E6F0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3E3B52AC-B020-4208-A7E0-C0991D43C0E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F24F5E78-EE49-417D-B031-E91F68EE1AB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8D96E8C-A145-4F4C-9B5E-230F65F19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523875</xdr:colOff>
      <xdr:row>16</xdr:row>
      <xdr:rowOff>85725</xdr:rowOff>
    </xdr:from>
    <xdr:to>
      <xdr:col>9</xdr:col>
      <xdr:colOff>647700</xdr:colOff>
      <xdr:row>28</xdr:row>
      <xdr:rowOff>85725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D0FF12FF-ACC6-45ED-BE09-42B3D311EC44}"/>
            </a:ext>
            <a:ext uri="{147F2762-F138-4A5C-976F-8EAC2B608ADB}">
              <a16:predDERef xmlns:a16="http://schemas.microsoft.com/office/drawing/2014/main" xmlns="" pred="{78D96E8C-A145-4F4C-9B5E-230F65F19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618187F-F979-4B33-8205-FCFD9424F01B}"/>
            </a:ext>
            <a:ext uri="{147F2762-F138-4A5C-976F-8EAC2B608ADB}">
              <a16:predDERef xmlns:a16="http://schemas.microsoft.com/office/drawing/2014/main" xmlns="" pred="{D0FF12FF-ACC6-45ED-BE09-42B3D311EC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CC90D32-E0E3-4806-8433-C805E53105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EB708D27-1C87-4E4B-B3E4-3192B3F9E39D}"/>
            </a:ext>
            <a:ext uri="{147F2762-F138-4A5C-976F-8EAC2B608ADB}">
              <a16:predDERef xmlns:a16="http://schemas.microsoft.com/office/drawing/2014/main" xmlns="" pred="{2CC90D32-E0E3-4806-8433-C805E53105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B051067-EF81-478B-BD38-8D362F278CB8}"/>
            </a:ext>
            <a:ext uri="{147F2762-F138-4A5C-976F-8EAC2B608ADB}">
              <a16:predDERef xmlns:a16="http://schemas.microsoft.com/office/drawing/2014/main" xmlns="" pred="{EB708D27-1C87-4E4B-B3E4-3192B3F9E3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B9F535C-AE5F-45F0-8A0E-82A18AF5A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0252B0B-0EA0-4D3C-869D-484081625DE0}"/>
            </a:ext>
            <a:ext uri="{147F2762-F138-4A5C-976F-8EAC2B608ADB}">
              <a16:predDERef xmlns:a16="http://schemas.microsoft.com/office/drawing/2014/main" xmlns="" pred="{AB9F535C-AE5F-45F0-8A0E-82A18AF5A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AF43D354-44C1-4281-87F8-79E758428E07}"/>
            </a:ext>
            <a:ext uri="{147F2762-F138-4A5C-976F-8EAC2B608ADB}">
              <a16:predDERef xmlns:a16="http://schemas.microsoft.com/office/drawing/2014/main" xmlns="" pred="{A0252B0B-0EA0-4D3C-869D-484081625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CDC4DF6-D3A0-46A6-9B32-BA77BFAB5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94739E8-8E69-4C65-8C55-F6D556C60B72}"/>
            </a:ext>
            <a:ext uri="{147F2762-F138-4A5C-976F-8EAC2B608ADB}">
              <a16:predDERef xmlns:a16="http://schemas.microsoft.com/office/drawing/2014/main" xmlns="" pred="{3CDC4DF6-D3A0-46A6-9B32-BA77BFAB5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9C1B9F7-BFE8-4C4A-9B64-D58D9A16629F}"/>
            </a:ext>
            <a:ext uri="{147F2762-F138-4A5C-976F-8EAC2B608ADB}">
              <a16:predDERef xmlns:a16="http://schemas.microsoft.com/office/drawing/2014/main" xmlns="" pred="{294739E8-8E69-4C65-8C55-F6D556C60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EFE4423-B748-4527-A481-CF0335D20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D81F04A-3CCD-41D2-B92A-61987C2F70E3}"/>
            </a:ext>
            <a:ext uri="{147F2762-F138-4A5C-976F-8EAC2B608ADB}">
              <a16:predDERef xmlns:a16="http://schemas.microsoft.com/office/drawing/2014/main" xmlns="" pred="{9EFE4423-B748-4527-A481-CF0335D20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499BB67-71C2-4DBC-877E-9D3F0F3EFA5C}"/>
            </a:ext>
            <a:ext uri="{147F2762-F138-4A5C-976F-8EAC2B608ADB}">
              <a16:predDERef xmlns:a16="http://schemas.microsoft.com/office/drawing/2014/main" xmlns="" pred="{8D81F04A-3CCD-41D2-B92A-61987C2F70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CBD1EA4-0FDC-4DEF-8838-998B522A8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2759113-A522-4740-9C78-6B835753AF52}"/>
            </a:ext>
            <a:ext uri="{147F2762-F138-4A5C-976F-8EAC2B608ADB}">
              <a16:predDERef xmlns:a16="http://schemas.microsoft.com/office/drawing/2014/main" xmlns="" pred="{1CBD1EA4-0FDC-4DEF-8838-998B522A8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35A5F38-1533-4391-BE19-0A697771A7CC}"/>
            </a:ext>
            <a:ext uri="{147F2762-F138-4A5C-976F-8EAC2B608ADB}">
              <a16:predDERef xmlns:a16="http://schemas.microsoft.com/office/drawing/2014/main" xmlns="" pred="{82759113-A522-4740-9C78-6B835753AF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33AFB07-6CB3-4894-A211-D6BA877AD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7A83E2F-FC65-454D-B409-0F2C60595FF2}"/>
            </a:ext>
            <a:ext uri="{147F2762-F138-4A5C-976F-8EAC2B608ADB}">
              <a16:predDERef xmlns:a16="http://schemas.microsoft.com/office/drawing/2014/main" xmlns="" pred="{333AFB07-6CB3-4894-A211-D6BA877AD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A4110A5D-C530-4B34-B9C6-6C02DDF5E1C0}"/>
            </a:ext>
            <a:ext uri="{147F2762-F138-4A5C-976F-8EAC2B608ADB}">
              <a16:predDERef xmlns:a16="http://schemas.microsoft.com/office/drawing/2014/main" xmlns="" pred="{97A83E2F-FC65-454D-B409-0F2C60595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EE6C1EA-7A0D-4982-9DEB-6ADFA6653D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B774B7A-AD93-4794-A927-3EFF6C8BE388}"/>
            </a:ext>
            <a:ext uri="{147F2762-F138-4A5C-976F-8EAC2B608ADB}">
              <a16:predDERef xmlns:a16="http://schemas.microsoft.com/office/drawing/2014/main" xmlns="" pred="{2EE6C1EA-7A0D-4982-9DEB-6ADFA6653D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9F7160F4-685B-4CCD-B529-4D0D5372BE60}"/>
            </a:ext>
            <a:ext uri="{147F2762-F138-4A5C-976F-8EAC2B608ADB}">
              <a16:predDERef xmlns:a16="http://schemas.microsoft.com/office/drawing/2014/main" xmlns="" pred="{AB774B7A-AD93-4794-A927-3EFF6C8BE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08BE754-27C7-49A0-B86D-F154F54D3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E35F3EA-39F5-4A2A-9897-D54BB4BD732E}"/>
            </a:ext>
            <a:ext uri="{147F2762-F138-4A5C-976F-8EAC2B608ADB}">
              <a16:predDERef xmlns:a16="http://schemas.microsoft.com/office/drawing/2014/main" xmlns="" pred="{608BE754-27C7-49A0-B86D-F154F54D3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8C8FC2A2-411A-43AE-95E4-8DF63D490F48}"/>
            </a:ext>
            <a:ext uri="{147F2762-F138-4A5C-976F-8EAC2B608ADB}">
              <a16:predDERef xmlns:a16="http://schemas.microsoft.com/office/drawing/2014/main" xmlns="" pred="{7E35F3EA-39F5-4A2A-9897-D54BB4BD7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C1BE8F8-7B11-4A3A-88C7-97D5983E7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316D390-9722-488A-9AAF-DF8521ECB0CA}"/>
            </a:ext>
            <a:ext uri="{147F2762-F138-4A5C-976F-8EAC2B608ADB}">
              <a16:predDERef xmlns:a16="http://schemas.microsoft.com/office/drawing/2014/main" xmlns="" pred="{4C1BE8F8-7B11-4A3A-88C7-97D5983E7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B7A95FC-953D-4FBF-A686-0CABD28C8E81}"/>
            </a:ext>
            <a:ext uri="{147F2762-F138-4A5C-976F-8EAC2B608ADB}">
              <a16:predDERef xmlns:a16="http://schemas.microsoft.com/office/drawing/2014/main" xmlns="" pred="{9316D390-9722-488A-9AAF-DF8521ECB0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97C9A48-B20A-4886-AD73-E4286F7472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CBA1606-B32D-4B0D-B459-E42C19BF5A22}"/>
            </a:ext>
            <a:ext uri="{147F2762-F138-4A5C-976F-8EAC2B608ADB}">
              <a16:predDERef xmlns:a16="http://schemas.microsoft.com/office/drawing/2014/main" xmlns="" pred="{B97C9A48-B20A-4886-AD73-E4286F7472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81B858B-71A6-43FB-9AE2-716CC6F23D30}"/>
            </a:ext>
            <a:ext uri="{147F2762-F138-4A5C-976F-8EAC2B608ADB}">
              <a16:predDERef xmlns:a16="http://schemas.microsoft.com/office/drawing/2014/main" xmlns="" pred="{3CBA1606-B32D-4B0D-B459-E42C19BF5A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98F03EC-54E9-4F68-B642-0A25EAD4B4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F124654-E6CB-41E6-ABE1-E9665D675D28}"/>
            </a:ext>
            <a:ext uri="{147F2762-F138-4A5C-976F-8EAC2B608ADB}">
              <a16:predDERef xmlns:a16="http://schemas.microsoft.com/office/drawing/2014/main" xmlns="" pred="{C98F03EC-54E9-4F68-B642-0A25EAD4B4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8740070D-5658-4097-A7B4-0A86A77116FF}"/>
            </a:ext>
            <a:ext uri="{147F2762-F138-4A5C-976F-8EAC2B608ADB}">
              <a16:predDERef xmlns:a16="http://schemas.microsoft.com/office/drawing/2014/main" xmlns="" pred="{6F124654-E6CB-41E6-ABE1-E9665D675D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C5A9DAE-E152-4B2C-90C3-C9D551816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9E91799-B7D4-4F93-B0A8-D93C8D809353}"/>
            </a:ext>
            <a:ext uri="{147F2762-F138-4A5C-976F-8EAC2B608ADB}">
              <a16:predDERef xmlns:a16="http://schemas.microsoft.com/office/drawing/2014/main" xmlns="" pred="{EC5A9DAE-E152-4B2C-90C3-C9D551816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ED7AE7D-A8DC-4C96-ABDC-0ED4BA737417}"/>
            </a:ext>
            <a:ext uri="{147F2762-F138-4A5C-976F-8EAC2B608ADB}">
              <a16:predDERef xmlns:a16="http://schemas.microsoft.com/office/drawing/2014/main" xmlns="" pred="{79E91799-B7D4-4F93-B0A8-D93C8D809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0480693-86AA-41CA-BAE1-87FB355A0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A4E1319-C8D3-4E57-B78D-559F7D402A0C}"/>
            </a:ext>
            <a:ext uri="{147F2762-F138-4A5C-976F-8EAC2B608ADB}">
              <a16:predDERef xmlns:a16="http://schemas.microsoft.com/office/drawing/2014/main" xmlns="" pred="{20480693-86AA-41CA-BAE1-87FB355A0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89C940F-670E-4639-8114-CA69B7193819}"/>
            </a:ext>
            <a:ext uri="{147F2762-F138-4A5C-976F-8EAC2B608ADB}">
              <a16:predDERef xmlns:a16="http://schemas.microsoft.com/office/drawing/2014/main" xmlns="" pred="{1A4E1319-C8D3-4E57-B78D-559F7D402A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86B7673-2D5A-4163-8FBC-4CA93F6D36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E6D1B6D-48F5-4D76-9048-C318662528D5}"/>
            </a:ext>
            <a:ext uri="{147F2762-F138-4A5C-976F-8EAC2B608ADB}">
              <a16:predDERef xmlns:a16="http://schemas.microsoft.com/office/drawing/2014/main" xmlns="" pred="{886B7673-2D5A-4163-8FBC-4CA93F6D36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0891912-1E51-4189-98F5-D49A634C5925}"/>
            </a:ext>
            <a:ext uri="{147F2762-F138-4A5C-976F-8EAC2B608ADB}">
              <a16:predDERef xmlns:a16="http://schemas.microsoft.com/office/drawing/2014/main" xmlns="" pred="{6E6D1B6D-48F5-4D76-9048-C31866252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04487262-0B01-428B-994F-3D32EF3B5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9536C09-6C76-4A81-92E2-9A10D9A37306}"/>
            </a:ext>
            <a:ext uri="{147F2762-F138-4A5C-976F-8EAC2B608ADB}">
              <a16:predDERef xmlns:a16="http://schemas.microsoft.com/office/drawing/2014/main" xmlns="" pred="{04487262-0B01-428B-994F-3D32EF3B5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96FDDFE2-78D0-45FB-BCA1-CB6C0E9BBDD4}"/>
            </a:ext>
            <a:ext uri="{147F2762-F138-4A5C-976F-8EAC2B608ADB}">
              <a16:predDERef xmlns:a16="http://schemas.microsoft.com/office/drawing/2014/main" xmlns="" pred="{89536C09-6C76-4A81-92E2-9A10D9A37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448EA12-4E10-4009-8D27-3223240AF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118A479-7B1A-4FAA-B390-1252CB695242}"/>
            </a:ext>
            <a:ext uri="{147F2762-F138-4A5C-976F-8EAC2B608ADB}">
              <a16:predDERef xmlns:a16="http://schemas.microsoft.com/office/drawing/2014/main" xmlns="" pred="{8448EA12-4E10-4009-8D27-3223240AF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85DABAA-37CE-4C4B-A443-626917F069C4}"/>
            </a:ext>
            <a:ext uri="{147F2762-F138-4A5C-976F-8EAC2B608ADB}">
              <a16:predDERef xmlns:a16="http://schemas.microsoft.com/office/drawing/2014/main" xmlns="" pred="{8118A479-7B1A-4FAA-B390-1252CB695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4809D82-45EE-429A-9FF6-48E855F50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4B1CB095-4D21-4C21-A943-F549CB93BB19}"/>
            </a:ext>
            <a:ext uri="{147F2762-F138-4A5C-976F-8EAC2B608ADB}">
              <a16:predDERef xmlns:a16="http://schemas.microsoft.com/office/drawing/2014/main" xmlns="" pred="{74809D82-45EE-429A-9FF6-48E855F50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906C1240-C551-4803-B8BF-6C2469F78E5F}"/>
            </a:ext>
            <a:ext uri="{147F2762-F138-4A5C-976F-8EAC2B608ADB}">
              <a16:predDERef xmlns:a16="http://schemas.microsoft.com/office/drawing/2014/main" xmlns="" pred="{4B1CB095-4D21-4C21-A943-F549CB93BB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EA4850C-4006-4043-A4E0-B63227ED9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F13209A-1EF2-4A3F-94A7-131629EFF521}"/>
            </a:ext>
            <a:ext uri="{147F2762-F138-4A5C-976F-8EAC2B608ADB}">
              <a16:predDERef xmlns:a16="http://schemas.microsoft.com/office/drawing/2014/main" xmlns="" pred="{1EA4850C-4006-4043-A4E0-B63227ED9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8D7052D-BB5E-402C-8D09-99C75FAC149A}"/>
            </a:ext>
            <a:ext uri="{147F2762-F138-4A5C-976F-8EAC2B608ADB}">
              <a16:predDERef xmlns:a16="http://schemas.microsoft.com/office/drawing/2014/main" xmlns="" pred="{0F13209A-1EF2-4A3F-94A7-131629EFF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FB604B3-39E7-4E54-A5AC-D9E76B4A7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A7E4B96-7A9B-4BDE-B375-952C2571225C}"/>
            </a:ext>
            <a:ext uri="{147F2762-F138-4A5C-976F-8EAC2B608ADB}">
              <a16:predDERef xmlns:a16="http://schemas.microsoft.com/office/drawing/2014/main" xmlns="" pred="{8FB604B3-39E7-4E54-A5AC-D9E76B4A7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0D88100-7071-49A5-BE9D-5CB04EDBFF6B}"/>
            </a:ext>
            <a:ext uri="{147F2762-F138-4A5C-976F-8EAC2B608ADB}">
              <a16:predDERef xmlns:a16="http://schemas.microsoft.com/office/drawing/2014/main" xmlns="" pred="{BA7E4B96-7A9B-4BDE-B375-952C25712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9C524D0-6064-41EA-AB4A-8666248C9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8681002-779E-4241-87DC-4662A390F3CF}"/>
            </a:ext>
            <a:ext uri="{147F2762-F138-4A5C-976F-8EAC2B608ADB}">
              <a16:predDERef xmlns:a16="http://schemas.microsoft.com/office/drawing/2014/main" xmlns="" pred="{39C524D0-6064-41EA-AB4A-8666248C9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2F6CEA7-E70D-492F-9AA7-8C9916B44357}"/>
            </a:ext>
            <a:ext uri="{147F2762-F138-4A5C-976F-8EAC2B608ADB}">
              <a16:predDERef xmlns:a16="http://schemas.microsoft.com/office/drawing/2014/main" xmlns="" pred="{B8681002-779E-4241-87DC-4662A390F3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FEE2FE1C-CAF4-4DC6-B584-8C5E9F8B6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D137CD19-8F0D-4265-B5C7-CD6769F9534B}"/>
            </a:ext>
            <a:ext uri="{147F2762-F138-4A5C-976F-8EAC2B608ADB}">
              <a16:predDERef xmlns:a16="http://schemas.microsoft.com/office/drawing/2014/main" xmlns="" pred="{FEE2FE1C-CAF4-4DC6-B584-8C5E9F8B6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0240745-4761-4D72-BF61-D6D3F93C9FEC}"/>
            </a:ext>
            <a:ext uri="{147F2762-F138-4A5C-976F-8EAC2B608ADB}">
              <a16:predDERef xmlns:a16="http://schemas.microsoft.com/office/drawing/2014/main" xmlns="" pred="{D137CD19-8F0D-4265-B5C7-CD6769F953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1" name="Resp4" displayName="Resp4" ref="A1:EH1437" totalsRowShown="0" headerRowDxfId="148" dataDxfId="147">
  <autoFilter ref="A1:EH1437"/>
  <sortState ref="A2:EH1437">
    <sortCondition ref="B1:B1437"/>
  </sortState>
  <tableColumns count="138">
    <tableColumn id="2" name="Vínculo" dataDxfId="146"/>
    <tableColumn id="5" name="Setor" dataDxfId="145"/>
    <tableColumn id="6" name="4.01" dataDxfId="144"/>
    <tableColumn id="7" name="4.02" dataDxfId="143"/>
    <tableColumn id="8" name="4.03" dataDxfId="142"/>
    <tableColumn id="9" name="4.04" dataDxfId="141"/>
    <tableColumn id="10" name="4.05" dataDxfId="140"/>
    <tableColumn id="11" name="4.06" dataDxfId="139"/>
    <tableColumn id="12" name="4.07" dataDxfId="138"/>
    <tableColumn id="13" name="4.08" dataDxfId="137"/>
    <tableColumn id="14" name="4.09" dataDxfId="136"/>
    <tableColumn id="15" name="4.10" dataDxfId="135"/>
    <tableColumn id="16" name="4.11" dataDxfId="134"/>
    <tableColumn id="17" name="4.12" dataDxfId="133"/>
    <tableColumn id="18" name="4.13" dataDxfId="132"/>
    <tableColumn id="19" name="4.14" dataDxfId="131"/>
    <tableColumn id="20" name="4.15" dataDxfId="130"/>
    <tableColumn id="21" name="4.16" dataDxfId="129"/>
    <tableColumn id="22" name="4.17" dataDxfId="128"/>
    <tableColumn id="23" name="4.18" dataDxfId="127"/>
    <tableColumn id="24" name="4.19" dataDxfId="126"/>
    <tableColumn id="25" name="4.20" dataDxfId="125"/>
    <tableColumn id="26" name="4.21" dataDxfId="124"/>
    <tableColumn id="27" name="4.22" dataDxfId="123"/>
    <tableColumn id="28" name="4.23" dataDxfId="122"/>
    <tableColumn id="29" name="4.24" dataDxfId="121"/>
    <tableColumn id="30" name="4.25" dataDxfId="120"/>
    <tableColumn id="31" name="4.26" dataDxfId="119"/>
    <tableColumn id="32" name="4.27" dataDxfId="118"/>
    <tableColumn id="33" name="4.28" dataDxfId="117"/>
    <tableColumn id="34" name="4.29" dataDxfId="116"/>
    <tableColumn id="35" name="4.30" dataDxfId="115"/>
    <tableColumn id="36" name="4.31" dataDxfId="114"/>
    <tableColumn id="37" name="4.32" dataDxfId="113"/>
    <tableColumn id="38" name="4.33" dataDxfId="112"/>
    <tableColumn id="39" name="4.34" dataDxfId="111"/>
    <tableColumn id="40" name="4.35" dataDxfId="110"/>
    <tableColumn id="41" name="4.36" dataDxfId="109"/>
    <tableColumn id="42" name="4.37" dataDxfId="108"/>
    <tableColumn id="43" name="4.38" dataDxfId="107"/>
    <tableColumn id="44" name="4.39" dataDxfId="106"/>
    <tableColumn id="45" name="4.40" dataDxfId="105"/>
    <tableColumn id="46" name="4.41" dataDxfId="104"/>
    <tableColumn id="47" name="4.42" dataDxfId="103"/>
    <tableColumn id="48" name="4.43" dataDxfId="102"/>
    <tableColumn id="49" name="4.44" dataDxfId="101"/>
    <tableColumn id="50" name="4.45" dataDxfId="100"/>
    <tableColumn id="51" name="4.46" dataDxfId="99"/>
    <tableColumn id="52" name="4.47" dataDxfId="98"/>
    <tableColumn id="53" name="4.48" dataDxfId="97"/>
    <tableColumn id="54" name="4.49" dataDxfId="96"/>
    <tableColumn id="55" name="4.50" dataDxfId="95"/>
    <tableColumn id="56" name="4.51" dataDxfId="94"/>
    <tableColumn id="57" name="4.52" dataDxfId="93"/>
    <tableColumn id="58" name="4.53" dataDxfId="92"/>
    <tableColumn id="59" name="4.54" dataDxfId="91"/>
    <tableColumn id="60" name="4.55" dataDxfId="90"/>
    <tableColumn id="61" name="4.56" dataDxfId="89"/>
    <tableColumn id="62" name="4.57" dataDxfId="88"/>
    <tableColumn id="63" name="4.58" dataDxfId="87"/>
    <tableColumn id="64" name="4.59" dataDxfId="86"/>
    <tableColumn id="65" name="4.60" dataDxfId="85"/>
    <tableColumn id="66" name="4.61" dataDxfId="84"/>
    <tableColumn id="67" name="4.62" dataDxfId="83"/>
    <tableColumn id="68" name="4.63" dataDxfId="82"/>
    <tableColumn id="69" name="4.64" dataDxfId="81"/>
    <tableColumn id="70" name="4.65" dataDxfId="80"/>
    <tableColumn id="71" name="4.66" dataDxfId="79"/>
    <tableColumn id="72" name="4.67" dataDxfId="78"/>
    <tableColumn id="73" name="4.68" dataDxfId="77"/>
    <tableColumn id="74" name="4.69" dataDxfId="76"/>
    <tableColumn id="75" name="4.70" dataDxfId="75"/>
    <tableColumn id="76" name="4.71" dataDxfId="74"/>
    <tableColumn id="77" name="4.72" dataDxfId="73"/>
    <tableColumn id="78" name="4.73" dataDxfId="72"/>
    <tableColumn id="79" name="4.74" dataDxfId="71"/>
    <tableColumn id="80" name="4.75" dataDxfId="70"/>
    <tableColumn id="81" name="4.76" dataDxfId="69"/>
    <tableColumn id="82" name="4.77" dataDxfId="68"/>
    <tableColumn id="83" name="4.78" dataDxfId="67"/>
    <tableColumn id="84" name="4.79" dataDxfId="66"/>
    <tableColumn id="85" name="4.80" dataDxfId="65"/>
    <tableColumn id="86" name="4.81" dataDxfId="64"/>
    <tableColumn id="87" name="4.82" dataDxfId="63"/>
    <tableColumn id="88" name="4.83" dataDxfId="62"/>
    <tableColumn id="89" name="4.84" dataDxfId="61"/>
    <tableColumn id="90" name="4.85" dataDxfId="60"/>
    <tableColumn id="91" name="4.86" dataDxfId="59"/>
    <tableColumn id="92" name="4.87" dataDxfId="58"/>
    <tableColumn id="93" name="4.88" dataDxfId="57"/>
    <tableColumn id="94" name="4.89" dataDxfId="56"/>
    <tableColumn id="95" name="4.90" dataDxfId="55"/>
    <tableColumn id="96" name="4.91" dataDxfId="54"/>
    <tableColumn id="97" name="4.92" dataDxfId="53"/>
    <tableColumn id="98" name="4.93" dataDxfId="52"/>
    <tableColumn id="99" name="4.94" dataDxfId="51"/>
    <tableColumn id="100" name="4.95" dataDxfId="50"/>
    <tableColumn id="101" name="4.96" dataDxfId="49"/>
    <tableColumn id="102" name="4.97" dataDxfId="48"/>
    <tableColumn id="103" name="4.98" dataDxfId="47"/>
    <tableColumn id="104" name="4.99" dataDxfId="46"/>
    <tableColumn id="105" name="4.100" dataDxfId="45"/>
    <tableColumn id="106" name="4.101" dataDxfId="44"/>
    <tableColumn id="107" name="4.102" dataDxfId="43"/>
    <tableColumn id="108" name="4.103" dataDxfId="42"/>
    <tableColumn id="109" name="4.104" dataDxfId="41"/>
    <tableColumn id="110" name="4.105" dataDxfId="40"/>
    <tableColumn id="111" name="4.106" dataDxfId="39"/>
    <tableColumn id="112" name="4.107" dataDxfId="38"/>
    <tableColumn id="113" name="4.108" dataDxfId="37"/>
    <tableColumn id="114" name="4.109" dataDxfId="36"/>
    <tableColumn id="115" name="4.110" dataDxfId="35"/>
    <tableColumn id="116" name="4.111" dataDxfId="34"/>
    <tableColumn id="117" name="4.112" dataDxfId="33"/>
    <tableColumn id="118" name="4.113" dataDxfId="32"/>
    <tableColumn id="119" name="4.114" dataDxfId="31"/>
    <tableColumn id="120" name="4.115" dataDxfId="30"/>
    <tableColumn id="121" name="4.116" dataDxfId="29"/>
    <tableColumn id="122" name="4.117" dataDxfId="28"/>
    <tableColumn id="123" name="4.118" dataDxfId="27"/>
    <tableColumn id="124" name="4.119" dataDxfId="26"/>
    <tableColumn id="125" name="4.120" dataDxfId="25"/>
    <tableColumn id="126" name="4.121" dataDxfId="24"/>
    <tableColumn id="127" name="4.122" dataDxfId="23"/>
    <tableColumn id="128" name="4.123" dataDxfId="22"/>
    <tableColumn id="129" name="4.124" dataDxfId="21"/>
    <tableColumn id="130" name="4.125" dataDxfId="20"/>
    <tableColumn id="131" name="4.126" dataDxfId="19"/>
    <tableColumn id="132" name="4.127" dataDxfId="18"/>
    <tableColumn id="133" name="4.128" dataDxfId="17"/>
    <tableColumn id="134" name="4.129" dataDxfId="16"/>
    <tableColumn id="135" name="4.130" dataDxfId="15"/>
    <tableColumn id="136" name="4.131" dataDxfId="14"/>
    <tableColumn id="137" name="4.132" dataDxfId="13"/>
    <tableColumn id="138" name="4.133" dataDxfId="12"/>
    <tableColumn id="139" name="4.134" dataDxfId="11"/>
    <tableColumn id="140" name="4.135" dataDxfId="10"/>
    <tableColumn id="141" name="4.136" dataDxfId="9"/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id="2" name="Eixo4" displayName="Eixo4" ref="A1:E138" totalsRowShown="0" headerRowDxfId="8" dataDxfId="6" headerRowBorderDxfId="7" tableBorderDxfId="5">
  <autoFilter ref="A1:E138"/>
  <tableColumns count="5">
    <tableColumn id="1" name="Número_Questão" dataDxfId="4"/>
    <tableColumn id="2" name="Tipo_Questão" dataDxfId="3"/>
    <tableColumn id="3" name="Título_Questão" dataDxfId="2"/>
    <tableColumn id="4" name="TítuloGráfico" dataDxfId="1"/>
    <tableColumn id="5" name="Observaçõe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CPA">
      <a:dk1>
        <a:sysClr val="windowText" lastClr="000000"/>
      </a:dk1>
      <a:lt1>
        <a:srgbClr val="FFFFFF"/>
      </a:lt1>
      <a:dk2>
        <a:srgbClr val="FFFFFF"/>
      </a:dk2>
      <a:lt2>
        <a:srgbClr val="FFFFFF"/>
      </a:lt2>
      <a:accent1>
        <a:srgbClr val="FF0000"/>
      </a:accent1>
      <a:accent2>
        <a:srgbClr val="FFC000"/>
      </a:accent2>
      <a:accent3>
        <a:srgbClr val="5B9BD5"/>
      </a:accent3>
      <a:accent4>
        <a:srgbClr val="70AD47"/>
      </a:accent4>
      <a:accent5>
        <a:srgbClr val="FFFFFF"/>
      </a:accent5>
      <a:accent6>
        <a:srgbClr val="FFFFFF"/>
      </a:accent6>
      <a:hlink>
        <a:srgbClr val="FFFFFF"/>
      </a:hlink>
      <a:folHlink>
        <a:srgbClr val="FFFFFF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.xml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.xml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.xml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.xml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.xml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4.xml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5.xml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7.xml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4"/>
  <sheetViews>
    <sheetView showGridLines="0" tabSelected="1" zoomScale="80" zoomScaleNormal="80" workbookViewId="0">
      <selection activeCell="C17" sqref="C17"/>
    </sheetView>
  </sheetViews>
  <sheetFormatPr defaultRowHeight="15" x14ac:dyDescent="0.2"/>
  <cols>
    <col min="1" max="1" width="11.7109375" style="41" customWidth="1"/>
    <col min="2" max="2" width="27.28515625" style="41" customWidth="1"/>
    <col min="3" max="3" width="23.140625" style="41" customWidth="1"/>
    <col min="4" max="4" width="34.42578125" style="41" customWidth="1"/>
    <col min="5" max="5" width="38.7109375" style="41" customWidth="1"/>
    <col min="6" max="6" width="11.85546875" style="41" customWidth="1"/>
    <col min="7" max="7" width="40.140625" style="41" customWidth="1"/>
    <col min="8" max="8" width="37.140625" style="41" customWidth="1"/>
    <col min="9" max="16384" width="9.140625" style="41"/>
  </cols>
  <sheetData>
    <row r="1" spans="1:13" ht="15.75" x14ac:dyDescent="0.25">
      <c r="A1" s="40" t="s">
        <v>0</v>
      </c>
    </row>
    <row r="2" spans="1:13" ht="15.75" x14ac:dyDescent="0.25">
      <c r="A2" s="40"/>
    </row>
    <row r="3" spans="1:13" x14ac:dyDescent="0.2">
      <c r="A3" s="65" t="s">
        <v>1</v>
      </c>
      <c r="B3" s="65"/>
      <c r="C3" s="65"/>
      <c r="D3" s="65"/>
    </row>
    <row r="5" spans="1:13" ht="15.75" x14ac:dyDescent="0.25">
      <c r="A5" s="42" t="s">
        <v>2</v>
      </c>
      <c r="B5" s="42"/>
      <c r="C5" s="42"/>
      <c r="D5" s="42"/>
      <c r="F5" s="43"/>
      <c r="G5" s="43"/>
      <c r="H5" s="43"/>
      <c r="I5" s="44"/>
      <c r="J5" s="44"/>
      <c r="K5" s="44"/>
      <c r="L5" s="44"/>
      <c r="M5" s="44"/>
    </row>
    <row r="6" spans="1:13" x14ac:dyDescent="0.2">
      <c r="A6" s="45" t="s">
        <v>3</v>
      </c>
      <c r="B6" s="46" t="s">
        <v>4</v>
      </c>
      <c r="F6" s="47"/>
      <c r="G6" s="47"/>
      <c r="H6" s="47"/>
      <c r="I6" s="47"/>
      <c r="J6" s="48"/>
      <c r="K6" s="48"/>
      <c r="L6" s="44"/>
      <c r="M6" s="44"/>
    </row>
    <row r="7" spans="1:13" x14ac:dyDescent="0.2">
      <c r="A7" s="45" t="s">
        <v>5</v>
      </c>
      <c r="B7" s="46" t="s">
        <v>6</v>
      </c>
      <c r="F7" s="47"/>
      <c r="G7" s="47"/>
      <c r="H7" s="47"/>
      <c r="I7" s="47"/>
      <c r="J7" s="48"/>
      <c r="K7" s="48"/>
      <c r="L7" s="44"/>
      <c r="M7" s="44"/>
    </row>
    <row r="8" spans="1:13" x14ac:dyDescent="0.2">
      <c r="A8" s="45" t="s">
        <v>7</v>
      </c>
      <c r="B8" s="46" t="s">
        <v>8</v>
      </c>
      <c r="F8" s="49"/>
      <c r="G8" s="44"/>
      <c r="H8" s="44"/>
      <c r="I8" s="44"/>
      <c r="J8" s="50"/>
      <c r="K8" s="50"/>
      <c r="L8" s="44"/>
      <c r="M8" s="44"/>
    </row>
    <row r="9" spans="1:13" x14ac:dyDescent="0.2">
      <c r="A9" s="51" t="s">
        <v>9</v>
      </c>
      <c r="B9" s="46" t="s">
        <v>10</v>
      </c>
      <c r="F9" s="52"/>
      <c r="G9" s="44"/>
      <c r="H9" s="44"/>
      <c r="I9" s="44"/>
      <c r="J9" s="44"/>
      <c r="K9" s="44"/>
      <c r="L9" s="44"/>
      <c r="M9" s="44"/>
    </row>
    <row r="10" spans="1:13" x14ac:dyDescent="0.2">
      <c r="F10" s="44"/>
      <c r="G10" s="44"/>
      <c r="H10" s="44"/>
      <c r="I10" s="44"/>
      <c r="J10" s="44"/>
      <c r="K10" s="44"/>
      <c r="L10" s="44"/>
      <c r="M10" s="44"/>
    </row>
    <row r="11" spans="1:13" x14ac:dyDescent="0.2">
      <c r="A11" s="41" t="s">
        <v>11</v>
      </c>
    </row>
    <row r="13" spans="1:13" x14ac:dyDescent="0.2">
      <c r="A13" s="43" t="s">
        <v>12</v>
      </c>
    </row>
    <row r="14" spans="1:13" s="55" customFormat="1" x14ac:dyDescent="0.2">
      <c r="A14" s="53"/>
      <c r="B14" s="53" t="s">
        <v>13</v>
      </c>
      <c r="C14" s="53" t="s">
        <v>14</v>
      </c>
      <c r="D14" s="54" t="s">
        <v>15</v>
      </c>
    </row>
    <row r="15" spans="1:13" x14ac:dyDescent="0.2">
      <c r="A15" s="56" t="s">
        <v>16</v>
      </c>
      <c r="B15" s="57">
        <f>COUNTIF(Resp4[Vínculo],A15)</f>
        <v>11</v>
      </c>
      <c r="C15" s="57">
        <v>32</v>
      </c>
      <c r="D15" s="58">
        <f>ROUND(B15/C15*100,3)</f>
        <v>34.375</v>
      </c>
    </row>
    <row r="16" spans="1:13" x14ac:dyDescent="0.2">
      <c r="A16" s="59" t="s">
        <v>17</v>
      </c>
      <c r="B16" s="57">
        <f>COUNTIF(Resp4[Vínculo],A16)</f>
        <v>13</v>
      </c>
      <c r="C16" s="57">
        <v>75</v>
      </c>
      <c r="D16" s="58">
        <f t="shared" ref="D16:D17" si="0">ROUND(B16/C16*100,3)</f>
        <v>17.332999999999998</v>
      </c>
    </row>
    <row r="17" spans="1:10" x14ac:dyDescent="0.2">
      <c r="A17" s="60" t="s">
        <v>18</v>
      </c>
      <c r="B17" s="57">
        <f>SUM(B15:B16)</f>
        <v>24</v>
      </c>
      <c r="C17" s="57">
        <f>SUM(C15:C16)</f>
        <v>107</v>
      </c>
      <c r="D17" s="58">
        <f t="shared" si="0"/>
        <v>22.43</v>
      </c>
    </row>
    <row r="18" spans="1:10" x14ac:dyDescent="0.2">
      <c r="A18" s="52">
        <v>1</v>
      </c>
      <c r="B18" s="103" t="s">
        <v>19</v>
      </c>
      <c r="C18" s="103"/>
      <c r="D18" s="103"/>
      <c r="E18" s="103"/>
      <c r="F18" s="103"/>
      <c r="G18" s="103"/>
      <c r="H18" s="103"/>
      <c r="I18" s="103"/>
      <c r="J18" s="103"/>
    </row>
    <row r="19" spans="1:10" x14ac:dyDescent="0.2">
      <c r="A19" s="52"/>
      <c r="B19" s="103"/>
      <c r="C19" s="103"/>
      <c r="D19" s="103"/>
      <c r="E19" s="103"/>
      <c r="F19" s="103"/>
      <c r="G19" s="103"/>
      <c r="H19" s="103"/>
      <c r="I19" s="103"/>
      <c r="J19" s="103"/>
    </row>
    <row r="20" spans="1:10" x14ac:dyDescent="0.2">
      <c r="A20" s="52"/>
      <c r="B20" s="103"/>
      <c r="C20" s="103"/>
      <c r="D20" s="103"/>
      <c r="E20" s="103"/>
      <c r="F20" s="103"/>
      <c r="G20" s="103"/>
      <c r="H20" s="103"/>
      <c r="I20" s="103"/>
      <c r="J20" s="103"/>
    </row>
    <row r="21" spans="1:10" x14ac:dyDescent="0.2">
      <c r="A21" s="52"/>
      <c r="B21" s="61"/>
      <c r="C21" s="61"/>
      <c r="D21" s="61"/>
      <c r="E21" s="61"/>
      <c r="F21" s="61"/>
      <c r="G21" s="61"/>
      <c r="H21" s="61"/>
      <c r="I21" s="61"/>
      <c r="J21" s="61"/>
    </row>
    <row r="22" spans="1:10" x14ac:dyDescent="0.2">
      <c r="A22" s="41" t="s">
        <v>20</v>
      </c>
    </row>
    <row r="23" spans="1:10" x14ac:dyDescent="0.2">
      <c r="A23" s="41" t="s">
        <v>21</v>
      </c>
    </row>
    <row r="24" spans="1:10" ht="15.75" x14ac:dyDescent="0.25">
      <c r="A24" s="62"/>
      <c r="B24" s="62"/>
      <c r="C24" s="62"/>
      <c r="D24" s="62"/>
      <c r="E24" s="62"/>
      <c r="F24" s="63" t="s">
        <v>4</v>
      </c>
      <c r="G24" s="62"/>
      <c r="H24" s="62"/>
      <c r="I24"/>
    </row>
    <row r="25" spans="1:10" ht="15.75" x14ac:dyDescent="0.25">
      <c r="A25" s="71"/>
      <c r="B25" s="83" t="s">
        <v>22</v>
      </c>
      <c r="C25" s="85"/>
      <c r="D25" s="85"/>
      <c r="E25" s="62"/>
      <c r="F25" s="87" t="s">
        <v>23</v>
      </c>
      <c r="G25" s="87" t="s">
        <v>24</v>
      </c>
      <c r="H25" s="62"/>
      <c r="I25"/>
    </row>
    <row r="26" spans="1:10" ht="15.75" x14ac:dyDescent="0.25">
      <c r="A26" s="72" t="s">
        <v>3</v>
      </c>
      <c r="B26" s="84" t="s">
        <v>25</v>
      </c>
      <c r="C26" s="86"/>
      <c r="D26" s="86"/>
      <c r="E26" s="62"/>
      <c r="F26" s="73" t="s">
        <v>26</v>
      </c>
      <c r="G26" s="73" t="s">
        <v>27</v>
      </c>
      <c r="H26" s="62"/>
      <c r="I26"/>
    </row>
    <row r="27" spans="1:10" ht="15.75" x14ac:dyDescent="0.25">
      <c r="A27" s="72" t="s">
        <v>5</v>
      </c>
      <c r="B27" s="84" t="s">
        <v>28</v>
      </c>
      <c r="C27" s="86"/>
      <c r="D27" s="86"/>
      <c r="E27" s="62"/>
      <c r="F27" s="74" t="s">
        <v>29</v>
      </c>
      <c r="G27" s="75" t="s">
        <v>30</v>
      </c>
      <c r="H27" s="62"/>
      <c r="I27"/>
    </row>
    <row r="28" spans="1:10" ht="15.75" x14ac:dyDescent="0.25">
      <c r="A28" s="72" t="s">
        <v>7</v>
      </c>
      <c r="B28" s="84" t="s">
        <v>31</v>
      </c>
      <c r="C28" s="86"/>
      <c r="D28" s="86"/>
      <c r="E28" s="62"/>
      <c r="F28" s="76" t="s">
        <v>32</v>
      </c>
      <c r="G28" s="76" t="s">
        <v>33</v>
      </c>
      <c r="H28" s="62"/>
      <c r="I28"/>
    </row>
    <row r="29" spans="1:10" ht="15.75" x14ac:dyDescent="0.25">
      <c r="A29" s="72" t="s">
        <v>34</v>
      </c>
      <c r="B29" s="84" t="s">
        <v>35</v>
      </c>
      <c r="C29" s="86"/>
      <c r="D29" s="86"/>
      <c r="E29" s="62"/>
      <c r="F29" s="62"/>
      <c r="G29" s="62"/>
      <c r="H29" s="62"/>
      <c r="I29"/>
    </row>
    <row r="30" spans="1:10" ht="15.75" x14ac:dyDescent="0.25">
      <c r="A30" s="72" t="s">
        <v>36</v>
      </c>
      <c r="B30" s="84" t="s">
        <v>37</v>
      </c>
      <c r="C30" s="86"/>
      <c r="D30" s="86"/>
      <c r="E30" s="62"/>
      <c r="F30" s="63" t="s">
        <v>38</v>
      </c>
      <c r="G30"/>
      <c r="H30" s="62"/>
      <c r="I30"/>
    </row>
    <row r="31" spans="1:10" ht="15.75" x14ac:dyDescent="0.25">
      <c r="A31" s="72" t="s">
        <v>39</v>
      </c>
      <c r="B31" s="84" t="s">
        <v>40</v>
      </c>
      <c r="C31" s="86"/>
      <c r="D31" s="86"/>
      <c r="E31" s="62"/>
      <c r="F31" s="62" t="s">
        <v>41</v>
      </c>
      <c r="G31" s="62"/>
      <c r="H31" s="62"/>
      <c r="I31"/>
    </row>
    <row r="32" spans="1:10" ht="15.75" x14ac:dyDescent="0.25">
      <c r="A32" s="72" t="s">
        <v>42</v>
      </c>
      <c r="B32" s="84" t="s">
        <v>43</v>
      </c>
      <c r="C32" s="86"/>
      <c r="D32" s="86"/>
      <c r="E32" s="62"/>
      <c r="F32"/>
      <c r="G32"/>
      <c r="H32" s="62"/>
      <c r="I32"/>
    </row>
    <row r="33" spans="1:9" ht="15.75" x14ac:dyDescent="0.25">
      <c r="A33" s="72" t="s">
        <v>44</v>
      </c>
      <c r="B33" s="84" t="s">
        <v>45</v>
      </c>
      <c r="C33" s="86"/>
      <c r="D33" s="86"/>
      <c r="E33" s="62"/>
      <c r="F33" s="64"/>
      <c r="G33" s="64"/>
      <c r="H33" s="62"/>
      <c r="I33"/>
    </row>
    <row r="34" spans="1:9" ht="15.75" x14ac:dyDescent="0.25">
      <c r="A34" s="62"/>
      <c r="B34" s="62"/>
      <c r="C34" s="62"/>
      <c r="D34" s="62"/>
      <c r="E34" s="62"/>
      <c r="F34" s="64"/>
      <c r="G34" s="64"/>
      <c r="H34" s="62"/>
      <c r="I34" s="62"/>
    </row>
    <row r="35" spans="1:9" ht="15.75" x14ac:dyDescent="0.25">
      <c r="A35" s="62"/>
      <c r="B35" s="77" t="s">
        <v>46</v>
      </c>
      <c r="C35" s="77" t="s">
        <v>47</v>
      </c>
      <c r="D35" s="62"/>
      <c r="E35" s="62"/>
      <c r="F35" s="62"/>
      <c r="G35" s="62"/>
      <c r="H35" s="62"/>
      <c r="I35" s="62"/>
    </row>
    <row r="36" spans="1:9" ht="15.75" x14ac:dyDescent="0.25">
      <c r="A36" s="62"/>
      <c r="B36" s="78" t="s">
        <v>48</v>
      </c>
      <c r="C36" s="79" t="s">
        <v>49</v>
      </c>
      <c r="D36" s="62"/>
      <c r="E36" s="62"/>
      <c r="F36" s="63"/>
      <c r="G36" s="62"/>
      <c r="H36" s="62"/>
      <c r="I36" s="62"/>
    </row>
    <row r="37" spans="1:9" ht="15.75" x14ac:dyDescent="0.25">
      <c r="A37" s="62"/>
      <c r="B37" s="78" t="s">
        <v>7</v>
      </c>
      <c r="C37" s="80" t="s">
        <v>50</v>
      </c>
      <c r="D37" s="62"/>
      <c r="E37" s="62"/>
      <c r="F37" s="64"/>
      <c r="G37" s="64"/>
      <c r="H37" s="62"/>
      <c r="I37" s="62"/>
    </row>
    <row r="38" spans="1:9" ht="15.75" x14ac:dyDescent="0.25">
      <c r="A38" s="62"/>
      <c r="B38" s="78" t="s">
        <v>51</v>
      </c>
      <c r="C38" s="81" t="s">
        <v>52</v>
      </c>
      <c r="D38" s="62"/>
      <c r="E38" s="62"/>
      <c r="F38" s="64"/>
      <c r="G38" s="64"/>
      <c r="H38" s="62"/>
      <c r="I38" s="62"/>
    </row>
    <row r="39" spans="1:9" ht="15.75" x14ac:dyDescent="0.25">
      <c r="A39" s="62"/>
      <c r="B39" s="78" t="s">
        <v>53</v>
      </c>
      <c r="C39" s="82" t="s">
        <v>54</v>
      </c>
      <c r="D39" s="62"/>
      <c r="E39" s="62"/>
      <c r="F39" s="64"/>
      <c r="G39" s="64"/>
      <c r="H39" s="62"/>
      <c r="I39" s="62"/>
    </row>
    <row r="40" spans="1:9" ht="15.75" x14ac:dyDescent="0.25">
      <c r="A40" s="62"/>
      <c r="B40" s="62"/>
      <c r="C40" s="62"/>
      <c r="D40" s="62"/>
      <c r="E40" s="62"/>
      <c r="F40" s="62"/>
      <c r="G40" s="62"/>
      <c r="H40" s="62"/>
      <c r="I40" s="62"/>
    </row>
    <row r="41" spans="1:9" ht="15.75" x14ac:dyDescent="0.25">
      <c r="A41" s="62"/>
      <c r="B41" s="62"/>
      <c r="C41" s="62"/>
      <c r="D41" s="62"/>
      <c r="E41" s="62"/>
      <c r="F41" s="62"/>
      <c r="G41" s="62"/>
      <c r="H41" s="62"/>
      <c r="I41" s="62"/>
    </row>
    <row r="42" spans="1:9" ht="15.75" x14ac:dyDescent="0.25">
      <c r="A42" s="62"/>
      <c r="B42" s="62"/>
      <c r="C42" s="62"/>
      <c r="D42" s="62"/>
      <c r="E42" s="62"/>
      <c r="F42" s="62"/>
      <c r="G42" s="63"/>
      <c r="H42" s="62"/>
      <c r="I42" s="62"/>
    </row>
    <row r="43" spans="1:9" ht="15.75" x14ac:dyDescent="0.25">
      <c r="D43" s="62"/>
      <c r="E43" s="62"/>
      <c r="F43" s="62"/>
      <c r="G43" s="64"/>
      <c r="H43" s="64"/>
      <c r="I43" s="62"/>
    </row>
    <row r="44" spans="1:9" ht="15.75" x14ac:dyDescent="0.25">
      <c r="D44" s="62"/>
      <c r="E44" s="62"/>
      <c r="F44" s="62"/>
      <c r="G44" s="64"/>
      <c r="H44" s="64"/>
      <c r="I44" s="62"/>
    </row>
    <row r="45" spans="1:9" ht="15.75" x14ac:dyDescent="0.25">
      <c r="D45" s="62"/>
      <c r="E45" s="62"/>
      <c r="F45" s="62"/>
      <c r="G45" s="64"/>
      <c r="H45" s="64"/>
      <c r="I45" s="62"/>
    </row>
    <row r="46" spans="1:9" ht="15.75" x14ac:dyDescent="0.25">
      <c r="D46" s="62"/>
      <c r="E46" s="62"/>
      <c r="F46" s="62"/>
      <c r="G46" s="64"/>
      <c r="H46" s="64"/>
      <c r="I46" s="62"/>
    </row>
    <row r="47" spans="1:9" ht="15.75" x14ac:dyDescent="0.25">
      <c r="D47" s="62"/>
      <c r="E47" s="62"/>
      <c r="F47" s="62"/>
      <c r="G47" s="62"/>
      <c r="H47" s="62"/>
    </row>
    <row r="48" spans="1:9" ht="15.75" x14ac:dyDescent="0.25">
      <c r="D48" s="62"/>
      <c r="E48" s="62"/>
      <c r="F48" s="62"/>
      <c r="G48" s="63"/>
      <c r="H48" s="62"/>
    </row>
    <row r="49" spans="4:8" ht="15.75" x14ac:dyDescent="0.25">
      <c r="D49" s="62"/>
      <c r="E49" s="62"/>
      <c r="F49" s="62"/>
      <c r="G49" s="64"/>
      <c r="H49" s="64"/>
    </row>
    <row r="50" spans="4:8" ht="15.75" x14ac:dyDescent="0.25">
      <c r="D50" s="62"/>
      <c r="E50" s="62"/>
      <c r="F50" s="62"/>
      <c r="G50" s="64"/>
      <c r="H50" s="64"/>
    </row>
    <row r="51" spans="4:8" ht="15.75" x14ac:dyDescent="0.25">
      <c r="D51" s="62"/>
      <c r="E51" s="62"/>
      <c r="F51" s="62"/>
      <c r="G51" s="64"/>
      <c r="H51" s="64"/>
    </row>
    <row r="52" spans="4:8" ht="15.75" x14ac:dyDescent="0.25">
      <c r="D52" s="62"/>
      <c r="E52" s="62"/>
      <c r="F52" s="62"/>
    </row>
    <row r="53" spans="4:8" ht="15.75" x14ac:dyDescent="0.25">
      <c r="G53" s="63"/>
    </row>
    <row r="54" spans="4:8" ht="15.75" x14ac:dyDescent="0.25">
      <c r="G54" s="62"/>
      <c r="H54" s="62"/>
    </row>
  </sheetData>
  <mergeCells count="1">
    <mergeCell ref="B18:J20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.28515625" style="2" customWidth="1"/>
    <col min="3" max="3" width="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60</v>
      </c>
    </row>
    <row r="2" spans="1:7" x14ac:dyDescent="0.25">
      <c r="A2" s="2" t="str">
        <f>TEXT(A1,"0.00")</f>
        <v>4.04</v>
      </c>
      <c r="B2" s="2" t="str">
        <f>VLOOKUP(A$2,Eixo4[],3,FALSE)</f>
        <v>Com relação ao ensino da graduação, avalie: [As práticas institucionais que estimulam o uso de novas tecnologias no ensino]</v>
      </c>
    </row>
    <row r="3" spans="1:7" x14ac:dyDescent="0.25">
      <c r="A3" s="2" t="s">
        <v>494</v>
      </c>
      <c r="B3" s="2" t="str">
        <f>VLOOKUP(A$2,Eixo4[],4,FALSE)</f>
        <v>Eixo 4: Questão 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0</v>
      </c>
      <c r="E6" s="4">
        <f>E13-SUM(E7:E12)</f>
        <v>9</v>
      </c>
      <c r="F6" s="4">
        <f>ROUND($E6/E$13*100,2)</f>
        <v>37.5</v>
      </c>
    </row>
    <row r="7" spans="1:7" x14ac:dyDescent="0.25">
      <c r="B7" s="2" t="s">
        <v>203</v>
      </c>
      <c r="C7" s="4">
        <f>COUNTIFS(Resp4[Vínculo],"tecnico",Resp4[4.04],B7)</f>
        <v>0</v>
      </c>
      <c r="D7" s="4">
        <f>COUNTIFS(Resp4[Vínculo],"docente",Resp4[4.04],B7)</f>
        <v>0</v>
      </c>
      <c r="E7" s="4">
        <f>COUNTIF(Resp4[4.04],B7)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COUNTIFS(Resp4[Vínculo],"tecnico",Resp4[4.04],B8)</f>
        <v>1</v>
      </c>
      <c r="D8" s="4">
        <f>COUNTIFS(Resp4[Vínculo],"docente",Resp4[4.04],B8)</f>
        <v>2</v>
      </c>
      <c r="E8" s="4">
        <f>COUNTIF(Resp4[4.04],B8)</f>
        <v>3</v>
      </c>
      <c r="F8" s="4">
        <f t="shared" si="0"/>
        <v>12.5</v>
      </c>
      <c r="G8" s="3">
        <f t="shared" si="1"/>
        <v>20</v>
      </c>
    </row>
    <row r="9" spans="1:7" x14ac:dyDescent="0.25">
      <c r="B9" s="2" t="s">
        <v>202</v>
      </c>
      <c r="C9" s="4">
        <f>COUNTIFS(Resp4[Vínculo],"tecnico",Resp4[4.04],B9)</f>
        <v>0</v>
      </c>
      <c r="D9" s="4">
        <f>COUNTIFS(Resp4[Vínculo],"docente",Resp4[4.04],B9)</f>
        <v>1</v>
      </c>
      <c r="E9" s="4">
        <f>COUNTIF(Resp4[4.04],B9)</f>
        <v>1</v>
      </c>
      <c r="F9" s="4">
        <f t="shared" si="0"/>
        <v>4.17</v>
      </c>
      <c r="G9" s="3">
        <f t="shared" si="1"/>
        <v>6.6669999999999998</v>
      </c>
    </row>
    <row r="10" spans="1:7" x14ac:dyDescent="0.25">
      <c r="B10" s="2" t="s">
        <v>30</v>
      </c>
      <c r="C10" s="4">
        <f>COUNTIFS(Resp4[Vínculo],"tecnico",Resp4[4.04],B10)</f>
        <v>1</v>
      </c>
      <c r="D10" s="4">
        <f>COUNTIFS(Resp4[Vínculo],"docente",Resp4[4.04],B10)</f>
        <v>4</v>
      </c>
      <c r="E10" s="4">
        <f>COUNTIF(Resp4[4.04],B10)</f>
        <v>5</v>
      </c>
      <c r="F10" s="4">
        <f t="shared" si="0"/>
        <v>20.83</v>
      </c>
      <c r="G10" s="3">
        <f t="shared" si="1"/>
        <v>33.332999999999998</v>
      </c>
    </row>
    <row r="11" spans="1:7" x14ac:dyDescent="0.25">
      <c r="B11" s="2" t="s">
        <v>200</v>
      </c>
      <c r="C11" s="4">
        <f>COUNTIFS(Resp4[Vínculo],"tecnico",Resp4[4.04],B11)</f>
        <v>0</v>
      </c>
      <c r="D11" s="4">
        <f>COUNTIFS(Resp4[Vínculo],"docente",Resp4[4.04],B11)</f>
        <v>4</v>
      </c>
      <c r="E11" s="4">
        <f>COUNTIF(Resp4[4.04],B11)</f>
        <v>4</v>
      </c>
      <c r="F11" s="4">
        <f t="shared" si="0"/>
        <v>16.670000000000002</v>
      </c>
      <c r="G11" s="3">
        <f t="shared" si="1"/>
        <v>26.667000000000002</v>
      </c>
    </row>
    <row r="12" spans="1:7" x14ac:dyDescent="0.25">
      <c r="B12" s="7" t="s">
        <v>197</v>
      </c>
      <c r="C12" s="4">
        <f>COUNTIFS(Resp4[Vínculo],"tecnico",Resp4[4.04],B12)</f>
        <v>0</v>
      </c>
      <c r="D12" s="4">
        <f>COUNTIFS(Resp4[Vínculo],"docente",Resp4[4.04],B12)</f>
        <v>2</v>
      </c>
      <c r="E12" s="4">
        <f>COUNTIF(Resp4[4.04],B12)</f>
        <v>2</v>
      </c>
      <c r="F12" s="22">
        <f t="shared" si="0"/>
        <v>8.33</v>
      </c>
      <c r="G12" s="3">
        <f t="shared" si="1"/>
        <v>13.333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50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23.077000000000002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30.768999999999998</v>
      </c>
    </row>
    <row r="28" spans="2:7" x14ac:dyDescent="0.25">
      <c r="B28" s="32" t="s">
        <v>33</v>
      </c>
      <c r="C28" s="32" t="s">
        <v>32</v>
      </c>
      <c r="D28" s="18">
        <f>SUM(D11:D12)</f>
        <v>6</v>
      </c>
      <c r="E28" s="19">
        <f>ROUND(D28/SUM(D$25:D$28)*100,3)</f>
        <v>46.154000000000003</v>
      </c>
    </row>
  </sheetData>
  <pageMargins left="0.7" right="0.7" top="0.75" bottom="0.75" header="0.3" footer="0.3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0.7109375" style="2" customWidth="1"/>
    <col min="3" max="3" width="19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4103</v>
      </c>
    </row>
    <row r="2" spans="1:7" x14ac:dyDescent="0.25">
      <c r="A2" s="2" t="str">
        <f>TEXT(A1,"0.00")</f>
        <v>4.103</v>
      </c>
      <c r="B2" s="2" t="str">
        <f>VLOOKUP(A$2,Eixo4[],3,FALSE)</f>
        <v>Com relação ao programa de pós-graduação onde você atua majoritariamente, avalie os seguintes itens: [Disponibilidade do corpo docente para atividades de orientação]</v>
      </c>
    </row>
    <row r="3" spans="1:7" x14ac:dyDescent="0.25">
      <c r="A3" s="2" t="s">
        <v>494</v>
      </c>
      <c r="B3" s="2" t="str">
        <f>VLOOKUP(A$2,Eixo4[],4,FALSE)</f>
        <v>Eixo 4: Questão 103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6</v>
      </c>
      <c r="E6" s="4">
        <f>E13-SUM(E7:E12)</f>
        <v>15</v>
      </c>
      <c r="F6" s="4">
        <f>ROUND($E6/E$13*100,2)</f>
        <v>62.5</v>
      </c>
    </row>
    <row r="7" spans="1:7" x14ac:dyDescent="0.25">
      <c r="B7" s="2" t="s">
        <v>203</v>
      </c>
      <c r="C7" s="4">
        <f>COUNTIFS(Resp4[Vínculo],"tecnico",Resp4[4.103],B7)</f>
        <v>0</v>
      </c>
      <c r="D7" s="4">
        <f>COUNTIFS(Resp4[Vínculo],"docente",Resp4[4.103],B7)</f>
        <v>0</v>
      </c>
      <c r="E7" s="4">
        <f>COUNTIF(Resp4[4.103],B7)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COUNTIFS(Resp4[Vínculo],"tecnico",Resp4[4.103],B8)</f>
        <v>0</v>
      </c>
      <c r="D8" s="4">
        <f>COUNTIFS(Resp4[Vínculo],"docente",Resp4[4.103],B8)</f>
        <v>0</v>
      </c>
      <c r="E8" s="4">
        <f>COUNTIF(Resp4[4.103],B8)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COUNTIFS(Resp4[Vínculo],"tecnico",Resp4[4.103],B9)</f>
        <v>0</v>
      </c>
      <c r="D9" s="4">
        <f>COUNTIFS(Resp4[Vínculo],"docente",Resp4[4.103],B9)</f>
        <v>0</v>
      </c>
      <c r="E9" s="4">
        <f>COUNTIF(Resp4[4.103],B9)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COUNTIFS(Resp4[Vínculo],"tecnico",Resp4[4.103],B10)</f>
        <v>0</v>
      </c>
      <c r="D10" s="4">
        <f>COUNTIFS(Resp4[Vínculo],"docente",Resp4[4.103],B10)</f>
        <v>1</v>
      </c>
      <c r="E10" s="4">
        <f>COUNTIF(Resp4[4.103],B10)</f>
        <v>1</v>
      </c>
      <c r="F10" s="4">
        <f t="shared" si="0"/>
        <v>4.17</v>
      </c>
      <c r="G10" s="3">
        <f t="shared" si="1"/>
        <v>11.111000000000001</v>
      </c>
    </row>
    <row r="11" spans="1:7" x14ac:dyDescent="0.25">
      <c r="B11" s="2" t="s">
        <v>200</v>
      </c>
      <c r="C11" s="4">
        <f>COUNTIFS(Resp4[Vínculo],"tecnico",Resp4[4.103],B11)</f>
        <v>2</v>
      </c>
      <c r="D11" s="4">
        <f>COUNTIFS(Resp4[Vínculo],"docente",Resp4[4.103],B11)</f>
        <v>4</v>
      </c>
      <c r="E11" s="4">
        <f>COUNTIF(Resp4[4.103],B11)</f>
        <v>6</v>
      </c>
      <c r="F11" s="4">
        <f t="shared" si="0"/>
        <v>25</v>
      </c>
      <c r="G11" s="3">
        <f t="shared" si="1"/>
        <v>66.667000000000002</v>
      </c>
    </row>
    <row r="12" spans="1:7" x14ac:dyDescent="0.25">
      <c r="B12" s="7" t="s">
        <v>197</v>
      </c>
      <c r="C12" s="4">
        <f>COUNTIFS(Resp4[Vínculo],"tecnico",Resp4[4.103],B12)</f>
        <v>0</v>
      </c>
      <c r="D12" s="4">
        <f>COUNTIFS(Resp4[Vínculo],"docente",Resp4[4.103],B12)</f>
        <v>2</v>
      </c>
      <c r="E12" s="4">
        <f>COUNTIF(Resp4[4.103],B12)</f>
        <v>2</v>
      </c>
      <c r="F12" s="22">
        <f t="shared" si="0"/>
        <v>8.33</v>
      </c>
      <c r="G12" s="3">
        <f t="shared" si="1"/>
        <v>22.222000000000001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14.286</v>
      </c>
    </row>
    <row r="28" spans="2:7" x14ac:dyDescent="0.25">
      <c r="B28" s="32" t="s">
        <v>33</v>
      </c>
      <c r="C28" s="32" t="s">
        <v>32</v>
      </c>
      <c r="D28" s="18">
        <f>SUM(D11:D12)</f>
        <v>6</v>
      </c>
      <c r="E28" s="19">
        <f>ROUND(D28/SUM(D$25:D$28)*100,3)</f>
        <v>85.713999999999999</v>
      </c>
    </row>
  </sheetData>
  <pageMargins left="0.7" right="0.7" top="0.75" bottom="0.75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2.85546875" style="2" customWidth="1"/>
    <col min="3" max="3" width="20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4104</v>
      </c>
    </row>
    <row r="2" spans="1:7" x14ac:dyDescent="0.25">
      <c r="A2" s="2" t="str">
        <f>TEXT(A1,"0.00")</f>
        <v>4.104</v>
      </c>
      <c r="B2" s="2" t="str">
        <f>VLOOKUP(A$2,Eixo4[],3,FALSE)</f>
        <v>Sobre a Avaliação Quadrienal do Programa de Pós-Graduação, opine: [Pertinência dos conteúdos abordados]</v>
      </c>
    </row>
    <row r="3" spans="1:7" x14ac:dyDescent="0.25">
      <c r="A3" s="2" t="s">
        <v>494</v>
      </c>
      <c r="B3" s="2" t="str">
        <f>VLOOKUP(A$2,Eixo4[],4,FALSE)</f>
        <v>Eixo 4: Questão 104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6</v>
      </c>
      <c r="E6" s="4">
        <f>E13-SUM(E7:E12)</f>
        <v>15</v>
      </c>
      <c r="F6" s="4">
        <f>ROUND($E6/E$13*100,2)</f>
        <v>62.5</v>
      </c>
    </row>
    <row r="7" spans="1:7" x14ac:dyDescent="0.25">
      <c r="B7" s="2" t="s">
        <v>203</v>
      </c>
      <c r="C7" s="4">
        <f>COUNTIFS(Resp4[Vínculo],"tecnico",Resp4[4.104],B7)</f>
        <v>0</v>
      </c>
      <c r="D7" s="4">
        <f>COUNTIFS(Resp4[Vínculo],"docente",Resp4[4.104],B7)</f>
        <v>4</v>
      </c>
      <c r="E7" s="4">
        <f>COUNTIF(Resp4[4.104],B7)</f>
        <v>4</v>
      </c>
      <c r="F7" s="15">
        <f t="shared" ref="F7:F13" si="0">ROUND($E7/E$13*100,2)</f>
        <v>16.670000000000002</v>
      </c>
      <c r="G7" s="3">
        <f t="shared" ref="G7:G12" si="1">ROUND($E7/SUM($E$7:$E$12)*100,3)</f>
        <v>44.444000000000003</v>
      </c>
    </row>
    <row r="8" spans="1:7" x14ac:dyDescent="0.25">
      <c r="B8" s="2" t="s">
        <v>204</v>
      </c>
      <c r="C8" s="4">
        <f>COUNTIFS(Resp4[Vínculo],"tecnico",Resp4[4.104],B8)</f>
        <v>0</v>
      </c>
      <c r="D8" s="4">
        <f>COUNTIFS(Resp4[Vínculo],"docente",Resp4[4.104],B8)</f>
        <v>0</v>
      </c>
      <c r="E8" s="4">
        <f>COUNTIF(Resp4[4.104],B8)</f>
        <v>0</v>
      </c>
      <c r="F8" s="15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COUNTIFS(Resp4[Vínculo],"tecnico",Resp4[4.104],B9)</f>
        <v>0</v>
      </c>
      <c r="D9" s="4">
        <f>COUNTIFS(Resp4[Vínculo],"docente",Resp4[4.104],B9)</f>
        <v>0</v>
      </c>
      <c r="E9" s="4">
        <f>COUNTIF(Resp4[4.104],B9)</f>
        <v>0</v>
      </c>
      <c r="F9" s="15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COUNTIFS(Resp4[Vínculo],"tecnico",Resp4[4.104],B10)</f>
        <v>0</v>
      </c>
      <c r="D10" s="4">
        <f>COUNTIFS(Resp4[Vínculo],"docente",Resp4[4.104],B10)</f>
        <v>0</v>
      </c>
      <c r="E10" s="4">
        <f>COUNTIF(Resp4[4.104],B10)</f>
        <v>0</v>
      </c>
      <c r="F10" s="15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COUNTIFS(Resp4[Vínculo],"tecnico",Resp4[4.104],B11)</f>
        <v>2</v>
      </c>
      <c r="D11" s="4">
        <f>COUNTIFS(Resp4[Vínculo],"docente",Resp4[4.104],B11)</f>
        <v>2</v>
      </c>
      <c r="E11" s="4">
        <f>COUNTIF(Resp4[4.104],B11)</f>
        <v>4</v>
      </c>
      <c r="F11" s="15">
        <f t="shared" si="0"/>
        <v>16.670000000000002</v>
      </c>
      <c r="G11" s="3">
        <f t="shared" si="1"/>
        <v>44.444000000000003</v>
      </c>
    </row>
    <row r="12" spans="1:7" x14ac:dyDescent="0.25">
      <c r="B12" s="7" t="s">
        <v>197</v>
      </c>
      <c r="C12" s="4">
        <f>COUNTIFS(Resp4[Vínculo],"tecnico",Resp4[4.104],B12)</f>
        <v>0</v>
      </c>
      <c r="D12" s="4">
        <f>COUNTIFS(Resp4[Vínculo],"docente",Resp4[4.104],B12)</f>
        <v>1</v>
      </c>
      <c r="E12" s="4">
        <f>COUNTIF(Resp4[4.104],B12)</f>
        <v>1</v>
      </c>
      <c r="F12" s="19">
        <f t="shared" si="0"/>
        <v>4.17</v>
      </c>
      <c r="G12" s="3">
        <f t="shared" si="1"/>
        <v>11.111000000000001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99.999000000000009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203</v>
      </c>
      <c r="C26" s="16" t="s">
        <v>23</v>
      </c>
      <c r="D26" s="14">
        <f>D7</f>
        <v>4</v>
      </c>
      <c r="E26" s="15">
        <f>ROUND(D26/SUM(D$25:D$28)*100,3)</f>
        <v>57.143000000000001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42.856999999999999</v>
      </c>
    </row>
  </sheetData>
  <pageMargins left="0.7" right="0.7" top="0.75" bottom="0.75" header="0.3" footer="0.3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"/>
    </sheetView>
  </sheetViews>
  <sheetFormatPr defaultRowHeight="15" x14ac:dyDescent="0.25"/>
  <cols>
    <col min="1" max="1" width="5.7109375" style="2" customWidth="1"/>
    <col min="2" max="2" width="22.85546875" style="2" customWidth="1"/>
    <col min="3" max="3" width="22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4105</v>
      </c>
    </row>
    <row r="2" spans="1:7" x14ac:dyDescent="0.25">
      <c r="A2" s="2" t="str">
        <f>TEXT(A1,"0.00")</f>
        <v>4.105</v>
      </c>
      <c r="B2" s="2" t="str">
        <f>VLOOKUP(A$2,Eixo4[],3,FALSE)</f>
        <v>Sobre a Avaliação Quadrienal do Programa de Pós-Graduação, opine: [Profundidade dos temas]</v>
      </c>
    </row>
    <row r="3" spans="1:7" x14ac:dyDescent="0.25">
      <c r="A3" s="2" t="s">
        <v>494</v>
      </c>
      <c r="B3" s="2" t="str">
        <f>VLOOKUP(A$2,Eixo4[],4,FALSE)</f>
        <v>Eixo 4: Questão 105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6</v>
      </c>
      <c r="E6" s="4">
        <f>E13-SUM(E7:E12)</f>
        <v>15</v>
      </c>
      <c r="F6" s="4">
        <f>ROUND($E6/E$13*100,2)</f>
        <v>62.5</v>
      </c>
    </row>
    <row r="7" spans="1:7" x14ac:dyDescent="0.25">
      <c r="B7" s="2" t="s">
        <v>203</v>
      </c>
      <c r="C7" s="4">
        <f>COUNTIFS(Resp4[Vínculo],"tecnico",Resp4[4.105],B7)</f>
        <v>0</v>
      </c>
      <c r="D7" s="4">
        <f>COUNTIFS(Resp4[Vínculo],"docente",Resp4[4.105],B7)</f>
        <v>4</v>
      </c>
      <c r="E7" s="4">
        <f>COUNTIF(Resp4[4.105],B7)</f>
        <v>4</v>
      </c>
      <c r="F7" s="4">
        <f t="shared" ref="F7:F13" si="0">ROUND($E7/E$13*100,2)</f>
        <v>16.670000000000002</v>
      </c>
      <c r="G7" s="3">
        <f t="shared" ref="G7:G12" si="1">ROUND($E7/SUM($E$7:$E$12)*100,3)</f>
        <v>44.444000000000003</v>
      </c>
    </row>
    <row r="8" spans="1:7" x14ac:dyDescent="0.25">
      <c r="B8" s="2" t="s">
        <v>204</v>
      </c>
      <c r="C8" s="4">
        <f>COUNTIFS(Resp4[Vínculo],"tecnico",Resp4[4.105],B8)</f>
        <v>0</v>
      </c>
      <c r="D8" s="4">
        <f>COUNTIFS(Resp4[Vínculo],"docente",Resp4[4.105],B8)</f>
        <v>0</v>
      </c>
      <c r="E8" s="4">
        <f>COUNTIF(Resp4[4.105],B8)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COUNTIFS(Resp4[Vínculo],"tecnico",Resp4[4.105],B9)</f>
        <v>0</v>
      </c>
      <c r="D9" s="4">
        <f>COUNTIFS(Resp4[Vínculo],"docente",Resp4[4.105],B9)</f>
        <v>0</v>
      </c>
      <c r="E9" s="4">
        <f>COUNTIF(Resp4[4.105],B9)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COUNTIFS(Resp4[Vínculo],"tecnico",Resp4[4.105],B10)</f>
        <v>0</v>
      </c>
      <c r="D10" s="4">
        <f>COUNTIFS(Resp4[Vínculo],"docente",Resp4[4.105],B10)</f>
        <v>1</v>
      </c>
      <c r="E10" s="4">
        <f>COUNTIF(Resp4[4.105],B10)</f>
        <v>1</v>
      </c>
      <c r="F10" s="4">
        <f t="shared" si="0"/>
        <v>4.17</v>
      </c>
      <c r="G10" s="3">
        <f t="shared" si="1"/>
        <v>11.111000000000001</v>
      </c>
    </row>
    <row r="11" spans="1:7" x14ac:dyDescent="0.25">
      <c r="B11" s="2" t="s">
        <v>200</v>
      </c>
      <c r="C11" s="4">
        <f>COUNTIFS(Resp4[Vínculo],"tecnico",Resp4[4.105],B11)</f>
        <v>2</v>
      </c>
      <c r="D11" s="4">
        <f>COUNTIFS(Resp4[Vínculo],"docente",Resp4[4.105],B11)</f>
        <v>1</v>
      </c>
      <c r="E11" s="4">
        <f>COUNTIF(Resp4[4.105],B11)</f>
        <v>3</v>
      </c>
      <c r="F11" s="4">
        <f t="shared" si="0"/>
        <v>12.5</v>
      </c>
      <c r="G11" s="3">
        <f t="shared" si="1"/>
        <v>33.332999999999998</v>
      </c>
    </row>
    <row r="12" spans="1:7" x14ac:dyDescent="0.25">
      <c r="B12" s="7" t="s">
        <v>197</v>
      </c>
      <c r="C12" s="4">
        <f>COUNTIFS(Resp4[Vínculo],"tecnico",Resp4[4.105],B12)</f>
        <v>0</v>
      </c>
      <c r="D12" s="4">
        <f>COUNTIFS(Resp4[Vínculo],"docente",Resp4[4.105],B12)</f>
        <v>1</v>
      </c>
      <c r="E12" s="4">
        <f>COUNTIF(Resp4[4.105],B12)</f>
        <v>1</v>
      </c>
      <c r="F12" s="22">
        <f t="shared" si="0"/>
        <v>4.17</v>
      </c>
      <c r="G12" s="3">
        <f t="shared" si="1"/>
        <v>11.111000000000001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99.999000000000009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203</v>
      </c>
      <c r="C26" s="16" t="s">
        <v>23</v>
      </c>
      <c r="D26" s="14">
        <f>D7</f>
        <v>4</v>
      </c>
      <c r="E26" s="15">
        <f>ROUND(D26/SUM(D$25:D$28)*100,3)</f>
        <v>57.143000000000001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14.286</v>
      </c>
    </row>
    <row r="28" spans="2:7" x14ac:dyDescent="0.25">
      <c r="B28" s="32" t="s">
        <v>33</v>
      </c>
      <c r="C28" s="32" t="s">
        <v>32</v>
      </c>
      <c r="D28" s="18">
        <f>SUM(D11:D12)</f>
        <v>2</v>
      </c>
      <c r="E28" s="19">
        <f>ROUND(D28/SUM(D$25:D$28)*100,3)</f>
        <v>28.571000000000002</v>
      </c>
    </row>
  </sheetData>
  <pageMargins left="0.7" right="0.7" top="0.75" bottom="0.75" header="0.3" footer="0.3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85546875" style="2" customWidth="1"/>
    <col min="3" max="3" width="19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4106</v>
      </c>
    </row>
    <row r="2" spans="1:7" x14ac:dyDescent="0.25">
      <c r="A2" s="2" t="str">
        <f>TEXT(A1,"0.00")</f>
        <v>4.106</v>
      </c>
      <c r="B2" s="2" t="str">
        <f>VLOOKUP(A$2,Eixo4[],3,FALSE)</f>
        <v>Sobre a Avaliação Quadrienal do Programa de Pós-Graduação, opine: [Quantidade de reuniões, workshops, lives e demais eventos de orientação sobre o tema]</v>
      </c>
    </row>
    <row r="3" spans="1:7" x14ac:dyDescent="0.25">
      <c r="A3" s="2" t="s">
        <v>494</v>
      </c>
      <c r="B3" s="2" t="str">
        <f>VLOOKUP(A$2,Eixo4[],4,FALSE)</f>
        <v>Eixo 4: Questão 106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6</v>
      </c>
      <c r="E6" s="4">
        <f>E13-SUM(E7:E12)</f>
        <v>15</v>
      </c>
      <c r="F6" s="4">
        <f>ROUND($E6/E$13*100,2)</f>
        <v>62.5</v>
      </c>
    </row>
    <row r="7" spans="1:7" x14ac:dyDescent="0.25">
      <c r="B7" s="2" t="s">
        <v>203</v>
      </c>
      <c r="C7" s="4">
        <f>COUNTIFS(Resp4[Vínculo],"tecnico",Resp4[4.106],B7)</f>
        <v>0</v>
      </c>
      <c r="D7" s="4">
        <f>COUNTIFS(Resp4[Vínculo],"docente",Resp4[4.106],B7)</f>
        <v>4</v>
      </c>
      <c r="E7" s="4">
        <f>COUNTIF(Resp4[4.106],B7)</f>
        <v>4</v>
      </c>
      <c r="F7" s="4">
        <f t="shared" ref="F7:F13" si="0">ROUND($E7/E$13*100,2)</f>
        <v>16.670000000000002</v>
      </c>
      <c r="G7" s="3">
        <f t="shared" ref="G7:G12" si="1">ROUND($E7/SUM($E$7:$E$12)*100,3)</f>
        <v>44.444000000000003</v>
      </c>
    </row>
    <row r="8" spans="1:7" x14ac:dyDescent="0.25">
      <c r="B8" s="2" t="s">
        <v>204</v>
      </c>
      <c r="C8" s="4">
        <f>COUNTIFS(Resp4[Vínculo],"tecnico",Resp4[4.106],B8)</f>
        <v>0</v>
      </c>
      <c r="D8" s="4">
        <f>COUNTIFS(Resp4[Vínculo],"docente",Resp4[4.106],B8)</f>
        <v>0</v>
      </c>
      <c r="E8" s="4">
        <f>COUNTIF(Resp4[4.106],B8)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COUNTIFS(Resp4[Vínculo],"tecnico",Resp4[4.106],B9)</f>
        <v>0</v>
      </c>
      <c r="D9" s="4">
        <f>COUNTIFS(Resp4[Vínculo],"docente",Resp4[4.106],B9)</f>
        <v>1</v>
      </c>
      <c r="E9" s="4">
        <f>COUNTIF(Resp4[4.106],B9)</f>
        <v>1</v>
      </c>
      <c r="F9" s="4">
        <f t="shared" si="0"/>
        <v>4.17</v>
      </c>
      <c r="G9" s="3">
        <f t="shared" si="1"/>
        <v>11.111000000000001</v>
      </c>
    </row>
    <row r="10" spans="1:7" x14ac:dyDescent="0.25">
      <c r="B10" s="2" t="s">
        <v>30</v>
      </c>
      <c r="C10" s="4">
        <f>COUNTIFS(Resp4[Vínculo],"tecnico",Resp4[4.106],B10)</f>
        <v>0</v>
      </c>
      <c r="D10" s="4">
        <f>COUNTIFS(Resp4[Vínculo],"docente",Resp4[4.106],B10)</f>
        <v>0</v>
      </c>
      <c r="E10" s="4">
        <f>COUNTIF(Resp4[4.106],B10)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COUNTIFS(Resp4[Vínculo],"tecnico",Resp4[4.106],B11)</f>
        <v>1</v>
      </c>
      <c r="D11" s="4">
        <f>COUNTIFS(Resp4[Vínculo],"docente",Resp4[4.106],B11)</f>
        <v>1</v>
      </c>
      <c r="E11" s="4">
        <f>COUNTIF(Resp4[4.106],B11)</f>
        <v>2</v>
      </c>
      <c r="F11" s="4">
        <f t="shared" si="0"/>
        <v>8.33</v>
      </c>
      <c r="G11" s="3">
        <f t="shared" si="1"/>
        <v>22.222000000000001</v>
      </c>
    </row>
    <row r="12" spans="1:7" x14ac:dyDescent="0.25">
      <c r="B12" s="7" t="s">
        <v>197</v>
      </c>
      <c r="C12" s="4">
        <f>COUNTIFS(Resp4[Vínculo],"tecnico",Resp4[4.106],B12)</f>
        <v>1</v>
      </c>
      <c r="D12" s="4">
        <f>COUNTIFS(Resp4[Vínculo],"docente",Resp4[4.106],B12)</f>
        <v>1</v>
      </c>
      <c r="E12" s="4">
        <f>COUNTIF(Resp4[4.106],B12)</f>
        <v>2</v>
      </c>
      <c r="F12" s="22">
        <f t="shared" si="0"/>
        <v>8.33</v>
      </c>
      <c r="G12" s="3">
        <f t="shared" si="1"/>
        <v>22.222000000000001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99.999000000000024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14.286</v>
      </c>
    </row>
    <row r="26" spans="2:7" x14ac:dyDescent="0.25">
      <c r="B26" s="16" t="s">
        <v>203</v>
      </c>
      <c r="C26" s="16" t="s">
        <v>23</v>
      </c>
      <c r="D26" s="14">
        <f>D7</f>
        <v>4</v>
      </c>
      <c r="E26" s="15">
        <f>ROUND(D26/SUM(D$25:D$28)*100,3)</f>
        <v>57.143000000000001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2</v>
      </c>
      <c r="E28" s="19">
        <f>ROUND(D28/SUM(D$25:D$28)*100,3)</f>
        <v>28.571000000000002</v>
      </c>
    </row>
  </sheetData>
  <pageMargins left="0.7" right="0.7" top="0.75" bottom="0.75" header="0.3" footer="0.3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" style="2" customWidth="1"/>
    <col min="3" max="3" width="25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4107</v>
      </c>
    </row>
    <row r="2" spans="1:7" x14ac:dyDescent="0.25">
      <c r="A2" s="2" t="str">
        <f>TEXT(A1,"0.00")</f>
        <v>4.107</v>
      </c>
      <c r="B2" s="2" t="str">
        <f>VLOOKUP(A$2,Eixo4[],3,FALSE)</f>
        <v>Sobre a Avaliação Quadrienal do Programa de Pós-Graduação, opine: [Qualidade da informação]</v>
      </c>
    </row>
    <row r="3" spans="1:7" x14ac:dyDescent="0.25">
      <c r="A3" s="2" t="s">
        <v>494</v>
      </c>
      <c r="B3" s="2" t="str">
        <f>VLOOKUP(A$2,Eixo4[],4,FALSE)</f>
        <v>Eixo 4: Questão 107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6</v>
      </c>
      <c r="E6" s="4">
        <f>E13-SUM(E7:E12)</f>
        <v>15</v>
      </c>
      <c r="F6" s="4">
        <f>ROUND($E6/E$13*100,2)</f>
        <v>62.5</v>
      </c>
    </row>
    <row r="7" spans="1:7" x14ac:dyDescent="0.25">
      <c r="B7" s="2" t="s">
        <v>203</v>
      </c>
      <c r="C7" s="4">
        <f>COUNTIFS(Resp4[Vínculo],"tecnico",Resp4[4.107],B7)</f>
        <v>0</v>
      </c>
      <c r="D7" s="4">
        <f>COUNTIFS(Resp4[Vínculo],"docente",Resp4[4.107],B7)</f>
        <v>4</v>
      </c>
      <c r="E7" s="4">
        <f>COUNTIF(Resp4[4.107],B7)</f>
        <v>4</v>
      </c>
      <c r="F7" s="4">
        <f t="shared" ref="F7:F13" si="0">ROUND($E7/E$13*100,2)</f>
        <v>16.670000000000002</v>
      </c>
      <c r="G7" s="3">
        <f t="shared" ref="G7:G12" si="1">ROUND($E7/SUM($E$7:$E$12)*100,3)</f>
        <v>44.444000000000003</v>
      </c>
    </row>
    <row r="8" spans="1:7" x14ac:dyDescent="0.25">
      <c r="B8" s="2" t="s">
        <v>204</v>
      </c>
      <c r="C8" s="4">
        <f>COUNTIFS(Resp4[Vínculo],"tecnico",Resp4[4.107],B8)</f>
        <v>0</v>
      </c>
      <c r="D8" s="4">
        <f>COUNTIFS(Resp4[Vínculo],"docente",Resp4[4.107],B8)</f>
        <v>0</v>
      </c>
      <c r="E8" s="4">
        <f>COUNTIF(Resp4[4.107],B8)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COUNTIFS(Resp4[Vínculo],"tecnico",Resp4[4.107],B9)</f>
        <v>0</v>
      </c>
      <c r="D9" s="4">
        <f>COUNTIFS(Resp4[Vínculo],"docente",Resp4[4.107],B9)</f>
        <v>1</v>
      </c>
      <c r="E9" s="4">
        <f>COUNTIF(Resp4[4.107],B9)</f>
        <v>1</v>
      </c>
      <c r="F9" s="4">
        <f t="shared" si="0"/>
        <v>4.17</v>
      </c>
      <c r="G9" s="3">
        <f t="shared" si="1"/>
        <v>11.111000000000001</v>
      </c>
    </row>
    <row r="10" spans="1:7" x14ac:dyDescent="0.25">
      <c r="B10" s="2" t="s">
        <v>30</v>
      </c>
      <c r="C10" s="4">
        <f>COUNTIFS(Resp4[Vínculo],"tecnico",Resp4[4.107],B10)</f>
        <v>1</v>
      </c>
      <c r="D10" s="4">
        <f>COUNTIFS(Resp4[Vínculo],"docente",Resp4[4.107],B10)</f>
        <v>0</v>
      </c>
      <c r="E10" s="4">
        <f>COUNTIF(Resp4[4.107],B10)</f>
        <v>1</v>
      </c>
      <c r="F10" s="4">
        <f t="shared" si="0"/>
        <v>4.17</v>
      </c>
      <c r="G10" s="3">
        <f t="shared" si="1"/>
        <v>11.111000000000001</v>
      </c>
    </row>
    <row r="11" spans="1:7" x14ac:dyDescent="0.25">
      <c r="B11" s="2" t="s">
        <v>200</v>
      </c>
      <c r="C11" s="4">
        <f>COUNTIFS(Resp4[Vínculo],"tecnico",Resp4[4.107],B11)</f>
        <v>0</v>
      </c>
      <c r="D11" s="4">
        <f>COUNTIFS(Resp4[Vínculo],"docente",Resp4[4.107],B11)</f>
        <v>1</v>
      </c>
      <c r="E11" s="4">
        <f>COUNTIF(Resp4[4.107],B11)</f>
        <v>1</v>
      </c>
      <c r="F11" s="4">
        <f t="shared" si="0"/>
        <v>4.17</v>
      </c>
      <c r="G11" s="3">
        <f t="shared" si="1"/>
        <v>11.111000000000001</v>
      </c>
    </row>
    <row r="12" spans="1:7" x14ac:dyDescent="0.25">
      <c r="B12" s="7" t="s">
        <v>197</v>
      </c>
      <c r="C12" s="4">
        <f>COUNTIFS(Resp4[Vínculo],"tecnico",Resp4[4.107],B12)</f>
        <v>1</v>
      </c>
      <c r="D12" s="4">
        <f>COUNTIFS(Resp4[Vínculo],"docente",Resp4[4.107],B12)</f>
        <v>1</v>
      </c>
      <c r="E12" s="4">
        <f>COUNTIF(Resp4[4.107],B12)</f>
        <v>2</v>
      </c>
      <c r="F12" s="22">
        <f t="shared" si="0"/>
        <v>8.33</v>
      </c>
      <c r="G12" s="3">
        <f t="shared" si="1"/>
        <v>22.222000000000001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99.999000000000024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14.286</v>
      </c>
    </row>
    <row r="26" spans="2:7" x14ac:dyDescent="0.25">
      <c r="B26" s="16" t="s">
        <v>203</v>
      </c>
      <c r="C26" s="16" t="s">
        <v>23</v>
      </c>
      <c r="D26" s="14">
        <f>D7</f>
        <v>4</v>
      </c>
      <c r="E26" s="15">
        <f>ROUND(D26/SUM(D$25:D$28)*100,3)</f>
        <v>57.143000000000001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2</v>
      </c>
      <c r="E28" s="19">
        <f>ROUND(D28/SUM(D$25:D$28)*100,3)</f>
        <v>28.571000000000002</v>
      </c>
    </row>
  </sheetData>
  <pageMargins left="0.7" right="0.7" top="0.75" bottom="0.75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28515625" style="2" customWidth="1"/>
    <col min="3" max="3" width="23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4108</v>
      </c>
    </row>
    <row r="2" spans="1:7" x14ac:dyDescent="0.25">
      <c r="A2" s="2" t="str">
        <f>TEXT(A1,"0.00")</f>
        <v>4.108</v>
      </c>
      <c r="B2" s="2" t="str">
        <f>VLOOKUP(A$2,Eixo4[],3,FALSE)</f>
        <v>Sobre a Avaliação Quadrienal do Programa de Pós-Graduação, opine: [Efetividade da contribuição para a melhoria da avaliação do programa]</v>
      </c>
    </row>
    <row r="3" spans="1:7" x14ac:dyDescent="0.25">
      <c r="A3" s="2" t="s">
        <v>494</v>
      </c>
      <c r="B3" s="2" t="str">
        <f>VLOOKUP(A$2,Eixo4[],4,FALSE)</f>
        <v>Eixo 4: Questão 108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6</v>
      </c>
      <c r="E6" s="4">
        <f>E13-SUM(E7:E12)</f>
        <v>15</v>
      </c>
      <c r="F6" s="4">
        <f>ROUND($E6/E$13*100,2)</f>
        <v>62.5</v>
      </c>
    </row>
    <row r="7" spans="1:7" x14ac:dyDescent="0.25">
      <c r="B7" s="2" t="s">
        <v>203</v>
      </c>
      <c r="C7" s="4">
        <f>COUNTIFS(Resp4[Vínculo],"tecnico",Resp4[4.108],B7)</f>
        <v>0</v>
      </c>
      <c r="D7" s="4">
        <f>COUNTIFS(Resp4[Vínculo],"docente",Resp4[4.108],B7)</f>
        <v>4</v>
      </c>
      <c r="E7" s="4">
        <f>COUNTIF(Resp4[4.108],B7)</f>
        <v>4</v>
      </c>
      <c r="F7" s="4">
        <f t="shared" ref="F7:F13" si="0">ROUND($E7/E$13*100,2)</f>
        <v>16.670000000000002</v>
      </c>
      <c r="G7" s="3">
        <f t="shared" ref="G7:G12" si="1">ROUND($E7/SUM($E$7:$E$12)*100,3)</f>
        <v>44.444000000000003</v>
      </c>
    </row>
    <row r="8" spans="1:7" x14ac:dyDescent="0.25">
      <c r="B8" s="2" t="s">
        <v>204</v>
      </c>
      <c r="C8" s="4">
        <f>COUNTIFS(Resp4[Vínculo],"tecnico",Resp4[4.108],B8)</f>
        <v>0</v>
      </c>
      <c r="D8" s="4">
        <f>COUNTIFS(Resp4[Vínculo],"docente",Resp4[4.108],B8)</f>
        <v>0</v>
      </c>
      <c r="E8" s="4">
        <f>COUNTIF(Resp4[4.108],B8)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COUNTIFS(Resp4[Vínculo],"tecnico",Resp4[4.108],B9)</f>
        <v>0</v>
      </c>
      <c r="D9" s="4">
        <f>COUNTIFS(Resp4[Vínculo],"docente",Resp4[4.108],B9)</f>
        <v>0</v>
      </c>
      <c r="E9" s="4">
        <f>COUNTIF(Resp4[4.108],B9)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COUNTIFS(Resp4[Vínculo],"tecnico",Resp4[4.108],B10)</f>
        <v>1</v>
      </c>
      <c r="D10" s="4">
        <f>COUNTIFS(Resp4[Vínculo],"docente",Resp4[4.108],B10)</f>
        <v>1</v>
      </c>
      <c r="E10" s="4">
        <f>COUNTIF(Resp4[4.108],B10)</f>
        <v>2</v>
      </c>
      <c r="F10" s="4">
        <f t="shared" si="0"/>
        <v>8.33</v>
      </c>
      <c r="G10" s="3">
        <f t="shared" si="1"/>
        <v>22.222000000000001</v>
      </c>
    </row>
    <row r="11" spans="1:7" x14ac:dyDescent="0.25">
      <c r="B11" s="2" t="s">
        <v>200</v>
      </c>
      <c r="C11" s="4">
        <f>COUNTIFS(Resp4[Vínculo],"tecnico",Resp4[4.108],B11)</f>
        <v>0</v>
      </c>
      <c r="D11" s="4">
        <f>COUNTIFS(Resp4[Vínculo],"docente",Resp4[4.108],B11)</f>
        <v>1</v>
      </c>
      <c r="E11" s="4">
        <f>COUNTIF(Resp4[4.108],B11)</f>
        <v>1</v>
      </c>
      <c r="F11" s="4">
        <f t="shared" si="0"/>
        <v>4.17</v>
      </c>
      <c r="G11" s="3">
        <f t="shared" si="1"/>
        <v>11.111000000000001</v>
      </c>
    </row>
    <row r="12" spans="1:7" x14ac:dyDescent="0.25">
      <c r="B12" s="7" t="s">
        <v>197</v>
      </c>
      <c r="C12" s="4">
        <f>COUNTIFS(Resp4[Vínculo],"tecnico",Resp4[4.108],B12)</f>
        <v>1</v>
      </c>
      <c r="D12" s="4">
        <f>COUNTIFS(Resp4[Vínculo],"docente",Resp4[4.108],B12)</f>
        <v>1</v>
      </c>
      <c r="E12" s="4">
        <f>COUNTIF(Resp4[4.108],B12)</f>
        <v>2</v>
      </c>
      <c r="F12" s="22">
        <f t="shared" si="0"/>
        <v>8.33</v>
      </c>
      <c r="G12" s="3">
        <f t="shared" si="1"/>
        <v>22.222000000000001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203</v>
      </c>
      <c r="C26" s="16" t="s">
        <v>23</v>
      </c>
      <c r="D26" s="14">
        <f>D7</f>
        <v>4</v>
      </c>
      <c r="E26" s="15">
        <f>ROUND(D26/SUM(D$25:D$28)*100,3)</f>
        <v>57.143000000000001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14.286</v>
      </c>
    </row>
    <row r="28" spans="2:7" x14ac:dyDescent="0.25">
      <c r="B28" s="32" t="s">
        <v>33</v>
      </c>
      <c r="C28" s="32" t="s">
        <v>32</v>
      </c>
      <c r="D28" s="18">
        <f>SUM(D11:D12)</f>
        <v>2</v>
      </c>
      <c r="E28" s="19">
        <f>ROUND(D28/SUM(D$25:D$28)*100,3)</f>
        <v>28.571000000000002</v>
      </c>
    </row>
  </sheetData>
  <pageMargins left="0.7" right="0.7" top="0.75" bottom="0.75" header="0.3" footer="0.3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.42578125" style="2" customWidth="1"/>
    <col min="3" max="3" width="22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4109</v>
      </c>
    </row>
    <row r="2" spans="1:7" x14ac:dyDescent="0.25">
      <c r="A2" s="2" t="str">
        <f>TEXT(A1,"0.00")</f>
        <v>4.109</v>
      </c>
      <c r="B2" s="2" t="str">
        <f>VLOOKUP(A$2,Eixo4[],3,FALSE)</f>
        <v>Tendo em vista as Novas Diretrizes de Avaliação dos Programas de Pós-Graduação definidas pela CAPES, avalie os itens seguintes. Considere a organização e adequação das diretrizes com o(s) programa(s) ao(s) quais você está vinculado/a [Construção do planejamento do Programa (diagnóstico, discussão e participação dos diversos atores)]</v>
      </c>
    </row>
    <row r="3" spans="1:7" x14ac:dyDescent="0.25">
      <c r="A3" s="2" t="s">
        <v>494</v>
      </c>
      <c r="B3" s="2" t="str">
        <f>VLOOKUP(A$2,Eixo4[],4,FALSE)</f>
        <v>Eixo 4: Questão 109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6</v>
      </c>
      <c r="E6" s="4">
        <f>E13-SUM(E7:E12)</f>
        <v>15</v>
      </c>
      <c r="F6" s="4">
        <f>ROUND($E6/E$13*100,2)</f>
        <v>62.5</v>
      </c>
    </row>
    <row r="7" spans="1:7" x14ac:dyDescent="0.25">
      <c r="B7" s="2" t="s">
        <v>203</v>
      </c>
      <c r="C7" s="4">
        <f>COUNTIFS(Resp4[Vínculo],"tecnico",Resp4[4.109],B7)</f>
        <v>0</v>
      </c>
      <c r="D7" s="4">
        <f>COUNTIFS(Resp4[Vínculo],"docente",Resp4[4.109],B7)</f>
        <v>4</v>
      </c>
      <c r="E7" s="4">
        <f>COUNTIF(Resp4[4.109],B7)</f>
        <v>4</v>
      </c>
      <c r="F7" s="4">
        <f t="shared" ref="F7:F13" si="0">ROUND($E7/E$13*100,2)</f>
        <v>16.670000000000002</v>
      </c>
      <c r="G7" s="3">
        <f t="shared" ref="G7:G12" si="1">ROUND($E7/SUM($E$7:$E$12)*100,3)</f>
        <v>44.444000000000003</v>
      </c>
    </row>
    <row r="8" spans="1:7" x14ac:dyDescent="0.25">
      <c r="B8" s="2" t="s">
        <v>204</v>
      </c>
      <c r="C8" s="4">
        <f>COUNTIFS(Resp4[Vínculo],"tecnico",Resp4[4.109],B8)</f>
        <v>0</v>
      </c>
      <c r="D8" s="4">
        <f>COUNTIFS(Resp4[Vínculo],"docente",Resp4[4.109],B8)</f>
        <v>0</v>
      </c>
      <c r="E8" s="4">
        <f>COUNTIF(Resp4[4.109],B8)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COUNTIFS(Resp4[Vínculo],"tecnico",Resp4[4.109],B9)</f>
        <v>0</v>
      </c>
      <c r="D9" s="4">
        <f>COUNTIFS(Resp4[Vínculo],"docente",Resp4[4.109],B9)</f>
        <v>0</v>
      </c>
      <c r="E9" s="4">
        <f>COUNTIF(Resp4[4.109],B9)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COUNTIFS(Resp4[Vínculo],"tecnico",Resp4[4.109],B10)</f>
        <v>1</v>
      </c>
      <c r="D10" s="4">
        <f>COUNTIFS(Resp4[Vínculo],"docente",Resp4[4.109],B10)</f>
        <v>0</v>
      </c>
      <c r="E10" s="4">
        <f>COUNTIF(Resp4[4.109],B10)</f>
        <v>1</v>
      </c>
      <c r="F10" s="4">
        <f t="shared" si="0"/>
        <v>4.17</v>
      </c>
      <c r="G10" s="3">
        <f t="shared" si="1"/>
        <v>11.111000000000001</v>
      </c>
    </row>
    <row r="11" spans="1:7" x14ac:dyDescent="0.25">
      <c r="B11" s="2" t="s">
        <v>200</v>
      </c>
      <c r="C11" s="4">
        <f>COUNTIFS(Resp4[Vínculo],"tecnico",Resp4[4.109],B11)</f>
        <v>1</v>
      </c>
      <c r="D11" s="4">
        <f>COUNTIFS(Resp4[Vínculo],"docente",Resp4[4.109],B11)</f>
        <v>2</v>
      </c>
      <c r="E11" s="4">
        <f>COUNTIF(Resp4[4.109],B11)</f>
        <v>3</v>
      </c>
      <c r="F11" s="4">
        <f t="shared" si="0"/>
        <v>12.5</v>
      </c>
      <c r="G11" s="3">
        <f t="shared" si="1"/>
        <v>33.332999999999998</v>
      </c>
    </row>
    <row r="12" spans="1:7" x14ac:dyDescent="0.25">
      <c r="B12" s="7" t="s">
        <v>197</v>
      </c>
      <c r="C12" s="4">
        <f>COUNTIFS(Resp4[Vínculo],"tecnico",Resp4[4.109],B12)</f>
        <v>0</v>
      </c>
      <c r="D12" s="4">
        <f>COUNTIFS(Resp4[Vínculo],"docente",Resp4[4.109],B12)</f>
        <v>1</v>
      </c>
      <c r="E12" s="4">
        <f>COUNTIF(Resp4[4.109],B12)</f>
        <v>1</v>
      </c>
      <c r="F12" s="22">
        <f t="shared" si="0"/>
        <v>4.17</v>
      </c>
      <c r="G12" s="3">
        <f t="shared" si="1"/>
        <v>11.111000000000001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99.999000000000009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203</v>
      </c>
      <c r="C26" s="16" t="s">
        <v>23</v>
      </c>
      <c r="D26" s="14">
        <f>D7</f>
        <v>4</v>
      </c>
      <c r="E26" s="15">
        <f>ROUND(D26/SUM(D$25:D$28)*100,3)</f>
        <v>57.143000000000001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42.856999999999999</v>
      </c>
    </row>
  </sheetData>
  <pageMargins left="0.7" right="0.7" top="0.75" bottom="0.75" header="0.3" footer="0.3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4.28515625" style="2" customWidth="1"/>
    <col min="3" max="3" width="18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4110</v>
      </c>
    </row>
    <row r="2" spans="1:7" x14ac:dyDescent="0.25">
      <c r="A2" s="2" t="str">
        <f>TEXT(A1,"0.00")</f>
        <v>4.110</v>
      </c>
      <c r="B2" s="2" t="str">
        <f>VLOOKUP(A$2,Eixo4[],3,FALSE)</f>
        <v>Tendo em vista as Novas Diretrizes de Avaliação dos Programas de Pós-Graduação definidas pela CAPES, avalie os itens seguintes. Considere a organização e adequação das diretrizes com o(s) programa(s) ao(s) quais você está vinculado/a [Autoavaliação (criação da comissão, definição do planejamento, incluindo métodos, critérios, práticas, etapas, sensibilização e uso dos resultados na gestão do programa)]</v>
      </c>
    </row>
    <row r="3" spans="1:7" x14ac:dyDescent="0.25">
      <c r="A3" s="2" t="s">
        <v>494</v>
      </c>
      <c r="B3" s="2" t="str">
        <f>VLOOKUP(A$2,Eixo4[],4,FALSE)</f>
        <v>Eixo 4: Questão 110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6</v>
      </c>
      <c r="E6" s="4">
        <f>E13-SUM(E7:E12)</f>
        <v>15</v>
      </c>
      <c r="F6" s="4">
        <f>ROUND($E6/E$13*100,2)</f>
        <v>62.5</v>
      </c>
    </row>
    <row r="7" spans="1:7" x14ac:dyDescent="0.25">
      <c r="B7" s="2" t="s">
        <v>203</v>
      </c>
      <c r="C7" s="4">
        <f>COUNTIFS(Resp4[Vínculo],"tecnico",Resp4[4.110],B7)</f>
        <v>0</v>
      </c>
      <c r="D7" s="4">
        <f>COUNTIFS(Resp4[Vínculo],"docente",Resp4[4.110],B7)</f>
        <v>4</v>
      </c>
      <c r="E7" s="4">
        <f>COUNTIF(Resp4[4.110],B7)</f>
        <v>4</v>
      </c>
      <c r="F7" s="4">
        <f t="shared" ref="F7:F13" si="0">ROUND($E7/E$13*100,2)</f>
        <v>16.670000000000002</v>
      </c>
      <c r="G7" s="3">
        <f t="shared" ref="G7:G12" si="1">ROUND($E7/SUM($E$7:$E$12)*100,3)</f>
        <v>44.444000000000003</v>
      </c>
    </row>
    <row r="8" spans="1:7" x14ac:dyDescent="0.25">
      <c r="B8" s="2" t="s">
        <v>204</v>
      </c>
      <c r="C8" s="4">
        <f>COUNTIFS(Resp4[Vínculo],"tecnico",Resp4[4.110],B8)</f>
        <v>0</v>
      </c>
      <c r="D8" s="4">
        <f>COUNTIFS(Resp4[Vínculo],"docente",Resp4[4.110],B8)</f>
        <v>0</v>
      </c>
      <c r="E8" s="4">
        <f>COUNTIF(Resp4[4.110],B8)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COUNTIFS(Resp4[Vínculo],"tecnico",Resp4[4.110],B9)</f>
        <v>0</v>
      </c>
      <c r="D9" s="4">
        <f>COUNTIFS(Resp4[Vínculo],"docente",Resp4[4.110],B9)</f>
        <v>0</v>
      </c>
      <c r="E9" s="4">
        <f>COUNTIF(Resp4[4.110],B9)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COUNTIFS(Resp4[Vínculo],"tecnico",Resp4[4.110],B10)</f>
        <v>1</v>
      </c>
      <c r="D10" s="4">
        <f>COUNTIFS(Resp4[Vínculo],"docente",Resp4[4.110],B10)</f>
        <v>0</v>
      </c>
      <c r="E10" s="4">
        <f>COUNTIF(Resp4[4.110],B10)</f>
        <v>1</v>
      </c>
      <c r="F10" s="4">
        <f t="shared" si="0"/>
        <v>4.17</v>
      </c>
      <c r="G10" s="3">
        <f t="shared" si="1"/>
        <v>11.111000000000001</v>
      </c>
    </row>
    <row r="11" spans="1:7" x14ac:dyDescent="0.25">
      <c r="B11" s="2" t="s">
        <v>200</v>
      </c>
      <c r="C11" s="4">
        <f>COUNTIFS(Resp4[Vínculo],"tecnico",Resp4[4.110],B11)</f>
        <v>1</v>
      </c>
      <c r="D11" s="4">
        <f>COUNTIFS(Resp4[Vínculo],"docente",Resp4[4.110],B11)</f>
        <v>2</v>
      </c>
      <c r="E11" s="4">
        <f>COUNTIF(Resp4[4.110],B11)</f>
        <v>3</v>
      </c>
      <c r="F11" s="4">
        <f t="shared" si="0"/>
        <v>12.5</v>
      </c>
      <c r="G11" s="3">
        <f t="shared" si="1"/>
        <v>33.332999999999998</v>
      </c>
    </row>
    <row r="12" spans="1:7" x14ac:dyDescent="0.25">
      <c r="B12" s="7" t="s">
        <v>197</v>
      </c>
      <c r="C12" s="4">
        <f>COUNTIFS(Resp4[Vínculo],"tecnico",Resp4[4.110],B12)</f>
        <v>0</v>
      </c>
      <c r="D12" s="4">
        <f>COUNTIFS(Resp4[Vínculo],"docente",Resp4[4.110],B12)</f>
        <v>1</v>
      </c>
      <c r="E12" s="4">
        <f>COUNTIF(Resp4[4.110],B12)</f>
        <v>1</v>
      </c>
      <c r="F12" s="22">
        <f t="shared" si="0"/>
        <v>4.17</v>
      </c>
      <c r="G12" s="3">
        <f t="shared" si="1"/>
        <v>11.111000000000001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99.999000000000009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203</v>
      </c>
      <c r="C26" s="16" t="s">
        <v>23</v>
      </c>
      <c r="D26" s="14">
        <f>D7</f>
        <v>4</v>
      </c>
      <c r="E26" s="15">
        <f>ROUND(D26/SUM(D$25:D$28)*100,3)</f>
        <v>57.143000000000001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42.856999999999999</v>
      </c>
    </row>
  </sheetData>
  <pageMargins left="0.7" right="0.7" top="0.75" bottom="0.75" header="0.3" footer="0.3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5" style="2" customWidth="1"/>
    <col min="3" max="3" width="29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4111</v>
      </c>
    </row>
    <row r="2" spans="1:7" x14ac:dyDescent="0.25">
      <c r="A2" s="2" t="str">
        <f>TEXT(A1,"0.00")</f>
        <v>4.111</v>
      </c>
      <c r="B2" s="2" t="str">
        <f>VLOOKUP(A$2,Eixo4[],3,FALSE)</f>
        <v>Tendo em vista as Novas Diretrizes de Avaliação dos Programas de Pós-Graduação definidas pela CAPES, avalie os itens seguintes. Considere a organização e adequação das diretrizes com o(s) programa(s) ao(s) quais você está vinculado/a [Aplicação da abordagem multidimensional em relação ao levantamento das condições de qualidade dos programas de pós-graduação]</v>
      </c>
    </row>
    <row r="3" spans="1:7" x14ac:dyDescent="0.25">
      <c r="A3" s="2" t="s">
        <v>494</v>
      </c>
      <c r="B3" s="2" t="str">
        <f>VLOOKUP(A$2,Eixo4[],4,FALSE)</f>
        <v>Eixo 4: Questão 111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6</v>
      </c>
      <c r="E6" s="4">
        <f>E13-SUM(E7:E12)</f>
        <v>15</v>
      </c>
      <c r="F6" s="4">
        <f>ROUND($E6/E$13*100,2)</f>
        <v>62.5</v>
      </c>
    </row>
    <row r="7" spans="1:7" x14ac:dyDescent="0.25">
      <c r="B7" s="2" t="s">
        <v>203</v>
      </c>
      <c r="C7" s="4">
        <f>COUNTIFS(Resp4[Vínculo],"tecnico",Resp4[4.111],B7)</f>
        <v>0</v>
      </c>
      <c r="D7" s="4">
        <f>COUNTIFS(Resp4[Vínculo],"docente",Resp4[4.111],B7)</f>
        <v>4</v>
      </c>
      <c r="E7" s="4">
        <f>COUNTIF(Resp4[4.111],B7)</f>
        <v>4</v>
      </c>
      <c r="F7" s="4">
        <f t="shared" ref="F7:F13" si="0">ROUND($E7/E$13*100,2)</f>
        <v>16.670000000000002</v>
      </c>
      <c r="G7" s="3">
        <f t="shared" ref="G7:G12" si="1">ROUND($E7/SUM($E$7:$E$12)*100,3)</f>
        <v>44.444000000000003</v>
      </c>
    </row>
    <row r="8" spans="1:7" x14ac:dyDescent="0.25">
      <c r="B8" s="2" t="s">
        <v>204</v>
      </c>
      <c r="C8" s="4">
        <f>COUNTIFS(Resp4[Vínculo],"tecnico",Resp4[4.111],B8)</f>
        <v>0</v>
      </c>
      <c r="D8" s="4">
        <f>COUNTIFS(Resp4[Vínculo],"docente",Resp4[4.111],B8)</f>
        <v>0</v>
      </c>
      <c r="E8" s="4">
        <f>COUNTIF(Resp4[4.111],B8)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COUNTIFS(Resp4[Vínculo],"tecnico",Resp4[4.111],B9)</f>
        <v>0</v>
      </c>
      <c r="D9" s="4">
        <f>COUNTIFS(Resp4[Vínculo],"docente",Resp4[4.111],B9)</f>
        <v>0</v>
      </c>
      <c r="E9" s="4">
        <f>COUNTIF(Resp4[4.111],B9)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COUNTIFS(Resp4[Vínculo],"tecnico",Resp4[4.111],B10)</f>
        <v>1</v>
      </c>
      <c r="D10" s="4">
        <f>COUNTIFS(Resp4[Vínculo],"docente",Resp4[4.111],B10)</f>
        <v>1</v>
      </c>
      <c r="E10" s="4">
        <f>COUNTIF(Resp4[4.111],B10)</f>
        <v>2</v>
      </c>
      <c r="F10" s="4">
        <f t="shared" si="0"/>
        <v>8.33</v>
      </c>
      <c r="G10" s="3">
        <f t="shared" si="1"/>
        <v>22.222000000000001</v>
      </c>
    </row>
    <row r="11" spans="1:7" x14ac:dyDescent="0.25">
      <c r="B11" s="2" t="s">
        <v>200</v>
      </c>
      <c r="C11" s="4">
        <f>COUNTIFS(Resp4[Vínculo],"tecnico",Resp4[4.111],B11)</f>
        <v>1</v>
      </c>
      <c r="D11" s="4">
        <f>COUNTIFS(Resp4[Vínculo],"docente",Resp4[4.111],B11)</f>
        <v>1</v>
      </c>
      <c r="E11" s="4">
        <f>COUNTIF(Resp4[4.111],B11)</f>
        <v>2</v>
      </c>
      <c r="F11" s="4">
        <f t="shared" si="0"/>
        <v>8.33</v>
      </c>
      <c r="G11" s="3">
        <f t="shared" si="1"/>
        <v>22.222000000000001</v>
      </c>
    </row>
    <row r="12" spans="1:7" x14ac:dyDescent="0.25">
      <c r="B12" s="7" t="s">
        <v>197</v>
      </c>
      <c r="C12" s="4">
        <f>COUNTIFS(Resp4[Vínculo],"tecnico",Resp4[4.111],B12)</f>
        <v>0</v>
      </c>
      <c r="D12" s="4">
        <f>COUNTIFS(Resp4[Vínculo],"docente",Resp4[4.111],B12)</f>
        <v>1</v>
      </c>
      <c r="E12" s="4">
        <f>COUNTIF(Resp4[4.111],B12)</f>
        <v>1</v>
      </c>
      <c r="F12" s="22">
        <f t="shared" si="0"/>
        <v>4.17</v>
      </c>
      <c r="G12" s="3">
        <f t="shared" si="1"/>
        <v>11.111000000000001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99.999000000000009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203</v>
      </c>
      <c r="C26" s="16" t="s">
        <v>23</v>
      </c>
      <c r="D26" s="14">
        <f>D7</f>
        <v>4</v>
      </c>
      <c r="E26" s="15">
        <f>ROUND(D26/SUM(D$25:D$28)*100,3)</f>
        <v>57.143000000000001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14.286</v>
      </c>
    </row>
    <row r="28" spans="2:7" x14ac:dyDescent="0.25">
      <c r="B28" s="32" t="s">
        <v>33</v>
      </c>
      <c r="C28" s="32" t="s">
        <v>32</v>
      </c>
      <c r="D28" s="18">
        <f>SUM(D11:D12)</f>
        <v>2</v>
      </c>
      <c r="E28" s="19">
        <f>ROUND(D28/SUM(D$25:D$28)*100,3)</f>
        <v>28.571000000000002</v>
      </c>
    </row>
  </sheetData>
  <pageMargins left="0.7" right="0.7" top="0.75" bottom="0.75" header="0.3" footer="0.3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.28515625" style="2" customWidth="1"/>
    <col min="3" max="3" width="21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4112</v>
      </c>
    </row>
    <row r="2" spans="1:7" x14ac:dyDescent="0.25">
      <c r="A2" s="2" t="str">
        <f>TEXT(A1,"0.00")</f>
        <v>4.112</v>
      </c>
      <c r="B2" s="2" t="str">
        <f>VLOOKUP(A$2,Eixo4[],3,FALSE)</f>
        <v>Tendo em vista as Novas Diretrizes de Avaliação dos Programas de Pós-Graduação definidas pela CAPES, avalie os itens seguintes. Considere a organização e adequação das diretrizes com o(s) programa(s) ao(s) quais você está vinculado/a [Integração entre a Autoavaliação do programa de pós-graduação e os processos de Autoavaliação Institucional conduzidos pela CPA em parceria com a PRPPG]</v>
      </c>
    </row>
    <row r="3" spans="1:7" x14ac:dyDescent="0.25">
      <c r="A3" s="2" t="s">
        <v>494</v>
      </c>
      <c r="B3" s="2" t="str">
        <f>VLOOKUP(A$2,Eixo4[],4,FALSE)</f>
        <v>Eixo 4: Questão 112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6</v>
      </c>
      <c r="E6" s="4">
        <f>E13-SUM(E7:E12)</f>
        <v>15</v>
      </c>
      <c r="F6" s="3">
        <f>ROUND($E6/E$13*100,2)</f>
        <v>62.5</v>
      </c>
    </row>
    <row r="7" spans="1:7" x14ac:dyDescent="0.25">
      <c r="B7" s="2" t="s">
        <v>203</v>
      </c>
      <c r="C7" s="4">
        <f>COUNTIFS(Resp4[Vínculo],"tecnico",Resp4[4.112],B7)</f>
        <v>0</v>
      </c>
      <c r="D7" s="4">
        <f>COUNTIFS(Resp4[Vínculo],"docente",Resp4[4.112],B7)</f>
        <v>5</v>
      </c>
      <c r="E7" s="4">
        <f>COUNTIF(Resp4[4.112],B7)</f>
        <v>5</v>
      </c>
      <c r="F7" s="3">
        <f t="shared" ref="F7:F13" si="0">ROUND($E7/E$13*100,2)</f>
        <v>20.83</v>
      </c>
      <c r="G7" s="3">
        <f t="shared" ref="G7:G12" si="1">ROUND($E7/SUM($E$7:$E$12)*100,3)</f>
        <v>55.555999999999997</v>
      </c>
    </row>
    <row r="8" spans="1:7" x14ac:dyDescent="0.25">
      <c r="B8" s="2" t="s">
        <v>204</v>
      </c>
      <c r="C8" s="4">
        <f>COUNTIFS(Resp4[Vínculo],"tecnico",Resp4[4.112],B8)</f>
        <v>0</v>
      </c>
      <c r="D8" s="4">
        <f>COUNTIFS(Resp4[Vínculo],"docente",Resp4[4.112],B8)</f>
        <v>0</v>
      </c>
      <c r="E8" s="4">
        <f>COUNTIF(Resp4[4.112],B8)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COUNTIFS(Resp4[Vínculo],"tecnico",Resp4[4.112],B9)</f>
        <v>0</v>
      </c>
      <c r="D9" s="4">
        <f>COUNTIFS(Resp4[Vínculo],"docente",Resp4[4.112],B9)</f>
        <v>0</v>
      </c>
      <c r="E9" s="4">
        <f>COUNTIF(Resp4[4.112],B9)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COUNTIFS(Resp4[Vínculo],"tecnico",Resp4[4.112],B10)</f>
        <v>1</v>
      </c>
      <c r="D10" s="4">
        <f>COUNTIFS(Resp4[Vínculo],"docente",Resp4[4.112],B10)</f>
        <v>1</v>
      </c>
      <c r="E10" s="4">
        <f>COUNTIF(Resp4[4.112],B10)</f>
        <v>2</v>
      </c>
      <c r="F10" s="3">
        <f t="shared" si="0"/>
        <v>8.33</v>
      </c>
      <c r="G10" s="3">
        <f t="shared" si="1"/>
        <v>22.222000000000001</v>
      </c>
    </row>
    <row r="11" spans="1:7" x14ac:dyDescent="0.25">
      <c r="B11" s="2" t="s">
        <v>200</v>
      </c>
      <c r="C11" s="4">
        <f>COUNTIFS(Resp4[Vínculo],"tecnico",Resp4[4.112],B11)</f>
        <v>1</v>
      </c>
      <c r="D11" s="4">
        <f>COUNTIFS(Resp4[Vínculo],"docente",Resp4[4.112],B11)</f>
        <v>0</v>
      </c>
      <c r="E11" s="4">
        <f>COUNTIF(Resp4[4.112],B11)</f>
        <v>1</v>
      </c>
      <c r="F11" s="3">
        <f t="shared" si="0"/>
        <v>4.17</v>
      </c>
      <c r="G11" s="3">
        <f t="shared" si="1"/>
        <v>11.111000000000001</v>
      </c>
    </row>
    <row r="12" spans="1:7" x14ac:dyDescent="0.25">
      <c r="B12" s="7" t="s">
        <v>197</v>
      </c>
      <c r="C12" s="4">
        <f>COUNTIFS(Resp4[Vínculo],"tecnico",Resp4[4.112],B12)</f>
        <v>0</v>
      </c>
      <c r="D12" s="4">
        <f>COUNTIFS(Resp4[Vínculo],"docente",Resp4[4.112],B12)</f>
        <v>1</v>
      </c>
      <c r="E12" s="4">
        <f>COUNTIF(Resp4[4.112],B12)</f>
        <v>1</v>
      </c>
      <c r="F12" s="24">
        <f t="shared" si="0"/>
        <v>4.17</v>
      </c>
      <c r="G12" s="3">
        <f t="shared" si="1"/>
        <v>11.111000000000001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203</v>
      </c>
      <c r="C26" s="16" t="s">
        <v>23</v>
      </c>
      <c r="D26" s="14">
        <f>D7</f>
        <v>5</v>
      </c>
      <c r="E26" s="15">
        <f>ROUND(D26/SUM(D$25:D$28)*100,3)</f>
        <v>71.429000000000002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14.286</v>
      </c>
    </row>
    <row r="28" spans="2:7" x14ac:dyDescent="0.25">
      <c r="B28" s="32" t="s">
        <v>33</v>
      </c>
      <c r="C28" s="32" t="s">
        <v>32</v>
      </c>
      <c r="D28" s="18">
        <f>SUM(D11:D12)</f>
        <v>1</v>
      </c>
      <c r="E28" s="19">
        <f>ROUND(D28/SUM(D$25:D$28)*100,3)</f>
        <v>14.286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5.42578125" style="2" customWidth="1"/>
    <col min="3" max="3" width="18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61</v>
      </c>
    </row>
    <row r="2" spans="1:7" x14ac:dyDescent="0.25">
      <c r="A2" s="2" t="str">
        <f>TEXT(A1,"0.00")</f>
        <v>4.05</v>
      </c>
      <c r="B2" s="2" t="str">
        <f>VLOOKUP(A$2,Eixo4[],3,FALSE)</f>
        <v>Com relação ao ensino da graduação, avalie: [As ações de orientação e de acompanhamento dos cursos que recebem avaliação in loco]</v>
      </c>
    </row>
    <row r="3" spans="1:7" x14ac:dyDescent="0.25">
      <c r="A3" s="2" t="s">
        <v>494</v>
      </c>
      <c r="B3" s="2" t="str">
        <f>VLOOKUP(A$2,Eixo4[],4,FALSE)</f>
        <v>Eixo 4: Questão 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0</v>
      </c>
      <c r="E6" s="4">
        <f>E13-SUM(E7:E12)</f>
        <v>9</v>
      </c>
      <c r="F6" s="4">
        <f>ROUND($E6/E$13*100,2)</f>
        <v>37.5</v>
      </c>
    </row>
    <row r="7" spans="1:7" x14ac:dyDescent="0.25">
      <c r="B7" s="2" t="s">
        <v>203</v>
      </c>
      <c r="C7" s="4">
        <f>COUNTIFS(Resp4[Vínculo],"tecnico",Resp4[4.05],B7)</f>
        <v>0</v>
      </c>
      <c r="D7" s="4">
        <f>COUNTIFS(Resp4[Vínculo],"docente",Resp4[4.05],B7)</f>
        <v>3</v>
      </c>
      <c r="E7" s="4">
        <f>COUNTIF(Resp4[4.05],B7)</f>
        <v>3</v>
      </c>
      <c r="F7" s="4">
        <f t="shared" ref="F7:F13" si="0">ROUND($E7/E$13*100,2)</f>
        <v>12.5</v>
      </c>
      <c r="G7" s="3">
        <f t="shared" ref="G7:G12" si="1">ROUND($E7/SUM($E$7:$E$12)*100,3)</f>
        <v>20</v>
      </c>
    </row>
    <row r="8" spans="1:7" x14ac:dyDescent="0.25">
      <c r="B8" s="2" t="s">
        <v>204</v>
      </c>
      <c r="C8" s="4">
        <f>COUNTIFS(Resp4[Vínculo],"tecnico",Resp4[4.02],B$8)</f>
        <v>0</v>
      </c>
      <c r="D8" s="4">
        <f>COUNTIFS(Resp4[Vínculo],"docente",Resp4[4.05],B8)</f>
        <v>0</v>
      </c>
      <c r="E8" s="4">
        <f>COUNTIF(Resp4[4.05],B8)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COUNTIFS(Resp4[Vínculo],"tecnico",Resp4[4.02],B$9)</f>
        <v>1</v>
      </c>
      <c r="D9" s="4">
        <f>COUNTIFS(Resp4[Vínculo],"docente",Resp4[4.05],B9)</f>
        <v>2</v>
      </c>
      <c r="E9" s="4">
        <f>COUNTIF(Resp4[4.05],B9)</f>
        <v>3</v>
      </c>
      <c r="F9" s="4">
        <f t="shared" si="0"/>
        <v>12.5</v>
      </c>
      <c r="G9" s="3">
        <f t="shared" si="1"/>
        <v>20</v>
      </c>
    </row>
    <row r="10" spans="1:7" x14ac:dyDescent="0.25">
      <c r="B10" s="2" t="s">
        <v>30</v>
      </c>
      <c r="C10" s="4">
        <f>COUNTIFS(Resp4[Vínculo],"tecnico",Resp4[4.02],B$10)</f>
        <v>1</v>
      </c>
      <c r="D10" s="4">
        <f>COUNTIFS(Resp4[Vínculo],"docente",Resp4[4.05],B10)</f>
        <v>4</v>
      </c>
      <c r="E10" s="4">
        <f>COUNTIF(Resp4[4.05],B10)</f>
        <v>5</v>
      </c>
      <c r="F10" s="4">
        <f t="shared" si="0"/>
        <v>20.83</v>
      </c>
      <c r="G10" s="3">
        <f t="shared" si="1"/>
        <v>33.332999999999998</v>
      </c>
    </row>
    <row r="11" spans="1:7" x14ac:dyDescent="0.25">
      <c r="B11" s="2" t="s">
        <v>200</v>
      </c>
      <c r="C11" s="4">
        <f>COUNTIFS(Resp4[Vínculo],"tecnico",Resp4[4.02],B$11)</f>
        <v>0</v>
      </c>
      <c r="D11" s="4">
        <f>COUNTIFS(Resp4[Vínculo],"docente",Resp4[4.05],B11)</f>
        <v>2</v>
      </c>
      <c r="E11" s="4">
        <f>COUNTIF(Resp4[4.05],B11)</f>
        <v>2</v>
      </c>
      <c r="F11" s="4">
        <f t="shared" si="0"/>
        <v>8.33</v>
      </c>
      <c r="G11" s="3">
        <f t="shared" si="1"/>
        <v>13.333</v>
      </c>
    </row>
    <row r="12" spans="1:7" x14ac:dyDescent="0.25">
      <c r="B12" s="7" t="s">
        <v>197</v>
      </c>
      <c r="C12" s="4">
        <f>COUNTIFS(Resp4[Vínculo],"tecnico",Resp4[4.02],B$12)</f>
        <v>0</v>
      </c>
      <c r="D12" s="4">
        <f>COUNTIFS(Resp4[Vínculo],"docente",Resp4[4.05],B12)</f>
        <v>2</v>
      </c>
      <c r="E12" s="4">
        <f>COUNTIF(Resp4[4.05],B12)</f>
        <v>2</v>
      </c>
      <c r="F12" s="22">
        <f t="shared" si="0"/>
        <v>8.33</v>
      </c>
      <c r="G12" s="3">
        <f t="shared" si="1"/>
        <v>13.333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50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15.385</v>
      </c>
    </row>
    <row r="26" spans="2:7" x14ac:dyDescent="0.25">
      <c r="B26" s="16" t="s">
        <v>505</v>
      </c>
      <c r="C26" s="16" t="s">
        <v>23</v>
      </c>
      <c r="D26" s="14">
        <f>D7</f>
        <v>3</v>
      </c>
      <c r="E26" s="15">
        <f>ROUND(D26/SUM(D$25:D$28)*100,3)</f>
        <v>23.077000000000002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30.768999999999998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30.768999999999998</v>
      </c>
    </row>
  </sheetData>
  <pageMargins left="0.7" right="0.7" top="0.75" bottom="0.75" header="0.3" footer="0.3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8" sqref="F8"/>
    </sheetView>
  </sheetViews>
  <sheetFormatPr defaultRowHeight="15" x14ac:dyDescent="0.25"/>
  <cols>
    <col min="1" max="1" width="7.42578125" customWidth="1"/>
  </cols>
  <sheetData>
    <row r="1" spans="1:8" x14ac:dyDescent="0.25">
      <c r="A1" s="27">
        <v>4114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4.114</v>
      </c>
      <c r="B2" s="2" t="str">
        <f>VLOOKUP(A$2, Eixo4[], 3, FALSE)</f>
        <v>Por favor, escolha Sim se deseja contribuir com a avaliação da pós-graduação lato sensu. Caso contrário, escolha Não para prosseguir: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114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196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COUNTIFS(Resp4[Vínculo],"tecnico",Resp4[4.114],B7)</f>
        <v>0</v>
      </c>
      <c r="D7" s="4">
        <f>COUNTIFS(Resp4[Vínculo],"docente",Resp4[4.114],B7)</f>
        <v>0</v>
      </c>
      <c r="E7" s="2">
        <f>COUNTIF(Resp4[4.114],B7)</f>
        <v>0</v>
      </c>
      <c r="F7" s="15">
        <f t="shared" ref="F7:F9" si="0">ROUND($E7/E$9*100,2)</f>
        <v>0</v>
      </c>
      <c r="G7" s="4">
        <f>ROUND($E7/SUM($E$7:$E$8)*100,2)</f>
        <v>0</v>
      </c>
      <c r="H7" s="2"/>
    </row>
    <row r="8" spans="1:8" x14ac:dyDescent="0.25">
      <c r="A8" s="2"/>
      <c r="B8" s="2" t="s">
        <v>194</v>
      </c>
      <c r="C8" s="4">
        <f>COUNTIFS(Resp4[Vínculo],"tecnico",Resp4[4.114],B8)</f>
        <v>11</v>
      </c>
      <c r="D8" s="4">
        <f>COUNTIFS(Resp4[Vínculo],"docente",Resp4[4.114],B8)</f>
        <v>13</v>
      </c>
      <c r="E8" s="2">
        <f>COUNTIF(Resp4[4.114],B8)</f>
        <v>24</v>
      </c>
      <c r="F8" s="19">
        <f t="shared" si="0"/>
        <v>100</v>
      </c>
      <c r="G8" s="4">
        <f>ROUND($E8/SUM($E$7:$E$8)*100,2)</f>
        <v>100</v>
      </c>
      <c r="H8" s="2"/>
    </row>
    <row r="9" spans="1:8" x14ac:dyDescent="0.25">
      <c r="A9" s="2"/>
      <c r="B9" s="8" t="s">
        <v>502</v>
      </c>
      <c r="C9" s="8">
        <f>SUM(C6:C8)</f>
        <v>11</v>
      </c>
      <c r="D9" s="8">
        <f>SUM(D6:D8)</f>
        <v>13</v>
      </c>
      <c r="E9" s="8">
        <f>SUM(C9:D9)</f>
        <v>24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0" style="2" customWidth="1"/>
    <col min="3" max="3" width="21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4115</v>
      </c>
    </row>
    <row r="2" spans="1:7" x14ac:dyDescent="0.25">
      <c r="A2" s="2" t="str">
        <f>TEXT(A1,"0.00")</f>
        <v>4.115</v>
      </c>
      <c r="B2" s="2" t="str">
        <f>VLOOKUP(A$2,Eixo4[],3,FALSE)</f>
        <v>Considerando as políticas para a pós-graduação lato sensu, avalie as ações institucionais de: [Criação, ampliação e manutenção]</v>
      </c>
    </row>
    <row r="3" spans="1:7" x14ac:dyDescent="0.25">
      <c r="A3" s="2" t="s">
        <v>494</v>
      </c>
      <c r="B3" s="2" t="str">
        <f>VLOOKUP(A$2,Eixo4[],4,FALSE)</f>
        <v>Eixo 4: Questão 115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13</v>
      </c>
      <c r="E6" s="4">
        <f>E13-SUM(E7:E12)</f>
        <v>24</v>
      </c>
      <c r="F6" s="3">
        <f>ROUND($E6/E$13*100,2)</f>
        <v>100</v>
      </c>
    </row>
    <row r="7" spans="1:7" x14ac:dyDescent="0.25">
      <c r="B7" s="2" t="s">
        <v>203</v>
      </c>
      <c r="C7" s="4">
        <f>COUNTIFS(Resp4[Vínculo],"tecnico",Resp4[4.115],B7)</f>
        <v>0</v>
      </c>
      <c r="D7" s="4">
        <f>COUNTIFS(Resp4[Vínculo],"docente",Resp4[4.115],B7)</f>
        <v>0</v>
      </c>
      <c r="E7" s="4">
        <f>COUNTIF(Resp4[4.115],B7)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204</v>
      </c>
      <c r="C8" s="4">
        <f>COUNTIFS(Resp4[Vínculo],"tecnico",Resp4[4.115],B8)</f>
        <v>0</v>
      </c>
      <c r="D8" s="4">
        <f>COUNTIFS(Resp4[Vínculo],"docente",Resp4[4.115],B8)</f>
        <v>0</v>
      </c>
      <c r="E8" s="4">
        <f>COUNTIF(Resp4[4.115],B8)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COUNTIFS(Resp4[Vínculo],"tecnico",Resp4[4.115],B9)</f>
        <v>0</v>
      </c>
      <c r="D9" s="4">
        <f>COUNTIFS(Resp4[Vínculo],"docente",Resp4[4.115],B9)</f>
        <v>0</v>
      </c>
      <c r="E9" s="4">
        <f>COUNTIF(Resp4[4.115],B9)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COUNTIFS(Resp4[Vínculo],"tecnico",Resp4[4.115],B10)</f>
        <v>0</v>
      </c>
      <c r="D10" s="4">
        <f>COUNTIFS(Resp4[Vínculo],"docente",Resp4[4.115],B10)</f>
        <v>0</v>
      </c>
      <c r="E10" s="4">
        <f>COUNTIF(Resp4[4.115],B10)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200</v>
      </c>
      <c r="C11" s="4">
        <f>COUNTIFS(Resp4[Vínculo],"tecnico",Resp4[4.115],B11)</f>
        <v>0</v>
      </c>
      <c r="D11" s="4">
        <f>COUNTIFS(Resp4[Vínculo],"docente",Resp4[4.115],B11)</f>
        <v>0</v>
      </c>
      <c r="E11" s="4">
        <f>COUNTIF(Resp4[4.115],B11)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COUNTIFS(Resp4[Vínculo],"tecnico",Resp4[4.115],B12)</f>
        <v>0</v>
      </c>
      <c r="D12" s="4">
        <f>COUNTIFS(Resp4[Vínculo],"docente",Resp4[4.115],B12)</f>
        <v>0</v>
      </c>
      <c r="E12" s="4">
        <f>COUNTIF(Resp4[4.115],B12)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18.42578125" style="2" customWidth="1"/>
    <col min="3" max="3" width="25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4116</v>
      </c>
    </row>
    <row r="2" spans="1:7" x14ac:dyDescent="0.25">
      <c r="A2" s="2" t="str">
        <f>TEXT(A1,"0.00")</f>
        <v>4.116</v>
      </c>
      <c r="B2" s="2" t="str">
        <f>VLOOKUP(A$2,Eixo4[],3,FALSE)</f>
        <v>Considerando as políticas para a pós-graduação lato sensu, avalie as ações institucionais de: [Melhoria da qualidade]</v>
      </c>
    </row>
    <row r="3" spans="1:7" x14ac:dyDescent="0.25">
      <c r="A3" s="2" t="s">
        <v>494</v>
      </c>
      <c r="B3" s="2" t="str">
        <f>VLOOKUP(A$2,Eixo4[],4,FALSE)</f>
        <v>Eixo 4: Questão 116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13</v>
      </c>
      <c r="E6" s="4">
        <f>E13-SUM(E7:E12)</f>
        <v>24</v>
      </c>
      <c r="F6" s="3">
        <f>ROUND($E6/E$13*100,2)</f>
        <v>100</v>
      </c>
    </row>
    <row r="7" spans="1:7" x14ac:dyDescent="0.25">
      <c r="B7" s="2" t="s">
        <v>203</v>
      </c>
      <c r="C7" s="4">
        <f>COUNTIFS(Resp4[Vínculo],"tecnico",Resp4[4.116],B7)</f>
        <v>0</v>
      </c>
      <c r="D7" s="4">
        <f>COUNTIFS(Resp4[Vínculo],"docente",Resp4[4.116],B7)</f>
        <v>0</v>
      </c>
      <c r="E7" s="4">
        <f>COUNTIF(Resp4[4.116],B7)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204</v>
      </c>
      <c r="C8" s="4">
        <f>COUNTIFS(Resp4[Vínculo],"tecnico",Resp4[4.116],B8)</f>
        <v>0</v>
      </c>
      <c r="D8" s="4">
        <f>COUNTIFS(Resp4[Vínculo],"docente",Resp4[4.116],B8)</f>
        <v>0</v>
      </c>
      <c r="E8" s="4">
        <f>COUNTIF(Resp4[4.116],B8)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COUNTIFS(Resp4[Vínculo],"tecnico",Resp4[4.116],B9)</f>
        <v>0</v>
      </c>
      <c r="D9" s="4">
        <f>COUNTIFS(Resp4[Vínculo],"docente",Resp4[4.116],B9)</f>
        <v>0</v>
      </c>
      <c r="E9" s="4">
        <f>COUNTIF(Resp4[4.116],B9)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COUNTIFS(Resp4[Vínculo],"tecnico",Resp4[4.116],B10)</f>
        <v>0</v>
      </c>
      <c r="D10" s="4">
        <f>COUNTIFS(Resp4[Vínculo],"docente",Resp4[4.116],B10)</f>
        <v>0</v>
      </c>
      <c r="E10" s="4">
        <f>COUNTIF(Resp4[4.116],B10)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200</v>
      </c>
      <c r="C11" s="4">
        <f>COUNTIFS(Resp4[Vínculo],"tecnico",Resp4[4.116],B11)</f>
        <v>0</v>
      </c>
      <c r="D11" s="4">
        <f>COUNTIFS(Resp4[Vínculo],"docente",Resp4[4.116],B11)</f>
        <v>0</v>
      </c>
      <c r="E11" s="4">
        <f>COUNTIF(Resp4[4.116],B11)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COUNTIFS(Resp4[Vínculo],"tecnico",Resp4[4.116],B12)</f>
        <v>0</v>
      </c>
      <c r="D12" s="4">
        <f>COUNTIFS(Resp4[Vínculo],"docente",Resp4[4.116],B12)</f>
        <v>0</v>
      </c>
      <c r="E12" s="4">
        <f>COUNTIF(Resp4[4.116],B12)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19" style="2" customWidth="1"/>
    <col min="3" max="3" width="31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4117</v>
      </c>
    </row>
    <row r="2" spans="1:7" x14ac:dyDescent="0.25">
      <c r="A2" s="2" t="str">
        <f>TEXT(A1,"0.00")</f>
        <v>4.117</v>
      </c>
      <c r="B2" s="2" t="str">
        <f>VLOOKUP(A$2,Eixo4[],3,FALSE)</f>
        <v>Considerando as políticas para a pós-graduação lato sensu, avalie as ações institucionais de: [Acompanhamento de ocupação e evasão]</v>
      </c>
    </row>
    <row r="3" spans="1:7" x14ac:dyDescent="0.25">
      <c r="A3" s="2" t="s">
        <v>494</v>
      </c>
      <c r="B3" s="2" t="str">
        <f>VLOOKUP(A$2,Eixo4[],4,FALSE)</f>
        <v>Eixo 4: Questão 117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13</v>
      </c>
      <c r="E6" s="4">
        <f>E13-SUM(E7:E12)</f>
        <v>24</v>
      </c>
      <c r="F6" s="3">
        <f>ROUND($E6/E$13*100,2)</f>
        <v>100</v>
      </c>
    </row>
    <row r="7" spans="1:7" x14ac:dyDescent="0.25">
      <c r="B7" s="2" t="s">
        <v>203</v>
      </c>
      <c r="C7" s="4">
        <f>COUNTIFS(Resp4[Vínculo],"tecnico",Resp4[4.117],B7)</f>
        <v>0</v>
      </c>
      <c r="D7" s="4">
        <f>COUNTIFS(Resp4[Vínculo],"docente",Resp4[4.117],B7)</f>
        <v>0</v>
      </c>
      <c r="E7" s="4">
        <f>COUNTIF(Resp4[4.117],B7)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204</v>
      </c>
      <c r="C8" s="4">
        <f>COUNTIFS(Resp4[Vínculo],"tecnico",Resp4[4.117],B8)</f>
        <v>0</v>
      </c>
      <c r="D8" s="4">
        <f>COUNTIFS(Resp4[Vínculo],"docente",Resp4[4.117],B8)</f>
        <v>0</v>
      </c>
      <c r="E8" s="4">
        <f>COUNTIF(Resp4[4.117],B8)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COUNTIFS(Resp4[Vínculo],"tecnico",Resp4[4.117],B9)</f>
        <v>0</v>
      </c>
      <c r="D9" s="4">
        <f>COUNTIFS(Resp4[Vínculo],"docente",Resp4[4.117],B9)</f>
        <v>0</v>
      </c>
      <c r="E9" s="4">
        <f>COUNTIF(Resp4[4.117],B9)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COUNTIFS(Resp4[Vínculo],"tecnico",Resp4[4.117],B10)</f>
        <v>0</v>
      </c>
      <c r="D10" s="4">
        <f>COUNTIFS(Resp4[Vínculo],"docente",Resp4[4.117],B10)</f>
        <v>0</v>
      </c>
      <c r="E10" s="4">
        <f>COUNTIF(Resp4[4.117],B10)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200</v>
      </c>
      <c r="C11" s="4">
        <f>COUNTIFS(Resp4[Vínculo],"tecnico",Resp4[4.117],B11)</f>
        <v>0</v>
      </c>
      <c r="D11" s="4">
        <f>COUNTIFS(Resp4[Vínculo],"docente",Resp4[4.117],B11)</f>
        <v>0</v>
      </c>
      <c r="E11" s="4">
        <f>COUNTIF(Resp4[4.117],B11)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COUNTIFS(Resp4[Vínculo],"tecnico",Resp4[4.117],B12)</f>
        <v>0</v>
      </c>
      <c r="D12" s="4">
        <f>COUNTIFS(Resp4[Vínculo],"docente",Resp4[4.117],B12)</f>
        <v>0</v>
      </c>
      <c r="E12" s="4">
        <f>COUNTIF(Resp4[4.117],B12)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2.7109375" style="2" customWidth="1"/>
    <col min="3" max="3" width="18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4118</v>
      </c>
    </row>
    <row r="2" spans="1:7" x14ac:dyDescent="0.25">
      <c r="A2" s="2" t="str">
        <f>TEXT(A1,"0.00")</f>
        <v>4.118</v>
      </c>
      <c r="B2" s="2" t="str">
        <f>VLOOKUP(A$2,Eixo4[],3,FALSE)</f>
        <v>Considerando as políticas para a pós-graduação lato sensu, avalie as ações institucionais de: [Avaliação e revisão dos currículos dos cursos em função das mudanças do mercado e da sociedade]</v>
      </c>
    </row>
    <row r="3" spans="1:7" x14ac:dyDescent="0.25">
      <c r="A3" s="2" t="s">
        <v>494</v>
      </c>
      <c r="B3" s="2" t="str">
        <f>VLOOKUP(A$2,Eixo4[],4,FALSE)</f>
        <v>Eixo 4: Questão 118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13</v>
      </c>
      <c r="E6" s="4">
        <f>E13-SUM(E7:E12)</f>
        <v>24</v>
      </c>
      <c r="F6" s="3">
        <f>ROUND($E6/E$13*100,2)</f>
        <v>100</v>
      </c>
    </row>
    <row r="7" spans="1:7" x14ac:dyDescent="0.25">
      <c r="B7" s="2" t="s">
        <v>203</v>
      </c>
      <c r="C7" s="4">
        <f>COUNTIFS(Resp4[Vínculo],"tecnico",Resp4[4.118],B7)</f>
        <v>0</v>
      </c>
      <c r="D7" s="4">
        <f>COUNTIFS(Resp4[Vínculo],"docente",Resp4[4.118],B7)</f>
        <v>0</v>
      </c>
      <c r="E7" s="4">
        <f>COUNTIF(Resp4[4.118],B7)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204</v>
      </c>
      <c r="C8" s="4">
        <f>COUNTIFS(Resp4[Vínculo],"tecnico",Resp4[4.118],B8)</f>
        <v>0</v>
      </c>
      <c r="D8" s="4">
        <f>COUNTIFS(Resp4[Vínculo],"docente",Resp4[4.118],B8)</f>
        <v>0</v>
      </c>
      <c r="E8" s="4">
        <f>COUNTIF(Resp4[4.118],B8)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COUNTIFS(Resp4[Vínculo],"tecnico",Resp4[4.118],B9)</f>
        <v>0</v>
      </c>
      <c r="D9" s="4">
        <f>COUNTIFS(Resp4[Vínculo],"docente",Resp4[4.118],B9)</f>
        <v>0</v>
      </c>
      <c r="E9" s="4">
        <f>COUNTIF(Resp4[4.118],B9)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COUNTIFS(Resp4[Vínculo],"tecnico",Resp4[4.118],B10)</f>
        <v>0</v>
      </c>
      <c r="D10" s="4">
        <f>COUNTIFS(Resp4[Vínculo],"docente",Resp4[4.118],B10)</f>
        <v>0</v>
      </c>
      <c r="E10" s="4">
        <f>COUNTIF(Resp4[4.118],B10)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200</v>
      </c>
      <c r="C11" s="4">
        <f>COUNTIFS(Resp4[Vínculo],"tecnico",Resp4[4.118],B11)</f>
        <v>0</v>
      </c>
      <c r="D11" s="4">
        <f>COUNTIFS(Resp4[Vínculo],"docente",Resp4[4.118],B11)</f>
        <v>0</v>
      </c>
      <c r="E11" s="4">
        <f>COUNTIF(Resp4[4.118],B11)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COUNTIFS(Resp4[Vínculo],"tecnico",Resp4[4.118],B12)</f>
        <v>0</v>
      </c>
      <c r="D12" s="4">
        <f>COUNTIFS(Resp4[Vínculo],"docente",Resp4[4.118],B12)</f>
        <v>0</v>
      </c>
      <c r="E12" s="4">
        <f>COUNTIF(Resp4[4.118],B12)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0.5703125" style="2" customWidth="1"/>
    <col min="3" max="3" width="21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4119</v>
      </c>
    </row>
    <row r="2" spans="1:7" x14ac:dyDescent="0.25">
      <c r="A2" s="2" t="str">
        <f>TEXT(A1,"0.00")</f>
        <v>4.119</v>
      </c>
      <c r="B2" s="2" t="str">
        <f>VLOOKUP(A$2,Eixo4[],3,FALSE)</f>
        <v>Sobre os cursos de pós-graduação lato sensu, avalie os itens a seguir: [Clareza do processo seletivo para o ingresso de estudantes nos cursos]</v>
      </c>
    </row>
    <row r="3" spans="1:7" x14ac:dyDescent="0.25">
      <c r="A3" s="2" t="s">
        <v>494</v>
      </c>
      <c r="B3" s="2" t="str">
        <f>VLOOKUP(A$2,Eixo4[],4,FALSE)</f>
        <v>Eixo 4: Questão 119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13</v>
      </c>
      <c r="E6" s="4">
        <f>E13-SUM(E7:E12)</f>
        <v>24</v>
      </c>
      <c r="F6" s="3">
        <f>ROUND($E6/E$13*100,2)</f>
        <v>100</v>
      </c>
    </row>
    <row r="7" spans="1:7" x14ac:dyDescent="0.25">
      <c r="B7" s="2" t="s">
        <v>203</v>
      </c>
      <c r="C7" s="4">
        <f>COUNTIFS(Resp4[Vínculo],"tecnico",Resp4[4.119],B7)</f>
        <v>0</v>
      </c>
      <c r="D7" s="4">
        <f>COUNTIFS(Resp4[Vínculo],"docente",Resp4[4.119],B7)</f>
        <v>0</v>
      </c>
      <c r="E7" s="4">
        <f>COUNTIF(Resp4[4.119],B7)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204</v>
      </c>
      <c r="C8" s="4">
        <f>COUNTIFS(Resp4[Vínculo],"tecnico",Resp4[4.119],B8)</f>
        <v>0</v>
      </c>
      <c r="D8" s="4">
        <f>COUNTIFS(Resp4[Vínculo],"docente",Resp4[4.119],B8)</f>
        <v>0</v>
      </c>
      <c r="E8" s="4">
        <f>COUNTIF(Resp4[4.119],B8)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COUNTIFS(Resp4[Vínculo],"tecnico",Resp4[4.119],B9)</f>
        <v>0</v>
      </c>
      <c r="D9" s="4">
        <f>COUNTIFS(Resp4[Vínculo],"docente",Resp4[4.119],B9)</f>
        <v>0</v>
      </c>
      <c r="E9" s="4">
        <f>COUNTIF(Resp4[4.119],B9)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COUNTIFS(Resp4[Vínculo],"tecnico",Resp4[4.119],B10)</f>
        <v>0</v>
      </c>
      <c r="D10" s="4">
        <f>COUNTIFS(Resp4[Vínculo],"docente",Resp4[4.119],B10)</f>
        <v>0</v>
      </c>
      <c r="E10" s="4">
        <f>COUNTIF(Resp4[4.119],B10)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200</v>
      </c>
      <c r="C11" s="4">
        <f>COUNTIFS(Resp4[Vínculo],"tecnico",Resp4[4.119],B11)</f>
        <v>0</v>
      </c>
      <c r="D11" s="4">
        <f>COUNTIFS(Resp4[Vínculo],"docente",Resp4[4.119],B11)</f>
        <v>0</v>
      </c>
      <c r="E11" s="4">
        <f>COUNTIF(Resp4[4.119],B11)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COUNTIFS(Resp4[Vínculo],"tecnico",Resp4[4.119],B12)</f>
        <v>0</v>
      </c>
      <c r="D12" s="4">
        <f>COUNTIFS(Resp4[Vínculo],"docente",Resp4[4.119],B12)</f>
        <v>0</v>
      </c>
      <c r="E12" s="4">
        <f>COUNTIF(Resp4[4.119],B12)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1.710937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4120</v>
      </c>
    </row>
    <row r="2" spans="1:7" x14ac:dyDescent="0.25">
      <c r="A2" s="2" t="str">
        <f>TEXT(A1,"0.00")</f>
        <v>4.120</v>
      </c>
      <c r="B2" s="2" t="str">
        <f>VLOOKUP(A$2,Eixo4[],3,FALSE)</f>
        <v>Sobre os cursos de pós-graduação lato sensu, avalie os itens a seguir: [Clareza do processo seletivo de bolsas destinadas aos estudantes]</v>
      </c>
    </row>
    <row r="3" spans="1:7" x14ac:dyDescent="0.25">
      <c r="A3" s="2" t="s">
        <v>494</v>
      </c>
      <c r="B3" s="2" t="str">
        <f>VLOOKUP(A$2,Eixo4[],4,FALSE)</f>
        <v>Eixo 4: Questão 120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13</v>
      </c>
      <c r="E6" s="4">
        <f>E13-SUM(E7:E12)</f>
        <v>24</v>
      </c>
      <c r="F6" s="3">
        <f>ROUND($E6/E$13*100,2)</f>
        <v>100</v>
      </c>
    </row>
    <row r="7" spans="1:7" x14ac:dyDescent="0.25">
      <c r="B7" s="2" t="s">
        <v>203</v>
      </c>
      <c r="C7" s="4">
        <f>COUNTIFS(Resp4[Vínculo],"tecnico",Resp4[4.120],B7)</f>
        <v>0</v>
      </c>
      <c r="D7" s="4">
        <f>COUNTIFS(Resp4[Vínculo],"docente",Resp4[4.120],B7)</f>
        <v>0</v>
      </c>
      <c r="E7" s="4">
        <f>COUNTIF(Resp4[4.120],B7)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204</v>
      </c>
      <c r="C8" s="4">
        <f>COUNTIFS(Resp4[Vínculo],"tecnico",Resp4[4.120],B8)</f>
        <v>0</v>
      </c>
      <c r="D8" s="4">
        <f>COUNTIFS(Resp4[Vínculo],"docente",Resp4[4.120],B8)</f>
        <v>0</v>
      </c>
      <c r="E8" s="4">
        <f>COUNTIF(Resp4[4.120],B8)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COUNTIFS(Resp4[Vínculo],"tecnico",Resp4[4.120],B9)</f>
        <v>0</v>
      </c>
      <c r="D9" s="4">
        <f>COUNTIFS(Resp4[Vínculo],"docente",Resp4[4.120],B9)</f>
        <v>0</v>
      </c>
      <c r="E9" s="4">
        <f>COUNTIF(Resp4[4.120],B9)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COUNTIFS(Resp4[Vínculo],"tecnico",Resp4[4.120],B10)</f>
        <v>0</v>
      </c>
      <c r="D10" s="4">
        <f>COUNTIFS(Resp4[Vínculo],"docente",Resp4[4.120],B10)</f>
        <v>0</v>
      </c>
      <c r="E10" s="4">
        <f>COUNTIF(Resp4[4.120],B10)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200</v>
      </c>
      <c r="C11" s="4">
        <f>COUNTIFS(Resp4[Vínculo],"tecnico",Resp4[4.120],B11)</f>
        <v>0</v>
      </c>
      <c r="D11" s="4">
        <f>COUNTIFS(Resp4[Vínculo],"docente",Resp4[4.120],B11)</f>
        <v>0</v>
      </c>
      <c r="E11" s="4">
        <f>COUNTIF(Resp4[4.120],B11)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COUNTIFS(Resp4[Vínculo],"tecnico",Resp4[4.120],B12)</f>
        <v>0</v>
      </c>
      <c r="D12" s="4">
        <f>COUNTIFS(Resp4[Vínculo],"docente",Resp4[4.120],B12)</f>
        <v>0</v>
      </c>
      <c r="E12" s="4">
        <f>COUNTIF(Resp4[4.120],B12)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2.7109375" style="2" customWidth="1"/>
    <col min="3" max="3" width="20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4121</v>
      </c>
    </row>
    <row r="2" spans="1:7" x14ac:dyDescent="0.25">
      <c r="A2" s="2" t="str">
        <f>TEXT(A1,"0.00")</f>
        <v>4.121</v>
      </c>
      <c r="B2" s="2" t="str">
        <f>VLOOKUP(A$2,Eixo4[],3,FALSE)</f>
        <v>Sobre os cursos de pós-graduação lato sensu, avalie os itens a seguir: [Disponibilidade de bolsas aos estudantes]</v>
      </c>
    </row>
    <row r="3" spans="1:7" x14ac:dyDescent="0.25">
      <c r="A3" s="2" t="s">
        <v>494</v>
      </c>
      <c r="B3" s="2" t="str">
        <f>VLOOKUP(A$2,Eixo4[],4,FALSE)</f>
        <v>Eixo 4: Questão 121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13</v>
      </c>
      <c r="E6" s="4">
        <f>E13-SUM(E7:E12)</f>
        <v>24</v>
      </c>
      <c r="F6" s="3">
        <f>ROUND($E6/E$13*100,2)</f>
        <v>100</v>
      </c>
    </row>
    <row r="7" spans="1:7" x14ac:dyDescent="0.25">
      <c r="B7" s="2" t="s">
        <v>203</v>
      </c>
      <c r="C7" s="4">
        <f>COUNTIFS(Resp4[Vínculo],"tecnico",Resp4[4.121],B7)</f>
        <v>0</v>
      </c>
      <c r="D7" s="4">
        <f>COUNTIFS(Resp4[Vínculo],"docente",Resp4[4.121],B7)</f>
        <v>0</v>
      </c>
      <c r="E7" s="4">
        <f>COUNTIF(Resp4[4.121],B7)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204</v>
      </c>
      <c r="C8" s="4">
        <f>COUNTIFS(Resp4[Vínculo],"tecnico",Resp4[4.121],B8)</f>
        <v>0</v>
      </c>
      <c r="D8" s="4">
        <f>COUNTIFS(Resp4[Vínculo],"docente",Resp4[4.121],B8)</f>
        <v>0</v>
      </c>
      <c r="E8" s="4">
        <f>COUNTIF(Resp4[4.121],B8)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COUNTIFS(Resp4[Vínculo],"tecnico",Resp4[4.121],B9)</f>
        <v>0</v>
      </c>
      <c r="D9" s="4">
        <f>COUNTIFS(Resp4[Vínculo],"docente",Resp4[4.121],B9)</f>
        <v>0</v>
      </c>
      <c r="E9" s="4">
        <f>COUNTIF(Resp4[4.121],B9)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COUNTIFS(Resp4[Vínculo],"tecnico",Resp4[4.121],B10)</f>
        <v>0</v>
      </c>
      <c r="D10" s="4">
        <f>COUNTIFS(Resp4[Vínculo],"docente",Resp4[4.121],B10)</f>
        <v>0</v>
      </c>
      <c r="E10" s="4">
        <f>COUNTIF(Resp4[4.121],B10)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200</v>
      </c>
      <c r="C11" s="4">
        <f>COUNTIFS(Resp4[Vínculo],"tecnico",Resp4[4.121],B11)</f>
        <v>0</v>
      </c>
      <c r="D11" s="4">
        <f>COUNTIFS(Resp4[Vínculo],"docente",Resp4[4.121],B11)</f>
        <v>0</v>
      </c>
      <c r="E11" s="4">
        <f>COUNTIF(Resp4[4.121],B11)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COUNTIFS(Resp4[Vínculo],"tecnico",Resp4[4.121],B12)</f>
        <v>0</v>
      </c>
      <c r="D12" s="4">
        <f>COUNTIFS(Resp4[Vínculo],"docente",Resp4[4.121],B12)</f>
        <v>0</v>
      </c>
      <c r="E12" s="4">
        <f>COUNTIF(Resp4[4.121],B12)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0.570312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4122</v>
      </c>
    </row>
    <row r="2" spans="1:7" x14ac:dyDescent="0.25">
      <c r="A2" s="2" t="str">
        <f>TEXT(A1,"0.00")</f>
        <v>4.122</v>
      </c>
      <c r="B2" s="2" t="str">
        <f>VLOOKUP(A$2,Eixo4[],3,FALSE)</f>
        <v>Sobre os cursos de pós-graduação lato sensu, avalie os itens a seguir: [Compatibilidade entre a oferta de disciplinas e os propósitos do curso]</v>
      </c>
    </row>
    <row r="3" spans="1:7" x14ac:dyDescent="0.25">
      <c r="A3" s="2" t="s">
        <v>494</v>
      </c>
      <c r="B3" s="2" t="str">
        <f>VLOOKUP(A$2,Eixo4[],4,FALSE)</f>
        <v>Eixo 4: Questão 122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13</v>
      </c>
      <c r="E6" s="4">
        <f>E13-SUM(E7:E12)</f>
        <v>24</v>
      </c>
      <c r="F6" s="3">
        <f>ROUND($E6/E$13*100,2)</f>
        <v>100</v>
      </c>
    </row>
    <row r="7" spans="1:7" x14ac:dyDescent="0.25">
      <c r="B7" s="2" t="s">
        <v>203</v>
      </c>
      <c r="C7" s="4">
        <f>COUNTIFS(Resp4[Vínculo],"tecnico",Resp4[4.122],B7)</f>
        <v>0</v>
      </c>
      <c r="D7" s="4">
        <f>COUNTIFS(Resp4[Vínculo],"docente",Resp4[4.122],B7)</f>
        <v>0</v>
      </c>
      <c r="E7" s="4">
        <f>COUNTIF(Resp4[4.122],B7)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204</v>
      </c>
      <c r="C8" s="4">
        <f>COUNTIFS(Resp4[Vínculo],"tecnico",Resp4[4.122],B8)</f>
        <v>0</v>
      </c>
      <c r="D8" s="4">
        <f>COUNTIFS(Resp4[Vínculo],"docente",Resp4[4.122],B8)</f>
        <v>0</v>
      </c>
      <c r="E8" s="4">
        <f>COUNTIF(Resp4[4.122],B8)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COUNTIFS(Resp4[Vínculo],"tecnico",Resp4[4.122],B9)</f>
        <v>0</v>
      </c>
      <c r="D9" s="4">
        <f>COUNTIFS(Resp4[Vínculo],"docente",Resp4[4.122],B9)</f>
        <v>0</v>
      </c>
      <c r="E9" s="4">
        <f>COUNTIF(Resp4[4.122],B9)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COUNTIFS(Resp4[Vínculo],"tecnico",Resp4[4.122],B10)</f>
        <v>0</v>
      </c>
      <c r="D10" s="4">
        <f>COUNTIFS(Resp4[Vínculo],"docente",Resp4[4.122],B10)</f>
        <v>0</v>
      </c>
      <c r="E10" s="4">
        <f>COUNTIF(Resp4[4.122],B10)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200</v>
      </c>
      <c r="C11" s="4">
        <f>COUNTIFS(Resp4[Vínculo],"tecnico",Resp4[4.122],B11)</f>
        <v>0</v>
      </c>
      <c r="D11" s="4">
        <f>COUNTIFS(Resp4[Vínculo],"docente",Resp4[4.122],B11)</f>
        <v>0</v>
      </c>
      <c r="E11" s="4">
        <f>COUNTIF(Resp4[4.122],B11)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COUNTIFS(Resp4[Vínculo],"tecnico",Resp4[4.122],B12)</f>
        <v>0</v>
      </c>
      <c r="D12" s="4">
        <f>COUNTIFS(Resp4[Vínculo],"docente",Resp4[4.122],B12)</f>
        <v>0</v>
      </c>
      <c r="E12" s="4">
        <f>COUNTIF(Resp4[4.122],B12)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" style="2" customWidth="1"/>
    <col min="3" max="3" width="17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4123</v>
      </c>
    </row>
    <row r="2" spans="1:7" x14ac:dyDescent="0.25">
      <c r="A2" s="2" t="str">
        <f>TEXT(A1,"0.00")</f>
        <v>4.123</v>
      </c>
      <c r="B2" s="2" t="str">
        <f>VLOOKUP(A$2,Eixo4[],3,FALSE)</f>
        <v>Sobre os cursos de pós-graduação lato sensu, avalie os itens a seguir: [Nível de satisfação dos estudantes quanto às disciplinas ofertadas]</v>
      </c>
    </row>
    <row r="3" spans="1:7" x14ac:dyDescent="0.25">
      <c r="A3" s="2" t="s">
        <v>494</v>
      </c>
      <c r="B3" s="2" t="str">
        <f>VLOOKUP(A$2,Eixo4[],4,FALSE)</f>
        <v>Eixo 4: Questão 123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13</v>
      </c>
      <c r="E6" s="4">
        <f>E13-SUM(E7:E12)</f>
        <v>24</v>
      </c>
      <c r="F6" s="3">
        <f>ROUND($E6/E$13*100,2)</f>
        <v>100</v>
      </c>
    </row>
    <row r="7" spans="1:7" x14ac:dyDescent="0.25">
      <c r="B7" s="2" t="s">
        <v>203</v>
      </c>
      <c r="C7" s="4">
        <f>COUNTIFS(Resp4[Vínculo],"tecnico",Resp4[4.123],B7)</f>
        <v>0</v>
      </c>
      <c r="D7" s="4">
        <f>COUNTIFS(Resp4[Vínculo],"docente",Resp4[4.123],B7)</f>
        <v>0</v>
      </c>
      <c r="E7" s="4">
        <f>COUNTIF(Resp4[4.123],B7)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204</v>
      </c>
      <c r="C8" s="4">
        <f>COUNTIFS(Resp4[Vínculo],"tecnico",Resp4[4.123],B8)</f>
        <v>0</v>
      </c>
      <c r="D8" s="4">
        <f>COUNTIFS(Resp4[Vínculo],"docente",Resp4[4.123],B8)</f>
        <v>0</v>
      </c>
      <c r="E8" s="4">
        <f>COUNTIF(Resp4[4.123],B8)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COUNTIFS(Resp4[Vínculo],"tecnico",Resp4[4.123],B9)</f>
        <v>0</v>
      </c>
      <c r="D9" s="4">
        <f>COUNTIFS(Resp4[Vínculo],"docente",Resp4[4.123],B9)</f>
        <v>0</v>
      </c>
      <c r="E9" s="4">
        <f>COUNTIF(Resp4[4.123],B9)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COUNTIFS(Resp4[Vínculo],"tecnico",Resp4[4.123],B10)</f>
        <v>0</v>
      </c>
      <c r="D10" s="4">
        <f>COUNTIFS(Resp4[Vínculo],"docente",Resp4[4.123],B10)</f>
        <v>0</v>
      </c>
      <c r="E10" s="4">
        <f>COUNTIF(Resp4[4.123],B10)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200</v>
      </c>
      <c r="C11" s="4">
        <f>COUNTIFS(Resp4[Vínculo],"tecnico",Resp4[4.123],B11)</f>
        <v>0</v>
      </c>
      <c r="D11" s="4">
        <f>COUNTIFS(Resp4[Vínculo],"docente",Resp4[4.123],B11)</f>
        <v>0</v>
      </c>
      <c r="E11" s="4">
        <f>COUNTIF(Resp4[4.123],B11)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COUNTIFS(Resp4[Vínculo],"tecnico",Resp4[4.123],B12)</f>
        <v>0</v>
      </c>
      <c r="D12" s="4">
        <f>COUNTIFS(Resp4[Vínculo],"docente",Resp4[4.123],B12)</f>
        <v>0</v>
      </c>
      <c r="E12" s="4">
        <f>COUNTIF(Resp4[4.123],B12)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62</v>
      </c>
    </row>
    <row r="2" spans="1:7" x14ac:dyDescent="0.25">
      <c r="A2" s="2" t="str">
        <f>TEXT(A1,"0.00")</f>
        <v>4.06</v>
      </c>
      <c r="B2" s="2" t="str">
        <f>VLOOKUP(A$2,Eixo4[],3,FALSE)</f>
        <v>Com relação ao ensino da graduação, avalie: [A oferta de disciplinas de pós-graduação a estudantes egressos da graduação]</v>
      </c>
    </row>
    <row r="3" spans="1:7" x14ac:dyDescent="0.25">
      <c r="A3" s="2" t="s">
        <v>494</v>
      </c>
      <c r="B3" s="2" t="str">
        <f>VLOOKUP(A$2,Eixo4[],4,FALSE)</f>
        <v>Eixo 4: Questão 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0</v>
      </c>
      <c r="E6" s="4">
        <f>E13-SUM(E7:E12)</f>
        <v>9</v>
      </c>
      <c r="F6" s="4">
        <f>ROUND($E6/E$13*100,2)</f>
        <v>37.5</v>
      </c>
    </row>
    <row r="7" spans="1:7" x14ac:dyDescent="0.25">
      <c r="B7" s="2" t="s">
        <v>203</v>
      </c>
      <c r="C7" s="4">
        <f>COUNTIFS(Resp4[Vínculo],"tecnico",Resp4[4.06],B7)</f>
        <v>1</v>
      </c>
      <c r="D7" s="4">
        <f>COUNTIFS(Resp4[Vínculo],"docente",Resp4[4.06],B7)</f>
        <v>1</v>
      </c>
      <c r="E7" s="4">
        <f>COUNTIF(Resp4[4.06],B7)</f>
        <v>2</v>
      </c>
      <c r="F7" s="4">
        <f t="shared" ref="F7:F13" si="0">ROUND($E7/E$13*100,2)</f>
        <v>8.33</v>
      </c>
      <c r="G7" s="3">
        <f t="shared" ref="G7:G12" si="1">ROUND($E7/SUM($E$7:$E$12)*100,3)</f>
        <v>13.333</v>
      </c>
    </row>
    <row r="8" spans="1:7" x14ac:dyDescent="0.25">
      <c r="B8" s="2" t="s">
        <v>204</v>
      </c>
      <c r="C8" s="4">
        <f>COUNTIFS(Resp4[Vínculo],"tecnico",Resp4[4.06],B8)</f>
        <v>0</v>
      </c>
      <c r="D8" s="4">
        <f>COUNTIFS(Resp4[Vínculo],"docente",Resp4[4.06],B8)</f>
        <v>1</v>
      </c>
      <c r="E8" s="4">
        <f>COUNTIF(Resp4[4.06],B8)</f>
        <v>1</v>
      </c>
      <c r="F8" s="4">
        <f t="shared" si="0"/>
        <v>4.17</v>
      </c>
      <c r="G8" s="3">
        <f t="shared" si="1"/>
        <v>6.6669999999999998</v>
      </c>
    </row>
    <row r="9" spans="1:7" x14ac:dyDescent="0.25">
      <c r="B9" s="2" t="s">
        <v>202</v>
      </c>
      <c r="C9" s="4">
        <f>COUNTIFS(Resp4[Vínculo],"tecnico",Resp4[4.06],B9)</f>
        <v>0</v>
      </c>
      <c r="D9" s="4">
        <f>COUNTIFS(Resp4[Vínculo],"docente",Resp4[4.06],B9)</f>
        <v>2</v>
      </c>
      <c r="E9" s="4">
        <f>COUNTIF(Resp4[4.06],B9)</f>
        <v>2</v>
      </c>
      <c r="F9" s="4">
        <f t="shared" si="0"/>
        <v>8.33</v>
      </c>
      <c r="G9" s="3">
        <f t="shared" si="1"/>
        <v>13.333</v>
      </c>
    </row>
    <row r="10" spans="1:7" x14ac:dyDescent="0.25">
      <c r="B10" s="2" t="s">
        <v>30</v>
      </c>
      <c r="C10" s="4">
        <f>COUNTIFS(Resp4[Vínculo],"tecnico",Resp4[4.06],B10)</f>
        <v>1</v>
      </c>
      <c r="D10" s="4">
        <f>COUNTIFS(Resp4[Vínculo],"docente",Resp4[4.06],B10)</f>
        <v>0</v>
      </c>
      <c r="E10" s="4">
        <f>COUNTIF(Resp4[4.06],B10)</f>
        <v>1</v>
      </c>
      <c r="F10" s="4">
        <f t="shared" si="0"/>
        <v>4.17</v>
      </c>
      <c r="G10" s="3">
        <f t="shared" si="1"/>
        <v>6.6669999999999998</v>
      </c>
    </row>
    <row r="11" spans="1:7" x14ac:dyDescent="0.25">
      <c r="B11" s="2" t="s">
        <v>200</v>
      </c>
      <c r="C11" s="4">
        <f>COUNTIFS(Resp4[Vínculo],"tecnico",Resp4[4.06],B11)</f>
        <v>0</v>
      </c>
      <c r="D11" s="4">
        <f>COUNTIFS(Resp4[Vínculo],"docente",Resp4[4.06],B11)</f>
        <v>7</v>
      </c>
      <c r="E11" s="4">
        <f>COUNTIF(Resp4[4.06],B11)</f>
        <v>7</v>
      </c>
      <c r="F11" s="4">
        <f t="shared" si="0"/>
        <v>29.17</v>
      </c>
      <c r="G11" s="3">
        <f t="shared" si="1"/>
        <v>46.667000000000002</v>
      </c>
    </row>
    <row r="12" spans="1:7" x14ac:dyDescent="0.25">
      <c r="B12" s="7" t="s">
        <v>197</v>
      </c>
      <c r="C12" s="4">
        <f>COUNTIFS(Resp4[Vínculo],"tecnico",Resp4[4.06],B12)</f>
        <v>0</v>
      </c>
      <c r="D12" s="4">
        <f>COUNTIFS(Resp4[Vínculo],"docente",Resp4[4.06],B12)</f>
        <v>2</v>
      </c>
      <c r="E12" s="4">
        <f>COUNTIF(Resp4[4.06],B12)</f>
        <v>2</v>
      </c>
      <c r="F12" s="22">
        <f t="shared" si="0"/>
        <v>8.33</v>
      </c>
      <c r="G12" s="3">
        <f t="shared" si="1"/>
        <v>13.333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1</v>
      </c>
      <c r="E19" s="15">
        <f t="shared" ref="E19:E21" si="2">ROUND(D19/SUM(D$18:D$21)*100,3)</f>
        <v>50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23.077000000000002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7.6920000000000002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9</v>
      </c>
      <c r="E28" s="19">
        <f>ROUND(D28/SUM(D$25:D$28)*100,3)</f>
        <v>69.230999999999995</v>
      </c>
    </row>
  </sheetData>
  <pageMargins left="0.7" right="0.7" top="0.75" bottom="0.75" header="0.3" footer="0.3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5" style="2" customWidth="1"/>
    <col min="3" max="3" width="21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4124</v>
      </c>
    </row>
    <row r="2" spans="1:7" x14ac:dyDescent="0.25">
      <c r="A2" s="2" t="str">
        <f>TEXT(A1,"0.00")</f>
        <v>4.124</v>
      </c>
      <c r="B2" s="2" t="str">
        <f>VLOOKUP(A$2,Eixo4[],3,FALSE)</f>
        <v>Sobre os cursos de pós-graduação lato sensu, avalie os itens a seguir: [Adequação da carga horária das disciplinas para as finalidades aos quais o curso se propõe]</v>
      </c>
    </row>
    <row r="3" spans="1:7" x14ac:dyDescent="0.25">
      <c r="A3" s="2" t="s">
        <v>494</v>
      </c>
      <c r="B3" s="2" t="str">
        <f>VLOOKUP(A$2,Eixo4[],4,FALSE)</f>
        <v>Eixo 4: Questão 124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13</v>
      </c>
      <c r="E6" s="4">
        <f>E13-SUM(E7:E12)</f>
        <v>24</v>
      </c>
      <c r="F6" s="3">
        <f>ROUND($E6/E$13*100,2)</f>
        <v>100</v>
      </c>
    </row>
    <row r="7" spans="1:7" x14ac:dyDescent="0.25">
      <c r="B7" s="2" t="s">
        <v>203</v>
      </c>
      <c r="C7" s="4">
        <f>COUNTIFS(Resp4[Vínculo],"tecnico",Resp4[4.124],B7)</f>
        <v>0</v>
      </c>
      <c r="D7" s="4">
        <f>COUNTIFS(Resp4[Vínculo],"docente",Resp4[4.124],B7)</f>
        <v>0</v>
      </c>
      <c r="E7" s="4">
        <f>COUNTIF(Resp4[4.124],B7)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204</v>
      </c>
      <c r="C8" s="4">
        <f>COUNTIFS(Resp4[Vínculo],"tecnico",Resp4[4.124],B8)</f>
        <v>0</v>
      </c>
      <c r="D8" s="4">
        <f>COUNTIFS(Resp4[Vínculo],"docente",Resp4[4.124],B8)</f>
        <v>0</v>
      </c>
      <c r="E8" s="4">
        <f>COUNTIF(Resp4[4.124],B8)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COUNTIFS(Resp4[Vínculo],"tecnico",Resp4[4.124],B9)</f>
        <v>0</v>
      </c>
      <c r="D9" s="4">
        <f>COUNTIFS(Resp4[Vínculo],"docente",Resp4[4.124],B9)</f>
        <v>0</v>
      </c>
      <c r="E9" s="4">
        <f>COUNTIF(Resp4[4.124],B9)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COUNTIFS(Resp4[Vínculo],"tecnico",Resp4[4.124],B10)</f>
        <v>0</v>
      </c>
      <c r="D10" s="4">
        <f>COUNTIFS(Resp4[Vínculo],"docente",Resp4[4.124],B10)</f>
        <v>0</v>
      </c>
      <c r="E10" s="4">
        <f>COUNTIF(Resp4[4.124],B10)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200</v>
      </c>
      <c r="C11" s="4">
        <f>COUNTIFS(Resp4[Vínculo],"tecnico",Resp4[4.124],B11)</f>
        <v>0</v>
      </c>
      <c r="D11" s="4">
        <f>COUNTIFS(Resp4[Vínculo],"docente",Resp4[4.124],B11)</f>
        <v>0</v>
      </c>
      <c r="E11" s="4">
        <f>COUNTIF(Resp4[4.124],B11)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COUNTIFS(Resp4[Vínculo],"tecnico",Resp4[4.124],B12)</f>
        <v>0</v>
      </c>
      <c r="D12" s="4">
        <f>COUNTIFS(Resp4[Vínculo],"docente",Resp4[4.124],B12)</f>
        <v>0</v>
      </c>
      <c r="E12" s="4">
        <f>COUNTIF(Resp4[4.124],B12)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3" style="2" customWidth="1"/>
    <col min="3" max="3" width="18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4125</v>
      </c>
    </row>
    <row r="2" spans="1:7" x14ac:dyDescent="0.25">
      <c r="A2" s="2" t="str">
        <f>TEXT(A1,"0.00")</f>
        <v>4.125</v>
      </c>
      <c r="B2" s="2" t="str">
        <f>VLOOKUP(A$2,Eixo4[],3,FALSE)</f>
        <v>Sobre os cursos de pós-graduação lato sensu, avalie os itens a seguir: [Nível de qualificação profissional e acadêmica do corpo docente do curso]</v>
      </c>
    </row>
    <row r="3" spans="1:7" x14ac:dyDescent="0.25">
      <c r="A3" s="2" t="s">
        <v>494</v>
      </c>
      <c r="B3" s="2" t="str">
        <f>VLOOKUP(A$2,Eixo4[],4,FALSE)</f>
        <v>Eixo 4: Questão 125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13</v>
      </c>
      <c r="E6" s="4">
        <f>E13-SUM(E7:E12)</f>
        <v>24</v>
      </c>
      <c r="F6" s="3">
        <f>ROUND($E6/E$13*100,2)</f>
        <v>100</v>
      </c>
    </row>
    <row r="7" spans="1:7" x14ac:dyDescent="0.25">
      <c r="B7" s="2" t="s">
        <v>203</v>
      </c>
      <c r="C7" s="4">
        <f>COUNTIFS(Resp4[Vínculo],"tecnico",Resp4[4.125],B7)</f>
        <v>0</v>
      </c>
      <c r="D7" s="4">
        <f>COUNTIFS(Resp4[Vínculo],"docente",Resp4[4.125],B7)</f>
        <v>0</v>
      </c>
      <c r="E7" s="4">
        <f>COUNTIF(Resp4[4.125],B7)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204</v>
      </c>
      <c r="C8" s="4">
        <f>COUNTIFS(Resp4[Vínculo],"tecnico",Resp4[4.125],B8)</f>
        <v>0</v>
      </c>
      <c r="D8" s="4">
        <f>COUNTIFS(Resp4[Vínculo],"docente",Resp4[4.125],B8)</f>
        <v>0</v>
      </c>
      <c r="E8" s="4">
        <f>COUNTIF(Resp4[4.125],B8)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COUNTIFS(Resp4[Vínculo],"tecnico",Resp4[4.125],B9)</f>
        <v>0</v>
      </c>
      <c r="D9" s="4">
        <f>COUNTIFS(Resp4[Vínculo],"docente",Resp4[4.125],B9)</f>
        <v>0</v>
      </c>
      <c r="E9" s="4">
        <f>COUNTIF(Resp4[4.125],B9)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COUNTIFS(Resp4[Vínculo],"tecnico",Resp4[4.125],B10)</f>
        <v>0</v>
      </c>
      <c r="D10" s="4">
        <f>COUNTIFS(Resp4[Vínculo],"docente",Resp4[4.125],B10)</f>
        <v>0</v>
      </c>
      <c r="E10" s="4">
        <f>COUNTIF(Resp4[4.125],B10)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200</v>
      </c>
      <c r="C11" s="4">
        <f>COUNTIFS(Resp4[Vínculo],"tecnico",Resp4[4.125],B11)</f>
        <v>0</v>
      </c>
      <c r="D11" s="4">
        <f>COUNTIFS(Resp4[Vínculo],"docente",Resp4[4.125],B11)</f>
        <v>0</v>
      </c>
      <c r="E11" s="4">
        <f>COUNTIF(Resp4[4.125],B11)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COUNTIFS(Resp4[Vínculo],"tecnico",Resp4[4.125],B12)</f>
        <v>0</v>
      </c>
      <c r="D12" s="4">
        <f>COUNTIFS(Resp4[Vínculo],"docente",Resp4[4.125],B12)</f>
        <v>0</v>
      </c>
      <c r="E12" s="4">
        <f>COUNTIF(Resp4[4.125],B12)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18.5703125" style="2" customWidth="1"/>
    <col min="3" max="3" width="23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4126</v>
      </c>
    </row>
    <row r="2" spans="1:7" x14ac:dyDescent="0.25">
      <c r="A2" s="2" t="str">
        <f>TEXT(A1,"0.00")</f>
        <v>4.126</v>
      </c>
      <c r="B2" s="2" t="str">
        <f>VLOOKUP(A$2,Eixo4[],3,FALSE)</f>
        <v>Sobre os cursos de pós-graduação lato sensu, avalie os itens a seguir: [Compatibilidade entre a quantidade de orientadores e as demandas monográficas do curso]</v>
      </c>
    </row>
    <row r="3" spans="1:7" x14ac:dyDescent="0.25">
      <c r="A3" s="2" t="s">
        <v>494</v>
      </c>
      <c r="B3" s="2" t="str">
        <f>VLOOKUP(A$2,Eixo4[],4,FALSE)</f>
        <v>Eixo 4: Questão 126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13</v>
      </c>
      <c r="E6" s="4">
        <f>E13-SUM(E7:E12)</f>
        <v>24</v>
      </c>
      <c r="F6" s="3">
        <f>ROUND($E6/E$13*100,2)</f>
        <v>100</v>
      </c>
    </row>
    <row r="7" spans="1:7" x14ac:dyDescent="0.25">
      <c r="B7" s="2" t="s">
        <v>203</v>
      </c>
      <c r="C7" s="4">
        <f>COUNTIFS(Resp4[Vínculo],"tecnico",Resp4[4.126],B7)</f>
        <v>0</v>
      </c>
      <c r="D7" s="4">
        <f>COUNTIFS(Resp4[Vínculo],"docente",Resp4[4.126],B7)</f>
        <v>0</v>
      </c>
      <c r="E7" s="4">
        <f>COUNTIF(Resp4[4.126],B7)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204</v>
      </c>
      <c r="C8" s="4">
        <f>COUNTIFS(Resp4[Vínculo],"tecnico",Resp4[4.126],B8)</f>
        <v>0</v>
      </c>
      <c r="D8" s="4">
        <f>COUNTIFS(Resp4[Vínculo],"docente",Resp4[4.126],B8)</f>
        <v>0</v>
      </c>
      <c r="E8" s="4">
        <f>COUNTIF(Resp4[4.126],B8)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COUNTIFS(Resp4[Vínculo],"tecnico",Resp4[4.126],B9)</f>
        <v>0</v>
      </c>
      <c r="D9" s="4">
        <f>COUNTIFS(Resp4[Vínculo],"docente",Resp4[4.126],B9)</f>
        <v>0</v>
      </c>
      <c r="E9" s="4">
        <f>COUNTIF(Resp4[4.126],B9)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COUNTIFS(Resp4[Vínculo],"tecnico",Resp4[4.126],B10)</f>
        <v>0</v>
      </c>
      <c r="D10" s="4">
        <f>COUNTIFS(Resp4[Vínculo],"docente",Resp4[4.126],B10)</f>
        <v>0</v>
      </c>
      <c r="E10" s="4">
        <f>COUNTIF(Resp4[4.126],B10)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200</v>
      </c>
      <c r="C11" s="4">
        <f>COUNTIFS(Resp4[Vínculo],"tecnico",Resp4[4.126],B11)</f>
        <v>0</v>
      </c>
      <c r="D11" s="4">
        <f>COUNTIFS(Resp4[Vínculo],"docente",Resp4[4.126],B11)</f>
        <v>0</v>
      </c>
      <c r="E11" s="4">
        <f>COUNTIF(Resp4[4.126],B11)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COUNTIFS(Resp4[Vínculo],"tecnico",Resp4[4.126],B12)</f>
        <v>0</v>
      </c>
      <c r="D12" s="4">
        <f>COUNTIFS(Resp4[Vínculo],"docente",Resp4[4.126],B12)</f>
        <v>0</v>
      </c>
      <c r="E12" s="4">
        <f>COUNTIF(Resp4[4.126],B12)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1.5703125" style="2" customWidth="1"/>
    <col min="3" max="3" width="18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4127</v>
      </c>
    </row>
    <row r="2" spans="1:7" x14ac:dyDescent="0.25">
      <c r="A2" s="2" t="str">
        <f>TEXT(A1,"0.00")</f>
        <v>4.127</v>
      </c>
      <c r="B2" s="2" t="str">
        <f>VLOOKUP(A$2,Eixo4[],3,FALSE)</f>
        <v>Sobre os cursos de pós-graduação lato sensu, avalie os itens a seguir: [Metodologias de medição de avaliação de desempenho discente nas disciplinas ofertadas]</v>
      </c>
    </row>
    <row r="3" spans="1:7" x14ac:dyDescent="0.25">
      <c r="A3" s="2" t="s">
        <v>494</v>
      </c>
      <c r="B3" s="2" t="str">
        <f>VLOOKUP(A$2,Eixo4[],4,FALSE)</f>
        <v>Eixo 4: Questão 127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13</v>
      </c>
      <c r="E6" s="4">
        <f>E13-SUM(E7:E12)</f>
        <v>24</v>
      </c>
      <c r="F6" s="3">
        <f>ROUND($E6/E$13*100,2)</f>
        <v>100</v>
      </c>
    </row>
    <row r="7" spans="1:7" x14ac:dyDescent="0.25">
      <c r="B7" s="2" t="s">
        <v>203</v>
      </c>
      <c r="C7" s="4">
        <f>COUNTIFS(Resp4[Vínculo],"tecnico",Resp4[4.127],B7)</f>
        <v>0</v>
      </c>
      <c r="D7" s="4">
        <f>COUNTIFS(Resp4[Vínculo],"docente",Resp4[4.127],B7)</f>
        <v>0</v>
      </c>
      <c r="E7" s="4">
        <f>COUNTIF(Resp4[4.127],B7)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204</v>
      </c>
      <c r="C8" s="4">
        <f>COUNTIFS(Resp4[Vínculo],"tecnico",Resp4[4.127],B8)</f>
        <v>0</v>
      </c>
      <c r="D8" s="4">
        <f>COUNTIFS(Resp4[Vínculo],"docente",Resp4[4.127],B8)</f>
        <v>0</v>
      </c>
      <c r="E8" s="4">
        <f>COUNTIF(Resp4[4.127],B8)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COUNTIFS(Resp4[Vínculo],"tecnico",Resp4[4.127],B9)</f>
        <v>0</v>
      </c>
      <c r="D9" s="4">
        <f>COUNTIFS(Resp4[Vínculo],"docente",Resp4[4.127],B9)</f>
        <v>0</v>
      </c>
      <c r="E9" s="4">
        <f>COUNTIF(Resp4[4.127],B9)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COUNTIFS(Resp4[Vínculo],"tecnico",Resp4[4.127],B10)</f>
        <v>0</v>
      </c>
      <c r="D10" s="4">
        <f>COUNTIFS(Resp4[Vínculo],"docente",Resp4[4.127],B10)</f>
        <v>0</v>
      </c>
      <c r="E10" s="4">
        <f>COUNTIF(Resp4[4.127],B10)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200</v>
      </c>
      <c r="C11" s="4">
        <f>COUNTIFS(Resp4[Vínculo],"tecnico",Resp4[4.127],B11)</f>
        <v>0</v>
      </c>
      <c r="D11" s="4">
        <f>COUNTIFS(Resp4[Vínculo],"docente",Resp4[4.127],B11)</f>
        <v>0</v>
      </c>
      <c r="E11" s="4">
        <f>COUNTIF(Resp4[4.127],B11)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COUNTIFS(Resp4[Vínculo],"tecnico",Resp4[4.127],B12)</f>
        <v>0</v>
      </c>
      <c r="D12" s="4">
        <f>COUNTIFS(Resp4[Vínculo],"docente",Resp4[4.127],B12)</f>
        <v>0</v>
      </c>
      <c r="E12" s="4">
        <f>COUNTIF(Resp4[4.127],B12)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8" sqref="F8"/>
    </sheetView>
  </sheetViews>
  <sheetFormatPr defaultRowHeight="15" x14ac:dyDescent="0.25"/>
  <cols>
    <col min="1" max="1" width="5.7109375" style="2" customWidth="1"/>
    <col min="2" max="2" width="16.7109375" style="2" customWidth="1"/>
    <col min="3" max="3" width="22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4128</v>
      </c>
    </row>
    <row r="2" spans="1:7" x14ac:dyDescent="0.25">
      <c r="A2" s="2" t="str">
        <f>TEXT(A1,"0.00")</f>
        <v>4.128</v>
      </c>
      <c r="B2" s="2" t="str">
        <f>VLOOKUP(A$2,Eixo4[],3,FALSE)</f>
        <v>Sobre os cursos de pós-graduação lato sensu, avalie os itens a seguir: [Qualidade da produção intelectual dos estudantes em relação aos objetivos de aprofundamento de conhecimento proposta para o curso]</v>
      </c>
    </row>
    <row r="3" spans="1:7" x14ac:dyDescent="0.25">
      <c r="A3" s="2" t="s">
        <v>494</v>
      </c>
      <c r="B3" s="2" t="str">
        <f>VLOOKUP(A$2,Eixo4[],4,FALSE)</f>
        <v>Eixo 4: Questão 128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13</v>
      </c>
      <c r="E6" s="4">
        <f>E13-SUM(E7:E12)</f>
        <v>24</v>
      </c>
      <c r="F6" s="3">
        <f>ROUND($E6/E$13*100,2)</f>
        <v>100</v>
      </c>
    </row>
    <row r="7" spans="1:7" x14ac:dyDescent="0.25">
      <c r="B7" s="2" t="s">
        <v>203</v>
      </c>
      <c r="C7" s="4">
        <f>COUNTIFS(Resp4[Vínculo],"tecnico",Resp4[4.128],B7)</f>
        <v>0</v>
      </c>
      <c r="D7" s="4">
        <f>COUNTIFS(Resp4[Vínculo],"docente",Resp4[4.128],B7)</f>
        <v>0</v>
      </c>
      <c r="E7" s="4">
        <f>COUNTIF(Resp4[4.128],B7)</f>
        <v>0</v>
      </c>
      <c r="F7" s="3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204</v>
      </c>
      <c r="C8" s="4">
        <f>COUNTIFS(Resp4[Vínculo],"tecnico",Resp4[4.128],B8)</f>
        <v>0</v>
      </c>
      <c r="D8" s="4">
        <f>COUNTIFS(Resp4[Vínculo],"docente",Resp4[4.128],B8)</f>
        <v>0</v>
      </c>
      <c r="E8" s="4">
        <f>COUNTIF(Resp4[4.128],B8)</f>
        <v>0</v>
      </c>
      <c r="F8" s="3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COUNTIFS(Resp4[Vínculo],"tecnico",Resp4[4.128],B9)</f>
        <v>0</v>
      </c>
      <c r="D9" s="4">
        <f>COUNTIFS(Resp4[Vínculo],"docente",Resp4[4.128],B9)</f>
        <v>0</v>
      </c>
      <c r="E9" s="4">
        <f>COUNTIF(Resp4[4.128],B9)</f>
        <v>0</v>
      </c>
      <c r="F9" s="3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COUNTIFS(Resp4[Vínculo],"tecnico",Resp4[4.128],B10)</f>
        <v>0</v>
      </c>
      <c r="D10" s="4">
        <f>COUNTIFS(Resp4[Vínculo],"docente",Resp4[4.128],B10)</f>
        <v>0</v>
      </c>
      <c r="E10" s="4">
        <f>COUNTIF(Resp4[4.128],B10)</f>
        <v>0</v>
      </c>
      <c r="F10" s="3">
        <f t="shared" si="0"/>
        <v>0</v>
      </c>
      <c r="G10" s="3" t="e">
        <f t="shared" si="1"/>
        <v>#DIV/0!</v>
      </c>
    </row>
    <row r="11" spans="1:7" x14ac:dyDescent="0.25">
      <c r="B11" s="2" t="s">
        <v>200</v>
      </c>
      <c r="C11" s="4">
        <f>COUNTIFS(Resp4[Vínculo],"tecnico",Resp4[4.128],B11)</f>
        <v>0</v>
      </c>
      <c r="D11" s="4">
        <f>COUNTIFS(Resp4[Vínculo],"docente",Resp4[4.128],B11)</f>
        <v>0</v>
      </c>
      <c r="E11" s="4">
        <f>COUNTIF(Resp4[4.128],B11)</f>
        <v>0</v>
      </c>
      <c r="F11" s="3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COUNTIFS(Resp4[Vínculo],"tecnico",Resp4[4.128],B12)</f>
        <v>0</v>
      </c>
      <c r="D12" s="4">
        <f>COUNTIFS(Resp4[Vínculo],"docente",Resp4[4.128],B12)</f>
        <v>0</v>
      </c>
      <c r="E12" s="4">
        <f>COUNTIF(Resp4[4.128],B12)</f>
        <v>0</v>
      </c>
      <c r="F12" s="24">
        <f t="shared" si="0"/>
        <v>0</v>
      </c>
      <c r="G12" s="3" t="e">
        <f t="shared" si="1"/>
        <v>#DIV/0!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3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 t="e">
        <f>ROUND(D25/SUM(D$25:D$28)*100,3)</f>
        <v>#DIV/0!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 t="e">
        <f>ROUND(D26/SUM(D$25:D$28)*100,3)</f>
        <v>#DIV/0!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 t="e">
        <f>ROUND(D27/SUM(D$25:D$28)*100,3)</f>
        <v>#DIV/0!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19" t="e">
        <f>ROUND(D28/SUM(D$25:D$28)*100,3)</f>
        <v>#DIV/0!</v>
      </c>
    </row>
  </sheetData>
  <pageMargins left="0.7" right="0.7" top="0.75" bottom="0.75" header="0.3" footer="0.3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7">
        <v>4130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4.130</v>
      </c>
      <c r="B2" s="2" t="str">
        <f>VLOOKUP(A$2, Eixo4[], 3, FALSE)</f>
        <v>Considerando o planejamento e as políticas para a internacionalização da UFPR, escolha Sim para avaliar e Não para prosseguir: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130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196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COUNTIFS(Resp4[Vínculo],"tecnico",Resp4[4.130],B7)</f>
        <v>1</v>
      </c>
      <c r="D7" s="4">
        <f>COUNTIFS(Resp4[Vínculo],"docente",Resp4[4.130],B7)</f>
        <v>5</v>
      </c>
      <c r="E7" s="2">
        <f>COUNTIF(Resp4[4.130],B7)</f>
        <v>6</v>
      </c>
      <c r="F7" s="4">
        <f t="shared" ref="F7:F9" si="0">ROUND($E7/E$9*100,2)</f>
        <v>25</v>
      </c>
      <c r="G7" s="4">
        <f>ROUND($E7/SUM($E$7:$E$8)*100,2)</f>
        <v>25</v>
      </c>
      <c r="H7" s="2"/>
    </row>
    <row r="8" spans="1:8" x14ac:dyDescent="0.25">
      <c r="A8" s="2"/>
      <c r="B8" s="2" t="s">
        <v>194</v>
      </c>
      <c r="C8" s="4">
        <f>COUNTIFS(Resp4[Vínculo],"tecnico",Resp4[4.130],B8)</f>
        <v>10</v>
      </c>
      <c r="D8" s="4">
        <f>COUNTIFS(Resp4[Vínculo],"docente",Resp4[4.130],B8)</f>
        <v>8</v>
      </c>
      <c r="E8" s="2">
        <f>COUNTIF(Resp4[4.130],B8)</f>
        <v>18</v>
      </c>
      <c r="F8" s="22">
        <f t="shared" si="0"/>
        <v>75</v>
      </c>
      <c r="G8" s="4">
        <f>ROUND($E8/SUM($E$7:$E$8)*100,2)</f>
        <v>75</v>
      </c>
      <c r="H8" s="2"/>
    </row>
    <row r="9" spans="1:8" x14ac:dyDescent="0.25">
      <c r="A9" s="2"/>
      <c r="B9" s="8" t="s">
        <v>502</v>
      </c>
      <c r="C9" s="8">
        <f>SUM(C6:C8)</f>
        <v>11</v>
      </c>
      <c r="D9" s="8">
        <f>SUM(D6:D8)</f>
        <v>13</v>
      </c>
      <c r="E9" s="8">
        <f>SUM(C9:D9)</f>
        <v>24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85546875" style="2" customWidth="1"/>
    <col min="3" max="3" width="16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4131</v>
      </c>
    </row>
    <row r="2" spans="1:7" x14ac:dyDescent="0.25">
      <c r="A2" s="2" t="str">
        <f>TEXT(A1,"0.00")</f>
        <v>4.131</v>
      </c>
      <c r="B2" s="2" t="str">
        <f>VLOOKUP(A$2,Eixo4[],3,FALSE)</f>
        <v>Sobre as ações para a internacionalização, no contexto das políticas acadêmicas, avalie: [A oferta de disciplinas em língua inglesa]</v>
      </c>
    </row>
    <row r="3" spans="1:7" x14ac:dyDescent="0.25">
      <c r="A3" s="2" t="s">
        <v>494</v>
      </c>
      <c r="B3" s="2" t="str">
        <f>VLOOKUP(A$2,Eixo4[],4,FALSE)</f>
        <v>Eixo 4: Questão 131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8</v>
      </c>
      <c r="E6" s="4">
        <f>E13-SUM(E7:E12)</f>
        <v>18</v>
      </c>
      <c r="F6" s="3">
        <f>ROUND($E6/E$13*100,2)</f>
        <v>75</v>
      </c>
    </row>
    <row r="7" spans="1:7" x14ac:dyDescent="0.25">
      <c r="B7" s="2" t="s">
        <v>203</v>
      </c>
      <c r="C7" s="4">
        <f>COUNTIFS(Resp4[Vínculo],"tecnico",Resp4[4.131],B7)</f>
        <v>0</v>
      </c>
      <c r="D7" s="4">
        <f>COUNTIFS(Resp4[Vínculo],"docente",Resp4[4.131],B7)</f>
        <v>2</v>
      </c>
      <c r="E7" s="4">
        <f>COUNTIF(Resp4[4.131],B7)</f>
        <v>2</v>
      </c>
      <c r="F7" s="3">
        <f t="shared" ref="F7:F13" si="0">ROUND($E7/E$13*100,2)</f>
        <v>8.33</v>
      </c>
      <c r="G7" s="3">
        <f t="shared" ref="G7:G12" si="1">ROUND($E7/SUM($E$7:$E$12)*100,3)</f>
        <v>33.332999999999998</v>
      </c>
    </row>
    <row r="8" spans="1:7" x14ac:dyDescent="0.25">
      <c r="B8" s="2" t="s">
        <v>204</v>
      </c>
      <c r="C8" s="4">
        <f>COUNTIFS(Resp4[Vínculo],"tecnico",Resp4[4.131],B8)</f>
        <v>0</v>
      </c>
      <c r="D8" s="4">
        <f>COUNTIFS(Resp4[Vínculo],"docente",Resp4[4.131],B8)</f>
        <v>0</v>
      </c>
      <c r="E8" s="4">
        <f>COUNTIF(Resp4[4.131],B8)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COUNTIFS(Resp4[Vínculo],"tecnico",Resp4[4.131],B9)</f>
        <v>0</v>
      </c>
      <c r="D9" s="4">
        <f>COUNTIFS(Resp4[Vínculo],"docente",Resp4[4.131],B9)</f>
        <v>1</v>
      </c>
      <c r="E9" s="4">
        <f>COUNTIF(Resp4[4.131],B9)</f>
        <v>1</v>
      </c>
      <c r="F9" s="3">
        <f t="shared" si="0"/>
        <v>4.17</v>
      </c>
      <c r="G9" s="3">
        <f t="shared" si="1"/>
        <v>16.667000000000002</v>
      </c>
    </row>
    <row r="10" spans="1:7" x14ac:dyDescent="0.25">
      <c r="B10" s="2" t="s">
        <v>30</v>
      </c>
      <c r="C10" s="4">
        <f>COUNTIFS(Resp4[Vínculo],"tecnico",Resp4[4.131],B10)</f>
        <v>1</v>
      </c>
      <c r="D10" s="4">
        <f>COUNTIFS(Resp4[Vínculo],"docente",Resp4[4.131],B10)</f>
        <v>1</v>
      </c>
      <c r="E10" s="4">
        <f>COUNTIF(Resp4[4.131],B10)</f>
        <v>2</v>
      </c>
      <c r="F10" s="3">
        <f t="shared" si="0"/>
        <v>8.33</v>
      </c>
      <c r="G10" s="3">
        <f t="shared" si="1"/>
        <v>33.332999999999998</v>
      </c>
    </row>
    <row r="11" spans="1:7" x14ac:dyDescent="0.25">
      <c r="B11" s="2" t="s">
        <v>200</v>
      </c>
      <c r="C11" s="4">
        <f>COUNTIFS(Resp4[Vínculo],"tecnico",Resp4[4.131],B11)</f>
        <v>0</v>
      </c>
      <c r="D11" s="4">
        <f>COUNTIFS(Resp4[Vínculo],"docente",Resp4[4.131],B11)</f>
        <v>1</v>
      </c>
      <c r="E11" s="4">
        <f>COUNTIF(Resp4[4.131],B11)</f>
        <v>1</v>
      </c>
      <c r="F11" s="3">
        <f t="shared" si="0"/>
        <v>4.17</v>
      </c>
      <c r="G11" s="3">
        <f t="shared" si="1"/>
        <v>16.667000000000002</v>
      </c>
    </row>
    <row r="12" spans="1:7" x14ac:dyDescent="0.25">
      <c r="B12" s="7" t="s">
        <v>197</v>
      </c>
      <c r="C12" s="4">
        <f>COUNTIFS(Resp4[Vínculo],"tecnico",Resp4[4.131],B12)</f>
        <v>0</v>
      </c>
      <c r="D12" s="4">
        <f>COUNTIFS(Resp4[Vínculo],"docente",Resp4[4.131],B12)</f>
        <v>0</v>
      </c>
      <c r="E12" s="4">
        <f>COUNTIF(Resp4[4.131],B12)</f>
        <v>0</v>
      </c>
      <c r="F12" s="24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100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20</v>
      </c>
    </row>
    <row r="26" spans="2:7" x14ac:dyDescent="0.25">
      <c r="B26" s="16" t="s">
        <v>203</v>
      </c>
      <c r="C26" s="16" t="s">
        <v>23</v>
      </c>
      <c r="D26" s="14">
        <f>D7</f>
        <v>2</v>
      </c>
      <c r="E26" s="15">
        <f>ROUND(D26/SUM(D$25:D$28)*100,3)</f>
        <v>40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20</v>
      </c>
    </row>
    <row r="28" spans="2:7" x14ac:dyDescent="0.25">
      <c r="B28" s="32" t="s">
        <v>33</v>
      </c>
      <c r="C28" s="32" t="s">
        <v>32</v>
      </c>
      <c r="D28" s="18">
        <f>SUM(D11:D12)</f>
        <v>1</v>
      </c>
      <c r="E28" s="19">
        <f>ROUND(D28/SUM(D$25:D$28)*100,3)</f>
        <v>20</v>
      </c>
    </row>
  </sheetData>
  <pageMargins left="0.7" right="0.7" top="0.75" bottom="0.75" header="0.3" footer="0.3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42578125" style="2" customWidth="1"/>
    <col min="3" max="3" width="16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4132</v>
      </c>
    </row>
    <row r="2" spans="1:7" x14ac:dyDescent="0.25">
      <c r="A2" s="2" t="str">
        <f>TEXT(A1,"0.00")</f>
        <v>4.132</v>
      </c>
      <c r="B2" s="2" t="str">
        <f>VLOOKUP(A$2,Eixo4[],3,FALSE)</f>
        <v>Sobre as ações para a internacionalização, no contexto das políticas acadêmicas, avalie: [A oferta de cursos de capacitação para disciplinas em língua inglesa]</v>
      </c>
    </row>
    <row r="3" spans="1:7" x14ac:dyDescent="0.25">
      <c r="A3" s="2" t="s">
        <v>494</v>
      </c>
      <c r="B3" s="2" t="str">
        <f>VLOOKUP(A$2,Eixo4[],4,FALSE)</f>
        <v>Eixo 4: Questão 132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8</v>
      </c>
      <c r="E6" s="4">
        <f>E13-SUM(E7:E12)</f>
        <v>18</v>
      </c>
      <c r="F6" s="3">
        <f>ROUND($E6/E$13*100,2)</f>
        <v>75</v>
      </c>
    </row>
    <row r="7" spans="1:7" x14ac:dyDescent="0.25">
      <c r="B7" s="2" t="s">
        <v>203</v>
      </c>
      <c r="C7" s="4">
        <f>COUNTIFS(Resp4[Vínculo],"tecnico",Resp4[4.132],B7)</f>
        <v>0</v>
      </c>
      <c r="D7" s="4">
        <f>COUNTIFS(Resp4[Vínculo],"docente",Resp4[4.132],B7)</f>
        <v>1</v>
      </c>
      <c r="E7" s="4">
        <f>COUNTIF(Resp4[4.132],B7)</f>
        <v>1</v>
      </c>
      <c r="F7" s="3">
        <f t="shared" ref="F7:F13" si="0">ROUND($E7/E$13*100,2)</f>
        <v>4.17</v>
      </c>
      <c r="G7" s="3">
        <f t="shared" ref="G7:G12" si="1">ROUND($E7/SUM($E$7:$E$12)*100,3)</f>
        <v>16.667000000000002</v>
      </c>
    </row>
    <row r="8" spans="1:7" x14ac:dyDescent="0.25">
      <c r="B8" s="2" t="s">
        <v>204</v>
      </c>
      <c r="C8" s="4">
        <f>COUNTIFS(Resp4[Vínculo],"tecnico",Resp4[4.132],B8)</f>
        <v>0</v>
      </c>
      <c r="D8" s="4">
        <f>COUNTIFS(Resp4[Vínculo],"docente",Resp4[4.132],B8)</f>
        <v>0</v>
      </c>
      <c r="E8" s="4">
        <f>COUNTIF(Resp4[4.132],B8)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COUNTIFS(Resp4[Vínculo],"tecnico",Resp4[4.132],B9)</f>
        <v>0</v>
      </c>
      <c r="D9" s="4">
        <f>COUNTIFS(Resp4[Vínculo],"docente",Resp4[4.132],B9)</f>
        <v>1</v>
      </c>
      <c r="E9" s="4">
        <f>COUNTIF(Resp4[4.132],B9)</f>
        <v>1</v>
      </c>
      <c r="F9" s="3">
        <f t="shared" si="0"/>
        <v>4.17</v>
      </c>
      <c r="G9" s="3">
        <f t="shared" si="1"/>
        <v>16.667000000000002</v>
      </c>
    </row>
    <row r="10" spans="1:7" x14ac:dyDescent="0.25">
      <c r="B10" s="2" t="s">
        <v>30</v>
      </c>
      <c r="C10" s="4">
        <f>COUNTIFS(Resp4[Vínculo],"tecnico",Resp4[4.132],B10)</f>
        <v>1</v>
      </c>
      <c r="D10" s="4">
        <f>COUNTIFS(Resp4[Vínculo],"docente",Resp4[4.132],B10)</f>
        <v>2</v>
      </c>
      <c r="E10" s="4">
        <f>COUNTIF(Resp4[4.132],B10)</f>
        <v>3</v>
      </c>
      <c r="F10" s="3">
        <f t="shared" si="0"/>
        <v>12.5</v>
      </c>
      <c r="G10" s="3">
        <f t="shared" si="1"/>
        <v>50</v>
      </c>
    </row>
    <row r="11" spans="1:7" x14ac:dyDescent="0.25">
      <c r="B11" s="2" t="s">
        <v>200</v>
      </c>
      <c r="C11" s="4">
        <f>COUNTIFS(Resp4[Vínculo],"tecnico",Resp4[4.132],B11)</f>
        <v>0</v>
      </c>
      <c r="D11" s="4">
        <f>COUNTIFS(Resp4[Vínculo],"docente",Resp4[4.132],B11)</f>
        <v>1</v>
      </c>
      <c r="E11" s="4">
        <f>COUNTIF(Resp4[4.132],B11)</f>
        <v>1</v>
      </c>
      <c r="F11" s="3">
        <f t="shared" si="0"/>
        <v>4.17</v>
      </c>
      <c r="G11" s="3">
        <f t="shared" si="1"/>
        <v>16.667000000000002</v>
      </c>
    </row>
    <row r="12" spans="1:7" x14ac:dyDescent="0.25">
      <c r="B12" s="7" t="s">
        <v>197</v>
      </c>
      <c r="C12" s="4">
        <f>COUNTIFS(Resp4[Vínculo],"tecnico",Resp4[4.132],B12)</f>
        <v>0</v>
      </c>
      <c r="D12" s="4">
        <f>COUNTIFS(Resp4[Vínculo],"docente",Resp4[4.132],B12)</f>
        <v>0</v>
      </c>
      <c r="E12" s="4">
        <f>COUNTIF(Resp4[4.132],B12)</f>
        <v>0</v>
      </c>
      <c r="F12" s="24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3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100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20</v>
      </c>
    </row>
    <row r="26" spans="2:7" x14ac:dyDescent="0.25">
      <c r="B26" s="16" t="s">
        <v>203</v>
      </c>
      <c r="C26" s="16" t="s">
        <v>23</v>
      </c>
      <c r="D26" s="14">
        <f>D7</f>
        <v>1</v>
      </c>
      <c r="E26" s="15">
        <f>ROUND(D26/SUM(D$25:D$28)*100,3)</f>
        <v>20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40</v>
      </c>
    </row>
    <row r="28" spans="2:7" x14ac:dyDescent="0.25">
      <c r="B28" s="32" t="s">
        <v>33</v>
      </c>
      <c r="C28" s="32" t="s">
        <v>32</v>
      </c>
      <c r="D28" s="18">
        <f>SUM(D11:D12)</f>
        <v>1</v>
      </c>
      <c r="E28" s="19">
        <f>ROUND(D28/SUM(D$25:D$28)*100,3)</f>
        <v>20</v>
      </c>
    </row>
  </sheetData>
  <pageMargins left="0.7" right="0.7" top="0.75" bottom="0.75" header="0.3" footer="0.3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0.42578125" style="2" customWidth="1"/>
    <col min="3" max="3" width="17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4133</v>
      </c>
    </row>
    <row r="2" spans="1:7" x14ac:dyDescent="0.25">
      <c r="A2" s="2" t="str">
        <f>TEXT(A1,"0.00")</f>
        <v>4.133</v>
      </c>
      <c r="B2" s="2" t="str">
        <f>VLOOKUP(A$2,Eixo4[],3,FALSE)</f>
        <v>Sobre as ações para a internacionalização, no contexto das políticas acadêmicas, avalie: [A oferta de cursos de língua portuguesa para estrangeiros]</v>
      </c>
    </row>
    <row r="3" spans="1:7" x14ac:dyDescent="0.25">
      <c r="A3" s="2" t="s">
        <v>494</v>
      </c>
      <c r="B3" s="2" t="str">
        <f>VLOOKUP(A$2,Eixo4[],4,FALSE)</f>
        <v>Eixo 4: Questão 133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8</v>
      </c>
      <c r="E6" s="4">
        <f>E13-SUM(E7:E12)</f>
        <v>18</v>
      </c>
      <c r="F6" s="3">
        <f>ROUND($E6/E$13*100,2)</f>
        <v>75</v>
      </c>
    </row>
    <row r="7" spans="1:7" x14ac:dyDescent="0.25">
      <c r="B7" s="2" t="s">
        <v>203</v>
      </c>
      <c r="C7" s="4">
        <f>COUNTIFS(Resp4[Vínculo],"tecnico",Resp4[4.133],B7)</f>
        <v>0</v>
      </c>
      <c r="D7" s="4">
        <f>COUNTIFS(Resp4[Vínculo],"docente",Resp4[4.133],B7)</f>
        <v>3</v>
      </c>
      <c r="E7" s="4">
        <f>COUNTIF(Resp4[4.133],B7)</f>
        <v>3</v>
      </c>
      <c r="F7" s="3">
        <f t="shared" ref="F7:F13" si="0">ROUND($E7/E$13*100,2)</f>
        <v>12.5</v>
      </c>
      <c r="G7" s="3">
        <f t="shared" ref="G7:G12" si="1">ROUND($E7/SUM($E$7:$E$12)*100,3)</f>
        <v>50</v>
      </c>
    </row>
    <row r="8" spans="1:7" x14ac:dyDescent="0.25">
      <c r="B8" s="2" t="s">
        <v>204</v>
      </c>
      <c r="C8" s="4">
        <f>COUNTIFS(Resp4[Vínculo],"tecnico",Resp4[4.133],B8)</f>
        <v>0</v>
      </c>
      <c r="D8" s="4">
        <f>COUNTIFS(Resp4[Vínculo],"docente",Resp4[4.133],B8)</f>
        <v>0</v>
      </c>
      <c r="E8" s="4">
        <f>COUNTIF(Resp4[4.133],B8)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COUNTIFS(Resp4[Vínculo],"tecnico",Resp4[4.133],B9)</f>
        <v>0</v>
      </c>
      <c r="D9" s="4">
        <f>COUNTIFS(Resp4[Vínculo],"docente",Resp4[4.133],B9)</f>
        <v>0</v>
      </c>
      <c r="E9" s="4">
        <f>COUNTIF(Resp4[4.133],B9)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COUNTIFS(Resp4[Vínculo],"tecnico",Resp4[4.133],B10)</f>
        <v>1</v>
      </c>
      <c r="D10" s="4">
        <f>COUNTIFS(Resp4[Vínculo],"docente",Resp4[4.133],B10)</f>
        <v>1</v>
      </c>
      <c r="E10" s="4">
        <f>COUNTIF(Resp4[4.133],B10)</f>
        <v>2</v>
      </c>
      <c r="F10" s="3">
        <f t="shared" si="0"/>
        <v>8.33</v>
      </c>
      <c r="G10" s="3">
        <f t="shared" si="1"/>
        <v>33.332999999999998</v>
      </c>
    </row>
    <row r="11" spans="1:7" x14ac:dyDescent="0.25">
      <c r="B11" s="2" t="s">
        <v>200</v>
      </c>
      <c r="C11" s="4">
        <f>COUNTIFS(Resp4[Vínculo],"tecnico",Resp4[4.133],B11)</f>
        <v>0</v>
      </c>
      <c r="D11" s="4">
        <f>COUNTIFS(Resp4[Vínculo],"docente",Resp4[4.133],B11)</f>
        <v>0</v>
      </c>
      <c r="E11" s="4">
        <f>COUNTIF(Resp4[4.133],B11)</f>
        <v>0</v>
      </c>
      <c r="F11" s="3">
        <f t="shared" si="0"/>
        <v>0</v>
      </c>
      <c r="G11" s="3">
        <f t="shared" si="1"/>
        <v>0</v>
      </c>
    </row>
    <row r="12" spans="1:7" x14ac:dyDescent="0.25">
      <c r="B12" s="7" t="s">
        <v>197</v>
      </c>
      <c r="C12" s="4">
        <f>COUNTIFS(Resp4[Vínculo],"tecnico",Resp4[4.133],B12)</f>
        <v>0</v>
      </c>
      <c r="D12" s="4">
        <f>COUNTIFS(Resp4[Vínculo],"docente",Resp4[4.133],B12)</f>
        <v>1</v>
      </c>
      <c r="E12" s="4">
        <f>COUNTIF(Resp4[4.133],B12)</f>
        <v>1</v>
      </c>
      <c r="F12" s="24">
        <f t="shared" si="0"/>
        <v>4.17</v>
      </c>
      <c r="G12" s="3">
        <f t="shared" si="1"/>
        <v>16.667000000000002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100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203</v>
      </c>
      <c r="C26" s="16" t="s">
        <v>23</v>
      </c>
      <c r="D26" s="14">
        <f>D7</f>
        <v>3</v>
      </c>
      <c r="E26" s="15">
        <f>ROUND(D26/SUM(D$25:D$28)*100,3)</f>
        <v>60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20</v>
      </c>
    </row>
    <row r="28" spans="2:7" x14ac:dyDescent="0.25">
      <c r="B28" s="32" t="s">
        <v>33</v>
      </c>
      <c r="C28" s="32" t="s">
        <v>32</v>
      </c>
      <c r="D28" s="18">
        <f>SUM(D11:D12)</f>
        <v>1</v>
      </c>
      <c r="E28" s="19">
        <f>ROUND(D28/SUM(D$25:D$28)*100,3)</f>
        <v>20</v>
      </c>
    </row>
  </sheetData>
  <pageMargins left="0.7" right="0.7" top="0.75" bottom="0.75" header="0.3" footer="0.3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8.140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4134</v>
      </c>
    </row>
    <row r="2" spans="1:7" x14ac:dyDescent="0.25">
      <c r="A2" s="2" t="str">
        <f>TEXT(A1,"0.00")</f>
        <v>4.134</v>
      </c>
      <c r="B2" s="2" t="str">
        <f>VLOOKUP(A$2,Eixo4[],3,FALSE)</f>
        <v>Sobre as ações para a internacionalização, no contexto das políticas acadêmicas, avalie: [A oferta de avaliações de proficiência em língua estrangeira]</v>
      </c>
    </row>
    <row r="3" spans="1:7" x14ac:dyDescent="0.25">
      <c r="A3" s="2" t="s">
        <v>494</v>
      </c>
      <c r="B3" s="2" t="str">
        <f>VLOOKUP(A$2,Eixo4[],4,FALSE)</f>
        <v>Eixo 4: Questão 134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8</v>
      </c>
      <c r="E6" s="4">
        <f>E13-SUM(E7:E12)</f>
        <v>18</v>
      </c>
      <c r="F6" s="3">
        <f>ROUND($E6/E$13*100,2)</f>
        <v>75</v>
      </c>
    </row>
    <row r="7" spans="1:7" x14ac:dyDescent="0.25">
      <c r="B7" s="2" t="s">
        <v>203</v>
      </c>
      <c r="C7" s="4">
        <f>COUNTIFS(Resp4[Vínculo],"tecnico",Resp4[4.134],B7)</f>
        <v>0</v>
      </c>
      <c r="D7" s="4">
        <f>COUNTIFS(Resp4[Vínculo],"docente",Resp4[4.134],B7)</f>
        <v>1</v>
      </c>
      <c r="E7" s="4">
        <f>COUNTIF(Resp4[4.134],B7)</f>
        <v>1</v>
      </c>
      <c r="F7" s="3">
        <f t="shared" ref="F7:F12" si="0">ROUND($E7/E$13*100,2)</f>
        <v>4.17</v>
      </c>
      <c r="G7" s="3">
        <f t="shared" ref="G7:G12" si="1">ROUND($E7/SUM($E$7:$E$12)*100,3)</f>
        <v>16.667000000000002</v>
      </c>
    </row>
    <row r="8" spans="1:7" x14ac:dyDescent="0.25">
      <c r="B8" s="2" t="s">
        <v>204</v>
      </c>
      <c r="C8" s="4">
        <f>COUNTIFS(Resp4[Vínculo],"tecnico",Resp4[4.134],B8)</f>
        <v>0</v>
      </c>
      <c r="D8" s="4">
        <f>COUNTIFS(Resp4[Vínculo],"docente",Resp4[4.134],B8)</f>
        <v>0</v>
      </c>
      <c r="E8" s="4">
        <f>COUNTIF(Resp4[4.134],B8)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COUNTIFS(Resp4[Vínculo],"tecnico",Resp4[4.134],B9)</f>
        <v>0</v>
      </c>
      <c r="D9" s="4">
        <f>COUNTIFS(Resp4[Vínculo],"docente",Resp4[4.134],B9)</f>
        <v>2</v>
      </c>
      <c r="E9" s="4">
        <f>COUNTIF(Resp4[4.134],B9)</f>
        <v>2</v>
      </c>
      <c r="F9" s="3">
        <f t="shared" si="0"/>
        <v>8.33</v>
      </c>
      <c r="G9" s="3">
        <f t="shared" si="1"/>
        <v>33.332999999999998</v>
      </c>
    </row>
    <row r="10" spans="1:7" x14ac:dyDescent="0.25">
      <c r="B10" s="2" t="s">
        <v>30</v>
      </c>
      <c r="C10" s="4">
        <f>COUNTIFS(Resp4[Vínculo],"tecnico",Resp4[4.134],B10)</f>
        <v>1</v>
      </c>
      <c r="D10" s="4">
        <f>COUNTIFS(Resp4[Vínculo],"docente",Resp4[4.134],B10)</f>
        <v>0</v>
      </c>
      <c r="E10" s="4">
        <f>COUNTIF(Resp4[4.134],B10)</f>
        <v>1</v>
      </c>
      <c r="F10" s="3">
        <f t="shared" si="0"/>
        <v>4.17</v>
      </c>
      <c r="G10" s="3">
        <f t="shared" si="1"/>
        <v>16.667000000000002</v>
      </c>
    </row>
    <row r="11" spans="1:7" x14ac:dyDescent="0.25">
      <c r="B11" s="2" t="s">
        <v>200</v>
      </c>
      <c r="C11" s="4">
        <f>COUNTIFS(Resp4[Vínculo],"tecnico",Resp4[4.134],B11)</f>
        <v>0</v>
      </c>
      <c r="D11" s="4">
        <f>COUNTIFS(Resp4[Vínculo],"docente",Resp4[4.134],B11)</f>
        <v>2</v>
      </c>
      <c r="E11" s="4">
        <f>COUNTIF(Resp4[4.134],B11)</f>
        <v>2</v>
      </c>
      <c r="F11" s="3">
        <f t="shared" si="0"/>
        <v>8.33</v>
      </c>
      <c r="G11" s="3">
        <f t="shared" si="1"/>
        <v>33.332999999999998</v>
      </c>
    </row>
    <row r="12" spans="1:7" x14ac:dyDescent="0.25">
      <c r="B12" s="7" t="s">
        <v>197</v>
      </c>
      <c r="C12" s="4">
        <f>COUNTIFS(Resp4[Vínculo],"tecnico",Resp4[4.134],B12)</f>
        <v>0</v>
      </c>
      <c r="D12" s="4">
        <f>COUNTIFS(Resp4[Vínculo],"docente",Resp4[4.134],B12)</f>
        <v>0</v>
      </c>
      <c r="E12" s="4">
        <f>COUNTIF(Resp4[4.134],B12)</f>
        <v>0</v>
      </c>
      <c r="F12" s="24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3">
        <f>ROUND($E13/E$13*100,2)</f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100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40</v>
      </c>
    </row>
    <row r="26" spans="2:7" x14ac:dyDescent="0.25">
      <c r="B26" s="16" t="s">
        <v>203</v>
      </c>
      <c r="C26" s="16" t="s">
        <v>23</v>
      </c>
      <c r="D26" s="14">
        <f>D7</f>
        <v>1</v>
      </c>
      <c r="E26" s="15">
        <f>ROUND(D26/SUM(D$25:D$28)*100,3)</f>
        <v>20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2</v>
      </c>
      <c r="E28" s="19">
        <f>ROUND(D28/SUM(D$25:D$28)*100,3)</f>
        <v>40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9.57031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63</v>
      </c>
    </row>
    <row r="2" spans="1:7" x14ac:dyDescent="0.25">
      <c r="A2" s="2" t="str">
        <f>TEXT(A1,"0.00")</f>
        <v>4.07</v>
      </c>
      <c r="B2" s="2" t="str">
        <f>VLOOKUP(A$2,Eixo4[],3,FALSE)</f>
        <v>Com relação ao ensino da graduação, avalie: [A integração entre graduação e pós-graduação e pesquisa]</v>
      </c>
    </row>
    <row r="3" spans="1:7" x14ac:dyDescent="0.25">
      <c r="A3" s="2" t="s">
        <v>494</v>
      </c>
      <c r="B3" s="2" t="str">
        <f>VLOOKUP(A$2,Eixo4[],4,FALSE)</f>
        <v>Eixo 4: Questão 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0</v>
      </c>
      <c r="E6" s="4">
        <f>E13-SUM(E7:E12)</f>
        <v>9</v>
      </c>
      <c r="F6" s="4">
        <f>ROUND($E6/E$13*100,2)</f>
        <v>37.5</v>
      </c>
    </row>
    <row r="7" spans="1:7" x14ac:dyDescent="0.25">
      <c r="B7" s="2" t="s">
        <v>203</v>
      </c>
      <c r="C7" s="4">
        <f>COUNTIFS(Resp4[Vínculo],"tecnico",Resp4[4.07],B7)</f>
        <v>0</v>
      </c>
      <c r="D7" s="4">
        <f>COUNTIFS(Resp4[Vínculo],"docente",Resp4[4.07],B7)</f>
        <v>0</v>
      </c>
      <c r="E7" s="4">
        <f>COUNTIF(Resp4[4.07],B7)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COUNTIFS(Resp4[Vínculo],"tecnico",Resp4[4.07],B8)</f>
        <v>0</v>
      </c>
      <c r="D8" s="4">
        <f>COUNTIFS(Resp4[Vínculo],"docente",Resp4[4.07],B8)</f>
        <v>1</v>
      </c>
      <c r="E8" s="4">
        <f>COUNTIF(Resp4[4.07],B8)</f>
        <v>1</v>
      </c>
      <c r="F8" s="4">
        <f t="shared" si="0"/>
        <v>4.17</v>
      </c>
      <c r="G8" s="3">
        <f t="shared" si="1"/>
        <v>6.6669999999999998</v>
      </c>
    </row>
    <row r="9" spans="1:7" x14ac:dyDescent="0.25">
      <c r="B9" s="2" t="s">
        <v>202</v>
      </c>
      <c r="C9" s="4">
        <f>COUNTIFS(Resp4[Vínculo],"tecnico",Resp4[4.07],B9)</f>
        <v>0</v>
      </c>
      <c r="D9" s="4">
        <f>COUNTIFS(Resp4[Vínculo],"docente",Resp4[4.07],B9)</f>
        <v>1</v>
      </c>
      <c r="E9" s="4">
        <f>COUNTIF(Resp4[4.07],B9)</f>
        <v>1</v>
      </c>
      <c r="F9" s="4">
        <f t="shared" si="0"/>
        <v>4.17</v>
      </c>
      <c r="G9" s="3">
        <f t="shared" si="1"/>
        <v>6.6669999999999998</v>
      </c>
    </row>
    <row r="10" spans="1:7" x14ac:dyDescent="0.25">
      <c r="B10" s="2" t="s">
        <v>30</v>
      </c>
      <c r="C10" s="4">
        <f>COUNTIFS(Resp4[Vínculo],"tecnico",Resp4[4.07],B10)</f>
        <v>2</v>
      </c>
      <c r="D10" s="4">
        <f>COUNTIFS(Resp4[Vínculo],"docente",Resp4[4.07],B10)</f>
        <v>3</v>
      </c>
      <c r="E10" s="4">
        <f>COUNTIF(Resp4[4.07],B10)</f>
        <v>5</v>
      </c>
      <c r="F10" s="4">
        <f t="shared" si="0"/>
        <v>20.83</v>
      </c>
      <c r="G10" s="3">
        <f t="shared" si="1"/>
        <v>33.332999999999998</v>
      </c>
    </row>
    <row r="11" spans="1:7" x14ac:dyDescent="0.25">
      <c r="B11" s="2" t="s">
        <v>200</v>
      </c>
      <c r="C11" s="4">
        <f>COUNTIFS(Resp4[Vínculo],"tecnico",Resp4[4.07],B11)</f>
        <v>0</v>
      </c>
      <c r="D11" s="4">
        <f>COUNTIFS(Resp4[Vínculo],"docente",Resp4[4.07],B11)</f>
        <v>6</v>
      </c>
      <c r="E11" s="4">
        <f>COUNTIF(Resp4[4.07],B11)</f>
        <v>6</v>
      </c>
      <c r="F11" s="4">
        <f t="shared" si="0"/>
        <v>25</v>
      </c>
      <c r="G11" s="3">
        <f t="shared" si="1"/>
        <v>40</v>
      </c>
    </row>
    <row r="12" spans="1:7" x14ac:dyDescent="0.25">
      <c r="B12" s="7" t="s">
        <v>197</v>
      </c>
      <c r="C12" s="4">
        <f>COUNTIFS(Resp4[Vínculo],"tecnico",Resp4[4.07],B12)</f>
        <v>0</v>
      </c>
      <c r="D12" s="4">
        <f>COUNTIFS(Resp4[Vínculo],"docente",Resp4[4.07],B12)</f>
        <v>2</v>
      </c>
      <c r="E12" s="4">
        <f>COUNTIF(Resp4[4.07],B12)</f>
        <v>2</v>
      </c>
      <c r="F12" s="22">
        <f t="shared" si="0"/>
        <v>8.33</v>
      </c>
      <c r="G12" s="3">
        <f t="shared" si="1"/>
        <v>13.333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100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15.385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23.077000000000002</v>
      </c>
    </row>
    <row r="28" spans="2:7" x14ac:dyDescent="0.25">
      <c r="B28" s="32" t="s">
        <v>33</v>
      </c>
      <c r="C28" s="32" t="s">
        <v>32</v>
      </c>
      <c r="D28" s="18">
        <f>SUM(D11:D12)</f>
        <v>8</v>
      </c>
      <c r="E28" s="19">
        <f>ROUND(D28/SUM(D$25:D$28)*100,3)</f>
        <v>61.537999999999997</v>
      </c>
    </row>
  </sheetData>
  <pageMargins left="0.7" right="0.7" top="0.75" bottom="0.75" header="0.3" footer="0.3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E6" sqref="E6"/>
    </sheetView>
  </sheetViews>
  <sheetFormatPr defaultRowHeight="15" x14ac:dyDescent="0.25"/>
  <cols>
    <col min="1" max="1" width="5.7109375" style="2" customWidth="1"/>
    <col min="2" max="2" width="21.42578125" style="2" customWidth="1"/>
    <col min="3" max="3" width="20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4135</v>
      </c>
    </row>
    <row r="2" spans="1:7" x14ac:dyDescent="0.25">
      <c r="A2" s="2" t="str">
        <f>TEXT(A1,"0.00")</f>
        <v>4.135</v>
      </c>
      <c r="B2" s="2" t="str">
        <f>VLOOKUP(A$2,Eixo4[],3,FALSE)</f>
        <v>Sobre as ações para a internacionalização, no contexto das políticas acadêmicas, avalie: [O apoio à escrita de artigos científicos em língua inglesa]</v>
      </c>
    </row>
    <row r="3" spans="1:7" x14ac:dyDescent="0.25">
      <c r="A3" s="2" t="s">
        <v>494</v>
      </c>
      <c r="B3" s="2" t="str">
        <f>VLOOKUP(A$2,Eixo4[],4,FALSE)</f>
        <v>Eixo 4: Questão 135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8</v>
      </c>
      <c r="E6" s="4">
        <f>E13-SUM(E7:E12)</f>
        <v>18</v>
      </c>
      <c r="F6" s="3">
        <f>ROUND($E6/E$13*100,2)</f>
        <v>75</v>
      </c>
    </row>
    <row r="7" spans="1:7" x14ac:dyDescent="0.25">
      <c r="B7" s="2" t="s">
        <v>203</v>
      </c>
      <c r="C7" s="4">
        <f>COUNTIFS(Resp4[Vínculo],"tecnico",Resp4[4.135],B7)</f>
        <v>0</v>
      </c>
      <c r="D7" s="4">
        <f>COUNTIFS(Resp4[Vínculo],"docente",Resp4[4.135],B7)</f>
        <v>1</v>
      </c>
      <c r="E7" s="4">
        <f>COUNTIF(Resp4[4.135],B7)</f>
        <v>1</v>
      </c>
      <c r="F7" s="3">
        <f t="shared" ref="F7:F13" si="0">ROUND($E7/E$13*100,2)</f>
        <v>4.17</v>
      </c>
      <c r="G7" s="3">
        <f t="shared" ref="G7:G12" si="1">ROUND($E7/SUM($E$7:$E$12)*100,3)</f>
        <v>16.667000000000002</v>
      </c>
    </row>
    <row r="8" spans="1:7" x14ac:dyDescent="0.25">
      <c r="B8" s="2" t="s">
        <v>204</v>
      </c>
      <c r="C8" s="4">
        <f>COUNTIFS(Resp4[Vínculo],"tecnico",Resp4[4.135],B8)</f>
        <v>0</v>
      </c>
      <c r="D8" s="4">
        <f>COUNTIFS(Resp4[Vínculo],"docente",Resp4[4.135],B8)</f>
        <v>0</v>
      </c>
      <c r="E8" s="4">
        <f>COUNTIF(Resp4[4.135],B8)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COUNTIFS(Resp4[Vínculo],"tecnico",Resp4[4.135],B9)</f>
        <v>0</v>
      </c>
      <c r="D9" s="4">
        <f>COUNTIFS(Resp4[Vínculo],"docente",Resp4[4.135],B9)</f>
        <v>1</v>
      </c>
      <c r="E9" s="4">
        <f>COUNTIF(Resp4[4.135],B9)</f>
        <v>1</v>
      </c>
      <c r="F9" s="3">
        <f t="shared" si="0"/>
        <v>4.17</v>
      </c>
      <c r="G9" s="3">
        <f t="shared" si="1"/>
        <v>16.667000000000002</v>
      </c>
    </row>
    <row r="10" spans="1:7" x14ac:dyDescent="0.25">
      <c r="B10" s="2" t="s">
        <v>30</v>
      </c>
      <c r="C10" s="4">
        <f>COUNTIFS(Resp4[Vínculo],"tecnico",Resp4[4.135],B10)</f>
        <v>1</v>
      </c>
      <c r="D10" s="4">
        <f>COUNTIFS(Resp4[Vínculo],"docente",Resp4[4.135],B10)</f>
        <v>2</v>
      </c>
      <c r="E10" s="4">
        <f>COUNTIF(Resp4[4.135],B10)</f>
        <v>3</v>
      </c>
      <c r="F10" s="3">
        <f t="shared" si="0"/>
        <v>12.5</v>
      </c>
      <c r="G10" s="3">
        <f t="shared" si="1"/>
        <v>50</v>
      </c>
    </row>
    <row r="11" spans="1:7" x14ac:dyDescent="0.25">
      <c r="B11" s="2" t="s">
        <v>200</v>
      </c>
      <c r="C11" s="4">
        <f>COUNTIFS(Resp4[Vínculo],"tecnico",Resp4[4.135],B11)</f>
        <v>0</v>
      </c>
      <c r="D11" s="4">
        <f>COUNTIFS(Resp4[Vínculo],"docente",Resp4[4.135],B11)</f>
        <v>0</v>
      </c>
      <c r="E11" s="4">
        <f>COUNTIF(Resp4[4.135],B11)</f>
        <v>0</v>
      </c>
      <c r="F11" s="3">
        <f t="shared" si="0"/>
        <v>0</v>
      </c>
      <c r="G11" s="3">
        <f t="shared" si="1"/>
        <v>0</v>
      </c>
    </row>
    <row r="12" spans="1:7" x14ac:dyDescent="0.25">
      <c r="B12" s="7" t="s">
        <v>197</v>
      </c>
      <c r="C12" s="4">
        <f>COUNTIFS(Resp4[Vínculo],"tecnico",Resp4[4.135],B12)</f>
        <v>0</v>
      </c>
      <c r="D12" s="4">
        <f>COUNTIFS(Resp4[Vínculo],"docente",Resp4[4.135],B12)</f>
        <v>1</v>
      </c>
      <c r="E12" s="4">
        <f>COUNTIF(Resp4[4.135],B12)</f>
        <v>1</v>
      </c>
      <c r="F12" s="24">
        <f t="shared" si="0"/>
        <v>4.17</v>
      </c>
      <c r="G12" s="3">
        <f t="shared" si="1"/>
        <v>16.667000000000002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3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100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20</v>
      </c>
    </row>
    <row r="26" spans="2:7" x14ac:dyDescent="0.25">
      <c r="B26" s="16" t="s">
        <v>203</v>
      </c>
      <c r="C26" s="16" t="s">
        <v>23</v>
      </c>
      <c r="D26" s="14">
        <f>D7</f>
        <v>1</v>
      </c>
      <c r="E26" s="15">
        <f>ROUND(D26/SUM(D$25:D$28)*100,3)</f>
        <v>20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40</v>
      </c>
    </row>
    <row r="28" spans="2:7" x14ac:dyDescent="0.25">
      <c r="B28" s="32" t="s">
        <v>33</v>
      </c>
      <c r="C28" s="32" t="s">
        <v>32</v>
      </c>
      <c r="D28" s="18">
        <f>SUM(D11:D12)</f>
        <v>1</v>
      </c>
      <c r="E28" s="19">
        <f>ROUND(D28/SUM(D$25:D$28)*100,3)</f>
        <v>20</v>
      </c>
    </row>
  </sheetData>
  <pageMargins left="0.7" right="0.7" top="0.75" bottom="0.75" header="0.3" footer="0.3"/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E6" sqref="E6"/>
    </sheetView>
  </sheetViews>
  <sheetFormatPr defaultRowHeight="15" x14ac:dyDescent="0.25"/>
  <cols>
    <col min="1" max="1" width="5.7109375" style="2" customWidth="1"/>
    <col min="2" max="2" width="22.42578125" style="2" customWidth="1"/>
    <col min="3" max="3" width="20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4136</v>
      </c>
    </row>
    <row r="2" spans="1:7" x14ac:dyDescent="0.25">
      <c r="A2" s="2" t="str">
        <f>TEXT(A1,"0.00")</f>
        <v>4.136</v>
      </c>
      <c r="B2" s="2" t="str">
        <f>VLOOKUP(A$2,Eixo4[],3,FALSE)</f>
        <v>Sobre as ações para a internacionalização, no contexto das políticas acadêmicas, avalie: [A capacitação dos docentes para participação de editais internacionais de cooperação]</v>
      </c>
    </row>
    <row r="3" spans="1:7" x14ac:dyDescent="0.25">
      <c r="A3" s="2" t="s">
        <v>494</v>
      </c>
      <c r="B3" s="2" t="str">
        <f>VLOOKUP(A$2,Eixo4[],4,FALSE)</f>
        <v>Eixo 4: Questão 136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8</v>
      </c>
      <c r="E6" s="4">
        <f>E13-SUM(E7:E12)</f>
        <v>18</v>
      </c>
      <c r="F6" s="3">
        <f>ROUND($E6/E$13*100,2)</f>
        <v>75</v>
      </c>
    </row>
    <row r="7" spans="1:7" x14ac:dyDescent="0.25">
      <c r="B7" s="2" t="s">
        <v>203</v>
      </c>
      <c r="C7" s="4">
        <f>COUNTIFS(Resp4[Vínculo],"tecnico",Resp4[4.136],B7)</f>
        <v>0</v>
      </c>
      <c r="D7" s="4">
        <f>COUNTIFS(Resp4[Vínculo],"docente",Resp4[4.136],B7)</f>
        <v>1</v>
      </c>
      <c r="E7" s="4">
        <f>COUNTIF(Resp4[4.136],B7)</f>
        <v>1</v>
      </c>
      <c r="F7" s="3">
        <f t="shared" ref="F7:F13" si="0">ROUND($E7/E$13*100,2)</f>
        <v>4.17</v>
      </c>
      <c r="G7" s="3">
        <f t="shared" ref="G7:G12" si="1">ROUND($E7/SUM($E$7:$E$12)*100,3)</f>
        <v>16.667000000000002</v>
      </c>
    </row>
    <row r="8" spans="1:7" x14ac:dyDescent="0.25">
      <c r="B8" s="2" t="s">
        <v>204</v>
      </c>
      <c r="C8" s="4">
        <f>COUNTIFS(Resp4[Vínculo],"tecnico",Resp4[4.136],B8)</f>
        <v>0</v>
      </c>
      <c r="D8" s="4">
        <f>COUNTIFS(Resp4[Vínculo],"docente",Resp4[4.136],B8)</f>
        <v>1</v>
      </c>
      <c r="E8" s="4">
        <f>COUNTIF(Resp4[4.136],B8)</f>
        <v>1</v>
      </c>
      <c r="F8" s="3">
        <f t="shared" si="0"/>
        <v>4.17</v>
      </c>
      <c r="G8" s="3">
        <f t="shared" si="1"/>
        <v>16.667000000000002</v>
      </c>
    </row>
    <row r="9" spans="1:7" x14ac:dyDescent="0.25">
      <c r="B9" s="2" t="s">
        <v>202</v>
      </c>
      <c r="C9" s="4">
        <f>COUNTIFS(Resp4[Vínculo],"tecnico",Resp4[4.136],B9)</f>
        <v>0</v>
      </c>
      <c r="D9" s="4">
        <f>COUNTIFS(Resp4[Vínculo],"docente",Resp4[4.136],B9)</f>
        <v>1</v>
      </c>
      <c r="E9" s="4">
        <f>COUNTIF(Resp4[4.136],B9)</f>
        <v>1</v>
      </c>
      <c r="F9" s="3">
        <f t="shared" si="0"/>
        <v>4.17</v>
      </c>
      <c r="G9" s="3">
        <f t="shared" si="1"/>
        <v>16.667000000000002</v>
      </c>
    </row>
    <row r="10" spans="1:7" x14ac:dyDescent="0.25">
      <c r="B10" s="2" t="s">
        <v>30</v>
      </c>
      <c r="C10" s="4">
        <f>COUNTIFS(Resp4[Vínculo],"tecnico",Resp4[4.136],B10)</f>
        <v>0</v>
      </c>
      <c r="D10" s="4">
        <f>COUNTIFS(Resp4[Vínculo],"docente",Resp4[4.136],B10)</f>
        <v>1</v>
      </c>
      <c r="E10" s="4">
        <f>COUNTIF(Resp4[4.136],B10)</f>
        <v>1</v>
      </c>
      <c r="F10" s="3">
        <f t="shared" si="0"/>
        <v>4.17</v>
      </c>
      <c r="G10" s="3">
        <f t="shared" si="1"/>
        <v>16.667000000000002</v>
      </c>
    </row>
    <row r="11" spans="1:7" x14ac:dyDescent="0.25">
      <c r="B11" s="2" t="s">
        <v>200</v>
      </c>
      <c r="C11" s="4">
        <f>COUNTIFS(Resp4[Vínculo],"tecnico",Resp4[4.136],B11)</f>
        <v>0</v>
      </c>
      <c r="D11" s="4">
        <f>COUNTIFS(Resp4[Vínculo],"docente",Resp4[4.136],B11)</f>
        <v>1</v>
      </c>
      <c r="E11" s="4">
        <f>COUNTIF(Resp4[4.136],B11)</f>
        <v>1</v>
      </c>
      <c r="F11" s="3">
        <f t="shared" si="0"/>
        <v>4.17</v>
      </c>
      <c r="G11" s="3">
        <f t="shared" si="1"/>
        <v>16.667000000000002</v>
      </c>
    </row>
    <row r="12" spans="1:7" x14ac:dyDescent="0.25">
      <c r="B12" s="7" t="s">
        <v>197</v>
      </c>
      <c r="C12" s="4">
        <f>COUNTIFS(Resp4[Vínculo],"tecnico",Resp4[4.136],B12)</f>
        <v>1</v>
      </c>
      <c r="D12" s="4">
        <f>COUNTIFS(Resp4[Vínculo],"docente",Resp4[4.136],B12)</f>
        <v>0</v>
      </c>
      <c r="E12" s="4">
        <f>COUNTIF(Resp4[4.136],B12)</f>
        <v>1</v>
      </c>
      <c r="F12" s="24">
        <f t="shared" si="0"/>
        <v>4.17</v>
      </c>
      <c r="G12" s="3">
        <f t="shared" si="1"/>
        <v>16.667000000000002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3">
        <f t="shared" si="0"/>
        <v>100</v>
      </c>
      <c r="G13" s="9">
        <f>SUM(G7:G12)</f>
        <v>100.00200000000001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40</v>
      </c>
    </row>
    <row r="26" spans="2:7" x14ac:dyDescent="0.25">
      <c r="B26" s="16" t="s">
        <v>203</v>
      </c>
      <c r="C26" s="16" t="s">
        <v>23</v>
      </c>
      <c r="D26" s="14">
        <f>D7</f>
        <v>1</v>
      </c>
      <c r="E26" s="15">
        <f>ROUND(D26/SUM(D$25:D$28)*100,3)</f>
        <v>20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20</v>
      </c>
    </row>
    <row r="28" spans="2:7" x14ac:dyDescent="0.25">
      <c r="B28" s="32" t="s">
        <v>33</v>
      </c>
      <c r="C28" s="32" t="s">
        <v>32</v>
      </c>
      <c r="D28" s="18">
        <f>SUM(D11:D12)</f>
        <v>1</v>
      </c>
      <c r="E28" s="19">
        <f>ROUND(D28/SUM(D$25:D$28)*100,3)</f>
        <v>20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2.57031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64</v>
      </c>
    </row>
    <row r="2" spans="1:7" x14ac:dyDescent="0.25">
      <c r="A2" s="2" t="str">
        <f>TEXT(A1,"0.00")</f>
        <v>4.08</v>
      </c>
      <c r="B2" s="2" t="str">
        <f>VLOOKUP(A$2,Eixo4[],3,FALSE)</f>
        <v>Com relação ao ensino da graduação, avalie: [O planejamento, a organização e as orientações para a realização da Feira de Profissões]</v>
      </c>
    </row>
    <row r="3" spans="1:7" x14ac:dyDescent="0.25">
      <c r="A3" s="2" t="s">
        <v>494</v>
      </c>
      <c r="B3" s="2" t="str">
        <f>VLOOKUP(A$2,Eixo4[],4,FALSE)</f>
        <v>Eixo 4: Questão 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0</v>
      </c>
      <c r="E6" s="4">
        <f>E13-SUM(E7:E12)</f>
        <v>9</v>
      </c>
      <c r="F6" s="4">
        <f>ROUND($E6/E$13*100,2)</f>
        <v>37.5</v>
      </c>
    </row>
    <row r="7" spans="1:7" x14ac:dyDescent="0.25">
      <c r="B7" s="2" t="s">
        <v>203</v>
      </c>
      <c r="C7" s="4">
        <f>COUNTIFS(Resp4[Vínculo],"tecnico",Resp4[4.08],B7)</f>
        <v>0</v>
      </c>
      <c r="D7" s="4">
        <f>COUNTIFS(Resp4[Vínculo],"docente",Resp4[4.08],B7)</f>
        <v>1</v>
      </c>
      <c r="E7" s="4">
        <f>COUNTIF(Resp4[4.08],B7)</f>
        <v>1</v>
      </c>
      <c r="F7" s="4">
        <f t="shared" ref="F7:F13" si="0">ROUND($E7/E$13*100,2)</f>
        <v>4.17</v>
      </c>
      <c r="G7" s="3">
        <f t="shared" ref="G7:G12" si="1">ROUND($E7/SUM($E$7:$E$12)*100,3)</f>
        <v>6.6669999999999998</v>
      </c>
    </row>
    <row r="8" spans="1:7" x14ac:dyDescent="0.25">
      <c r="B8" s="2" t="s">
        <v>204</v>
      </c>
      <c r="C8" s="4">
        <f>COUNTIFS(Resp4[Vínculo],"tecnico",Resp4[4.08],B8)</f>
        <v>0</v>
      </c>
      <c r="D8" s="4">
        <f>COUNTIFS(Resp4[Vínculo],"docente",Resp4[4.08],B8)</f>
        <v>2</v>
      </c>
      <c r="E8" s="4">
        <f>COUNTIF(Resp4[4.08],B8)</f>
        <v>2</v>
      </c>
      <c r="F8" s="4">
        <f t="shared" si="0"/>
        <v>8.33</v>
      </c>
      <c r="G8" s="3">
        <f t="shared" si="1"/>
        <v>13.333</v>
      </c>
    </row>
    <row r="9" spans="1:7" x14ac:dyDescent="0.25">
      <c r="B9" s="2" t="s">
        <v>202</v>
      </c>
      <c r="C9" s="4">
        <f>COUNTIFS(Resp4[Vínculo],"tecnico",Resp4[4.08],B9)</f>
        <v>1</v>
      </c>
      <c r="D9" s="4">
        <f>COUNTIFS(Resp4[Vínculo],"docente",Resp4[4.08],B9)</f>
        <v>1</v>
      </c>
      <c r="E9" s="4">
        <f>COUNTIF(Resp4[4.08],B9)</f>
        <v>2</v>
      </c>
      <c r="F9" s="4">
        <f t="shared" si="0"/>
        <v>8.33</v>
      </c>
      <c r="G9" s="3">
        <f t="shared" si="1"/>
        <v>13.333</v>
      </c>
    </row>
    <row r="10" spans="1:7" x14ac:dyDescent="0.25">
      <c r="B10" s="2" t="s">
        <v>30</v>
      </c>
      <c r="C10" s="4">
        <f>COUNTIFS(Resp4[Vínculo],"tecnico",Resp4[4.08],B10)</f>
        <v>1</v>
      </c>
      <c r="D10" s="4">
        <f>COUNTIFS(Resp4[Vínculo],"docente",Resp4[4.08],B10)</f>
        <v>5</v>
      </c>
      <c r="E10" s="4">
        <f>COUNTIF(Resp4[4.08],B10)</f>
        <v>6</v>
      </c>
      <c r="F10" s="4">
        <f t="shared" si="0"/>
        <v>25</v>
      </c>
      <c r="G10" s="3">
        <f t="shared" si="1"/>
        <v>40</v>
      </c>
    </row>
    <row r="11" spans="1:7" x14ac:dyDescent="0.25">
      <c r="B11" s="2" t="s">
        <v>200</v>
      </c>
      <c r="C11" s="4">
        <f>COUNTIFS(Resp4[Vínculo],"tecnico",Resp4[4.08],B11)</f>
        <v>0</v>
      </c>
      <c r="D11" s="4">
        <f>COUNTIFS(Resp4[Vínculo],"docente",Resp4[4.08],B11)</f>
        <v>3</v>
      </c>
      <c r="E11" s="4">
        <f>COUNTIF(Resp4[4.08],B11)</f>
        <v>3</v>
      </c>
      <c r="F11" s="4">
        <f t="shared" si="0"/>
        <v>12.5</v>
      </c>
      <c r="G11" s="3">
        <f t="shared" si="1"/>
        <v>20</v>
      </c>
    </row>
    <row r="12" spans="1:7" x14ac:dyDescent="0.25">
      <c r="B12" s="7" t="s">
        <v>197</v>
      </c>
      <c r="C12" s="4">
        <f>COUNTIFS(Resp4[Vínculo],"tecnico",Resp4[4.08],B12)</f>
        <v>0</v>
      </c>
      <c r="D12" s="4">
        <f>COUNTIFS(Resp4[Vínculo],"docente",Resp4[4.08],B12)</f>
        <v>1</v>
      </c>
      <c r="E12" s="4">
        <f>COUNTIF(Resp4[4.08],B12)</f>
        <v>1</v>
      </c>
      <c r="F12" s="22">
        <f t="shared" si="0"/>
        <v>4.17</v>
      </c>
      <c r="G12" s="3">
        <f t="shared" si="1"/>
        <v>6.6669999999999998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50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23.077000000000002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7.6920000000000002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38.462000000000003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30.768999999999998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3.425781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65</v>
      </c>
    </row>
    <row r="2" spans="1:7" x14ac:dyDescent="0.25">
      <c r="A2" s="2" t="str">
        <f>TEXT(A1,"0.00")</f>
        <v>4.09</v>
      </c>
      <c r="B2" s="2" t="str">
        <f>VLOOKUP(A$2,Eixo4[],3,FALSE)</f>
        <v>Com relação ao ensino da graduação, avalie: [As políticas de orientação de revisão curricular para a implantação de disciplinas híbridas]</v>
      </c>
    </row>
    <row r="3" spans="1:7" x14ac:dyDescent="0.25">
      <c r="A3" s="2" t="s">
        <v>494</v>
      </c>
      <c r="B3" s="2" t="str">
        <f>VLOOKUP(A$2,Eixo4[],4,FALSE)</f>
        <v>Eixo 4: Questão 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0</v>
      </c>
      <c r="E6" s="4">
        <f>E13-SUM(E7:E12)</f>
        <v>9</v>
      </c>
      <c r="F6" s="4">
        <f>ROUND($E6/E$13*100,2)</f>
        <v>37.5</v>
      </c>
    </row>
    <row r="7" spans="1:7" x14ac:dyDescent="0.25">
      <c r="B7" s="2" t="s">
        <v>203</v>
      </c>
      <c r="C7" s="4">
        <f>COUNTIFS(Resp4[Vínculo],"tecnico",Resp4[4.09],B7)</f>
        <v>1</v>
      </c>
      <c r="D7" s="4">
        <f>COUNTIFS(Resp4[Vínculo],"docente",Resp4[4.09],B7)</f>
        <v>5</v>
      </c>
      <c r="E7" s="4">
        <f>COUNTIF(Resp4[4.09],B7)</f>
        <v>6</v>
      </c>
      <c r="F7" s="4">
        <f t="shared" ref="F7:F13" si="0">ROUND($E7/E$13*100,2)</f>
        <v>25</v>
      </c>
      <c r="G7" s="3">
        <f t="shared" ref="G7:G12" si="1">ROUND($E7/SUM($E$7:$E$12)*100,3)</f>
        <v>40</v>
      </c>
    </row>
    <row r="8" spans="1:7" x14ac:dyDescent="0.25">
      <c r="B8" s="2" t="s">
        <v>204</v>
      </c>
      <c r="C8" s="4">
        <f>COUNTIFS(Resp4[Vínculo],"tecnico",Resp4[4.09],B8)</f>
        <v>0</v>
      </c>
      <c r="D8" s="4">
        <f>COUNTIFS(Resp4[Vínculo],"docente",Resp4[4.09],B8)</f>
        <v>1</v>
      </c>
      <c r="E8" s="4">
        <f>COUNTIF(Resp4[4.09],B8)</f>
        <v>1</v>
      </c>
      <c r="F8" s="4">
        <f t="shared" si="0"/>
        <v>4.17</v>
      </c>
      <c r="G8" s="3">
        <f t="shared" si="1"/>
        <v>6.6669999999999998</v>
      </c>
    </row>
    <row r="9" spans="1:7" x14ac:dyDescent="0.25">
      <c r="B9" s="2" t="s">
        <v>202</v>
      </c>
      <c r="C9" s="4">
        <f>COUNTIFS(Resp4[Vínculo],"tecnico",Resp4[4.09],B9)</f>
        <v>0</v>
      </c>
      <c r="D9" s="4">
        <f>COUNTIFS(Resp4[Vínculo],"docente",Resp4[4.09],B9)</f>
        <v>2</v>
      </c>
      <c r="E9" s="4">
        <f>COUNTIF(Resp4[4.09],B9)</f>
        <v>2</v>
      </c>
      <c r="F9" s="4">
        <f t="shared" si="0"/>
        <v>8.33</v>
      </c>
      <c r="G9" s="3">
        <f t="shared" si="1"/>
        <v>13.333</v>
      </c>
    </row>
    <row r="10" spans="1:7" x14ac:dyDescent="0.25">
      <c r="B10" s="2" t="s">
        <v>30</v>
      </c>
      <c r="C10" s="4">
        <f>COUNTIFS(Resp4[Vínculo],"tecnico",Resp4[4.09],B10)</f>
        <v>1</v>
      </c>
      <c r="D10" s="4">
        <f>COUNTIFS(Resp4[Vínculo],"docente",Resp4[4.09],B10)</f>
        <v>3</v>
      </c>
      <c r="E10" s="4">
        <f>COUNTIF(Resp4[4.09],B10)</f>
        <v>4</v>
      </c>
      <c r="F10" s="4">
        <f t="shared" si="0"/>
        <v>16.670000000000002</v>
      </c>
      <c r="G10" s="3">
        <f t="shared" si="1"/>
        <v>26.667000000000002</v>
      </c>
    </row>
    <row r="11" spans="1:7" x14ac:dyDescent="0.25">
      <c r="B11" s="2" t="s">
        <v>200</v>
      </c>
      <c r="C11" s="4">
        <f>COUNTIFS(Resp4[Vínculo],"tecnico",Resp4[4.09],B11)</f>
        <v>0</v>
      </c>
      <c r="D11" s="4">
        <f>COUNTIFS(Resp4[Vínculo],"docente",Resp4[4.09],B11)</f>
        <v>2</v>
      </c>
      <c r="E11" s="4">
        <f>COUNTIF(Resp4[4.09],B11)</f>
        <v>2</v>
      </c>
      <c r="F11" s="4">
        <f t="shared" si="0"/>
        <v>8.33</v>
      </c>
      <c r="G11" s="3">
        <f t="shared" si="1"/>
        <v>13.333</v>
      </c>
    </row>
    <row r="12" spans="1:7" x14ac:dyDescent="0.25">
      <c r="B12" s="7" t="s">
        <v>197</v>
      </c>
      <c r="C12" s="4">
        <f>COUNTIFS(Resp4[Vínculo],"tecnico",Resp4[4.09],B12)</f>
        <v>0</v>
      </c>
      <c r="D12" s="4">
        <f>COUNTIFS(Resp4[Vínculo],"docente",Resp4[4.09],B12)</f>
        <v>0</v>
      </c>
      <c r="E12" s="22">
        <f>COUNTIF(Resp4[4.09],B12)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2">
        <f>SUM(C13:D13)</f>
        <v>24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1</v>
      </c>
      <c r="E19" s="15">
        <f t="shared" ref="E19:E21" si="2">ROUND(D19/SUM(D$18:D$21)*100,3)</f>
        <v>50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23.077000000000002</v>
      </c>
    </row>
    <row r="26" spans="2:7" x14ac:dyDescent="0.25">
      <c r="B26" s="16" t="s">
        <v>505</v>
      </c>
      <c r="C26" s="16" t="s">
        <v>23</v>
      </c>
      <c r="D26" s="14">
        <f>D7</f>
        <v>5</v>
      </c>
      <c r="E26" s="15">
        <f>ROUND(D26/SUM(D$25:D$28)*100,3)</f>
        <v>38.462000000000003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23.077000000000002</v>
      </c>
    </row>
    <row r="28" spans="2:7" x14ac:dyDescent="0.25">
      <c r="B28" s="32" t="s">
        <v>33</v>
      </c>
      <c r="C28" s="32" t="s">
        <v>32</v>
      </c>
      <c r="D28" s="18">
        <f>SUM(D11:D12)</f>
        <v>2</v>
      </c>
      <c r="E28" s="19">
        <f>ROUND(D28/SUM(D$25:D$28)*100,3)</f>
        <v>15.385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8554687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66</v>
      </c>
    </row>
    <row r="2" spans="1:7" x14ac:dyDescent="0.25">
      <c r="A2" s="2" t="str">
        <f>TEXT(A1,"0.00")</f>
        <v>4.10</v>
      </c>
      <c r="B2" s="2" t="str">
        <f>VLOOKUP(A$2,Eixo4[],3,FALSE)</f>
        <v>Com relação ao ensino da graduação, avalie: [As políticas de revisão curricular para adequação aos objetivos institucionais, às demandas sociais e às necessidades individuais]</v>
      </c>
    </row>
    <row r="3" spans="1:7" x14ac:dyDescent="0.25">
      <c r="A3" s="2" t="s">
        <v>494</v>
      </c>
      <c r="B3" s="2" t="str">
        <f>VLOOKUP(A$2,Eixo4[],4,FALSE)</f>
        <v>Eixo 4: Questão 10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0</v>
      </c>
      <c r="E6" s="4">
        <f>E13-SUM(E7:E12)</f>
        <v>9</v>
      </c>
      <c r="F6" s="4">
        <f>ROUND($E6/E$13*100,2)</f>
        <v>37.5</v>
      </c>
    </row>
    <row r="7" spans="1:7" x14ac:dyDescent="0.25">
      <c r="B7" s="2" t="s">
        <v>203</v>
      </c>
      <c r="C7" s="4">
        <f>COUNTIFS(Resp4[Vínculo],"tecnico",Resp4[4.10],B7)</f>
        <v>0</v>
      </c>
      <c r="D7" s="4">
        <f>COUNTIFS(Resp4[Vínculo],"docente",Resp4[4.10],B7)</f>
        <v>3</v>
      </c>
      <c r="E7" s="4">
        <f>COUNTIF(Resp4[4.10],B7)</f>
        <v>3</v>
      </c>
      <c r="F7" s="4">
        <f t="shared" ref="F7:F13" si="0">ROUND($E7/E$13*100,2)</f>
        <v>12.5</v>
      </c>
      <c r="G7" s="3">
        <f t="shared" ref="G7:G12" si="1">ROUND($E7/SUM($E$7:$E$12)*100,3)</f>
        <v>20</v>
      </c>
    </row>
    <row r="8" spans="1:7" x14ac:dyDescent="0.25">
      <c r="B8" s="2" t="s">
        <v>204</v>
      </c>
      <c r="C8" s="4">
        <f>COUNTIFS(Resp4[Vínculo],"tecnico",Resp4[4.10],B8)</f>
        <v>0</v>
      </c>
      <c r="D8" s="4">
        <f>COUNTIFS(Resp4[Vínculo],"docente",Resp4[4.10],B8)</f>
        <v>1</v>
      </c>
      <c r="E8" s="4">
        <f>COUNTIF(Resp4[4.10],B8)</f>
        <v>1</v>
      </c>
      <c r="F8" s="4">
        <f t="shared" si="0"/>
        <v>4.17</v>
      </c>
      <c r="G8" s="3">
        <f t="shared" si="1"/>
        <v>6.6669999999999998</v>
      </c>
    </row>
    <row r="9" spans="1:7" x14ac:dyDescent="0.25">
      <c r="B9" s="2" t="s">
        <v>202</v>
      </c>
      <c r="C9" s="4">
        <f>COUNTIFS(Resp4[Vínculo],"tecnico",Resp4[4.10],B9)</f>
        <v>1</v>
      </c>
      <c r="D9" s="4">
        <f>COUNTIFS(Resp4[Vínculo],"docente",Resp4[4.10],B9)</f>
        <v>1</v>
      </c>
      <c r="E9" s="4">
        <f>COUNTIF(Resp4[4.10],B9)</f>
        <v>2</v>
      </c>
      <c r="F9" s="4">
        <f t="shared" si="0"/>
        <v>8.33</v>
      </c>
      <c r="G9" s="3">
        <f t="shared" si="1"/>
        <v>13.333</v>
      </c>
    </row>
    <row r="10" spans="1:7" x14ac:dyDescent="0.25">
      <c r="B10" s="2" t="s">
        <v>30</v>
      </c>
      <c r="C10" s="4">
        <f>COUNTIFS(Resp4[Vínculo],"tecnico",Resp4[4.10],B10)</f>
        <v>1</v>
      </c>
      <c r="D10" s="4">
        <f>COUNTIFS(Resp4[Vínculo],"docente",Resp4[4.10],B10)</f>
        <v>5</v>
      </c>
      <c r="E10" s="4">
        <f>COUNTIF(Resp4[4.10],B10)</f>
        <v>6</v>
      </c>
      <c r="F10" s="4">
        <f t="shared" si="0"/>
        <v>25</v>
      </c>
      <c r="G10" s="3">
        <f t="shared" si="1"/>
        <v>40</v>
      </c>
    </row>
    <row r="11" spans="1:7" x14ac:dyDescent="0.25">
      <c r="B11" s="2" t="s">
        <v>200</v>
      </c>
      <c r="C11" s="4">
        <f>COUNTIFS(Resp4[Vínculo],"tecnico",Resp4[4.10],B11)</f>
        <v>0</v>
      </c>
      <c r="D11" s="4">
        <f>COUNTIFS(Resp4[Vínculo],"docente",Resp4[4.10],B11)</f>
        <v>2</v>
      </c>
      <c r="E11" s="4">
        <f>COUNTIF(Resp4[4.10],B11)</f>
        <v>2</v>
      </c>
      <c r="F11" s="4">
        <f t="shared" si="0"/>
        <v>8.33</v>
      </c>
      <c r="G11" s="3">
        <f t="shared" si="1"/>
        <v>13.333</v>
      </c>
    </row>
    <row r="12" spans="1:7" x14ac:dyDescent="0.25">
      <c r="B12" s="7" t="s">
        <v>197</v>
      </c>
      <c r="C12" s="4">
        <f>COUNTIFS(Resp4[Vínculo],"tecnico",Resp4[4.10],B12)</f>
        <v>0</v>
      </c>
      <c r="D12" s="4">
        <f>COUNTIFS(Resp4[Vínculo],"docente",Resp4[4.10],B12)</f>
        <v>1</v>
      </c>
      <c r="E12" s="4">
        <f>COUNTIF(Resp4[4.10],B12)</f>
        <v>1</v>
      </c>
      <c r="F12" s="22">
        <f t="shared" si="0"/>
        <v>4.17</v>
      </c>
      <c r="G12" s="3">
        <f t="shared" si="1"/>
        <v>6.6669999999999998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50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15.385</v>
      </c>
    </row>
    <row r="26" spans="2:7" x14ac:dyDescent="0.25">
      <c r="B26" s="16" t="s">
        <v>203</v>
      </c>
      <c r="C26" s="16" t="s">
        <v>23</v>
      </c>
      <c r="D26" s="14">
        <f>D7</f>
        <v>3</v>
      </c>
      <c r="E26" s="15">
        <f>ROUND(D26/SUM(D$25:D$28)*100,3)</f>
        <v>23.077000000000002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38.462000000000003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23.077000000000002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9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67</v>
      </c>
    </row>
    <row r="2" spans="1:7" x14ac:dyDescent="0.25">
      <c r="A2" s="2" t="str">
        <f>TEXT(A1,"0.00")</f>
        <v>4.11</v>
      </c>
      <c r="B2" s="2" t="str">
        <f>VLOOKUP(A$2,Eixo4[],3,FALSE)</f>
        <v>Com relação ao ensino da graduação, avalie: [As políticas e ações que visam à redução da evasão nos cursos]</v>
      </c>
    </row>
    <row r="3" spans="1:7" x14ac:dyDescent="0.25">
      <c r="A3" s="2" t="s">
        <v>494</v>
      </c>
      <c r="B3" s="2" t="str">
        <f>VLOOKUP(A$2,Eixo4[],4,FALSE)</f>
        <v>Eixo 4: Questão 11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0</v>
      </c>
      <c r="E6" s="4">
        <f>E13-SUM(E7:E12)</f>
        <v>9</v>
      </c>
      <c r="F6" s="4">
        <f>ROUND($E6/E$13*100,2)</f>
        <v>37.5</v>
      </c>
    </row>
    <row r="7" spans="1:7" x14ac:dyDescent="0.25">
      <c r="B7" s="2" t="s">
        <v>203</v>
      </c>
      <c r="C7" s="4">
        <f>COUNTIFS(Resp4[Vínculo],"tecnico",Resp4[4.11],B7)</f>
        <v>0</v>
      </c>
      <c r="D7" s="4">
        <f>COUNTIFS(Resp4[Vínculo],"docente",Resp4[4.11],B7)</f>
        <v>2</v>
      </c>
      <c r="E7" s="4">
        <f>COUNTIF(Resp4[4.11],B7)</f>
        <v>2</v>
      </c>
      <c r="F7" s="4">
        <f t="shared" ref="F7:F13" si="0">ROUND($E7/E$13*100,2)</f>
        <v>8.33</v>
      </c>
      <c r="G7" s="3">
        <f t="shared" ref="G7:G12" si="1">ROUND($E7/SUM($E$7:$E$12)*100,3)</f>
        <v>13.333</v>
      </c>
    </row>
    <row r="8" spans="1:7" x14ac:dyDescent="0.25">
      <c r="B8" s="2" t="s">
        <v>204</v>
      </c>
      <c r="C8" s="4">
        <f>COUNTIFS(Resp4[Vínculo],"tecnico",Resp4[4.11],B8)</f>
        <v>0</v>
      </c>
      <c r="D8" s="4">
        <f>COUNTIFS(Resp4[Vínculo],"docente",Resp4[4.11],B8)</f>
        <v>2</v>
      </c>
      <c r="E8" s="4">
        <f>COUNTIF(Resp4[4.11],B8)</f>
        <v>2</v>
      </c>
      <c r="F8" s="4">
        <f t="shared" si="0"/>
        <v>8.33</v>
      </c>
      <c r="G8" s="3">
        <f t="shared" si="1"/>
        <v>13.333</v>
      </c>
    </row>
    <row r="9" spans="1:7" x14ac:dyDescent="0.25">
      <c r="B9" s="2" t="s">
        <v>202</v>
      </c>
      <c r="C9" s="4">
        <f>COUNTIFS(Resp4[Vínculo],"tecnico",Resp4[4.11],B9)</f>
        <v>2</v>
      </c>
      <c r="D9" s="4">
        <f>COUNTIFS(Resp4[Vínculo],"docente",Resp4[4.11],B9)</f>
        <v>1</v>
      </c>
      <c r="E9" s="4">
        <f>COUNTIF(Resp4[4.11],B9)</f>
        <v>3</v>
      </c>
      <c r="F9" s="4">
        <f t="shared" si="0"/>
        <v>12.5</v>
      </c>
      <c r="G9" s="3">
        <f t="shared" si="1"/>
        <v>20</v>
      </c>
    </row>
    <row r="10" spans="1:7" x14ac:dyDescent="0.25">
      <c r="B10" s="2" t="s">
        <v>30</v>
      </c>
      <c r="C10" s="4">
        <f>COUNTIFS(Resp4[Vínculo],"tecnico",Resp4[4.11],B10)</f>
        <v>0</v>
      </c>
      <c r="D10" s="4">
        <f>COUNTIFS(Resp4[Vínculo],"docente",Resp4[4.11],B10)</f>
        <v>6</v>
      </c>
      <c r="E10" s="4">
        <f>COUNTIF(Resp4[4.11],B10)</f>
        <v>6</v>
      </c>
      <c r="F10" s="4">
        <f t="shared" si="0"/>
        <v>25</v>
      </c>
      <c r="G10" s="3">
        <f t="shared" si="1"/>
        <v>40</v>
      </c>
    </row>
    <row r="11" spans="1:7" x14ac:dyDescent="0.25">
      <c r="B11" s="2" t="s">
        <v>200</v>
      </c>
      <c r="C11" s="4">
        <f>COUNTIFS(Resp4[Vínculo],"tecnico",Resp4[4.11],B11)</f>
        <v>0</v>
      </c>
      <c r="D11" s="4">
        <f>COUNTIFS(Resp4[Vínculo],"docente",Resp4[4.11],B11)</f>
        <v>0</v>
      </c>
      <c r="E11" s="4">
        <f>COUNTIF(Resp4[4.11],B11)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197</v>
      </c>
      <c r="C12" s="4">
        <f>COUNTIFS(Resp4[Vínculo],"tecnico",Resp4[4.11],B12)</f>
        <v>0</v>
      </c>
      <c r="D12" s="4">
        <f>COUNTIFS(Resp4[Vínculo],"docente",Resp4[4.11],B12)</f>
        <v>2</v>
      </c>
      <c r="E12" s="4">
        <f>COUNTIF(Resp4[4.11],B12)</f>
        <v>2</v>
      </c>
      <c r="F12" s="22">
        <f t="shared" si="0"/>
        <v>8.33</v>
      </c>
      <c r="G12" s="3">
        <f t="shared" si="1"/>
        <v>13.333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2</v>
      </c>
      <c r="E18" s="15">
        <f>ROUND(D18/SUM(D$18:D$21)*100,3)</f>
        <v>100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23.077000000000002</v>
      </c>
    </row>
    <row r="26" spans="2:7" x14ac:dyDescent="0.25">
      <c r="B26" s="16" t="s">
        <v>505</v>
      </c>
      <c r="C26" s="16" t="s">
        <v>23</v>
      </c>
      <c r="D26" s="14">
        <f>D7</f>
        <v>2</v>
      </c>
      <c r="E26" s="15">
        <f>ROUND(D26/SUM(D$25:D$28)*100,3)</f>
        <v>15.385</v>
      </c>
    </row>
    <row r="27" spans="2:7" x14ac:dyDescent="0.25">
      <c r="B27" s="17" t="s">
        <v>30</v>
      </c>
      <c r="C27" s="17" t="s">
        <v>29</v>
      </c>
      <c r="D27" s="14">
        <f>D10</f>
        <v>6</v>
      </c>
      <c r="E27" s="15">
        <f>ROUND(D27/SUM(D$25:D$28)*100,3)</f>
        <v>46.154000000000003</v>
      </c>
    </row>
    <row r="28" spans="2:7" x14ac:dyDescent="0.25">
      <c r="B28" s="32" t="s">
        <v>33</v>
      </c>
      <c r="C28" s="32" t="s">
        <v>32</v>
      </c>
      <c r="D28" s="18">
        <f>SUM(D11:D12)</f>
        <v>2</v>
      </c>
      <c r="E28" s="19">
        <f>ROUND(D28/SUM(D$25:D$28)*100,3)</f>
        <v>15.385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8.8554687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68</v>
      </c>
    </row>
    <row r="2" spans="1:7" x14ac:dyDescent="0.25">
      <c r="A2" s="2" t="str">
        <f>TEXT(A1,"0.00")</f>
        <v>4.12</v>
      </c>
      <c r="B2" s="2" t="str">
        <f>VLOOKUP(A$2,Eixo4[],3,FALSE)</f>
        <v>Com relação ao ensino da graduação, avalie: [As políticas e ações de acompanhamento de egressos visando à atualização do currículo conforme demanda da sociedade e do mercado de trabalho]</v>
      </c>
    </row>
    <row r="3" spans="1:7" x14ac:dyDescent="0.25">
      <c r="A3" s="2" t="s">
        <v>494</v>
      </c>
      <c r="B3" s="2" t="str">
        <f>VLOOKUP(A$2,Eixo4[],4,FALSE)</f>
        <v>Eixo 4: Questão 12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0</v>
      </c>
      <c r="E6" s="4">
        <f>E13-SUM(E7:E12)</f>
        <v>9</v>
      </c>
      <c r="F6" s="4">
        <f>ROUND($E6/E$13*100,2)</f>
        <v>37.5</v>
      </c>
    </row>
    <row r="7" spans="1:7" x14ac:dyDescent="0.25">
      <c r="B7" s="2" t="s">
        <v>203</v>
      </c>
      <c r="C7" s="4">
        <f>COUNTIFS(Resp4[Vínculo],"tecnico",Resp4[4.12],B7)</f>
        <v>0</v>
      </c>
      <c r="D7" s="4">
        <f>COUNTIFS(Resp4[Vínculo],"docente",Resp4[4.12],B7)</f>
        <v>1</v>
      </c>
      <c r="E7" s="4">
        <f>COUNTIF(Resp4[4.12],B7)</f>
        <v>1</v>
      </c>
      <c r="F7" s="4">
        <f t="shared" ref="F7:F13" si="0">ROUND($E7/E$13*100,2)</f>
        <v>4.17</v>
      </c>
      <c r="G7" s="3">
        <f t="shared" ref="G7:G12" si="1">ROUND($E7/SUM($E$7:$E$12)*100,3)</f>
        <v>6.6669999999999998</v>
      </c>
    </row>
    <row r="8" spans="1:7" x14ac:dyDescent="0.25">
      <c r="B8" s="2" t="s">
        <v>204</v>
      </c>
      <c r="C8" s="4">
        <f>COUNTIFS(Resp4[Vínculo],"tecnico",Resp4[4.12],B8)</f>
        <v>1</v>
      </c>
      <c r="D8" s="4">
        <f>COUNTIFS(Resp4[Vínculo],"docente",Resp4[4.12],B8)</f>
        <v>4</v>
      </c>
      <c r="E8" s="4">
        <f>COUNTIF(Resp4[4.12],B8)</f>
        <v>5</v>
      </c>
      <c r="F8" s="4">
        <f t="shared" si="0"/>
        <v>20.83</v>
      </c>
      <c r="G8" s="3">
        <f t="shared" si="1"/>
        <v>33.332999999999998</v>
      </c>
    </row>
    <row r="9" spans="1:7" x14ac:dyDescent="0.25">
      <c r="B9" s="2" t="s">
        <v>202</v>
      </c>
      <c r="C9" s="4">
        <f>COUNTIFS(Resp4[Vínculo],"tecnico",Resp4[4.12],B9)</f>
        <v>1</v>
      </c>
      <c r="D9" s="4">
        <f>COUNTIFS(Resp4[Vínculo],"docente",Resp4[4.12],B9)</f>
        <v>1</v>
      </c>
      <c r="E9" s="4">
        <f>COUNTIF(Resp4[4.12],B9)</f>
        <v>2</v>
      </c>
      <c r="F9" s="4">
        <f t="shared" si="0"/>
        <v>8.33</v>
      </c>
      <c r="G9" s="3">
        <f t="shared" si="1"/>
        <v>13.333</v>
      </c>
    </row>
    <row r="10" spans="1:7" x14ac:dyDescent="0.25">
      <c r="B10" s="2" t="s">
        <v>30</v>
      </c>
      <c r="C10" s="4">
        <f>COUNTIFS(Resp4[Vínculo],"tecnico",Resp4[4.12],B10)</f>
        <v>0</v>
      </c>
      <c r="D10" s="4">
        <f>COUNTIFS(Resp4[Vínculo],"docente",Resp4[4.12],B10)</f>
        <v>4</v>
      </c>
      <c r="E10" s="4">
        <f>COUNTIF(Resp4[4.12],B10)</f>
        <v>4</v>
      </c>
      <c r="F10" s="4">
        <f t="shared" si="0"/>
        <v>16.670000000000002</v>
      </c>
      <c r="G10" s="3">
        <f t="shared" si="1"/>
        <v>26.667000000000002</v>
      </c>
    </row>
    <row r="11" spans="1:7" x14ac:dyDescent="0.25">
      <c r="B11" s="2" t="s">
        <v>200</v>
      </c>
      <c r="C11" s="4">
        <f>COUNTIFS(Resp4[Vínculo],"tecnico",Resp4[4.12],B11)</f>
        <v>0</v>
      </c>
      <c r="D11" s="4">
        <f>COUNTIFS(Resp4[Vínculo],"docente",Resp4[4.12],B11)</f>
        <v>2</v>
      </c>
      <c r="E11" s="4">
        <f>COUNTIF(Resp4[4.12],B11)</f>
        <v>2</v>
      </c>
      <c r="F11" s="4">
        <f t="shared" si="0"/>
        <v>8.33</v>
      </c>
      <c r="G11" s="3">
        <f t="shared" si="1"/>
        <v>13.333</v>
      </c>
    </row>
    <row r="12" spans="1:7" x14ac:dyDescent="0.25">
      <c r="B12" s="7" t="s">
        <v>197</v>
      </c>
      <c r="C12" s="4">
        <f>COUNTIFS(Resp4[Vínculo],"tecnico",Resp4[4.12],B12)</f>
        <v>0</v>
      </c>
      <c r="D12" s="4">
        <f>COUNTIFS(Resp4[Vínculo],"docente",Resp4[4.12],B12)</f>
        <v>1</v>
      </c>
      <c r="E12" s="4">
        <f>COUNTIF(Resp4[4.12],B12)</f>
        <v>1</v>
      </c>
      <c r="F12" s="22">
        <f t="shared" si="0"/>
        <v>4.17</v>
      </c>
      <c r="G12" s="3">
        <f t="shared" si="1"/>
        <v>6.6669999999999998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4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2</v>
      </c>
      <c r="E18" s="15">
        <f>ROUND(D18/SUM(D$18:D$21)*100,3)</f>
        <v>100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5</v>
      </c>
      <c r="E25" s="15">
        <f>ROUND(D25/SUM(D$25:D$28)*100,3)</f>
        <v>38.462000000000003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7.6920000000000002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30.768999999999998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23.077000000000002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5.710937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69</v>
      </c>
    </row>
    <row r="2" spans="1:7" x14ac:dyDescent="0.25">
      <c r="A2" s="2" t="str">
        <f>TEXT(A1,"0.00")</f>
        <v>4.13</v>
      </c>
      <c r="B2" s="2" t="str">
        <f>VLOOKUP(A$2,Eixo4[],3,FALSE)</f>
        <v>Com relação ao ensino da graduação, avalie: [Os programas de monitoria e tutoria com vistas a diminuir a retenção nos cursos]</v>
      </c>
    </row>
    <row r="3" spans="1:7" x14ac:dyDescent="0.25">
      <c r="A3" s="2" t="s">
        <v>494</v>
      </c>
      <c r="B3" s="2" t="str">
        <f>VLOOKUP(A$2,Eixo4[],4,FALSE)</f>
        <v>Eixo 4: Questão 13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0</v>
      </c>
      <c r="E6" s="4">
        <f>E13-SUM(E7:E12)</f>
        <v>9</v>
      </c>
      <c r="F6" s="4">
        <f>ROUND($E6/E$13*100,2)</f>
        <v>37.5</v>
      </c>
    </row>
    <row r="7" spans="1:7" x14ac:dyDescent="0.25">
      <c r="B7" s="2" t="s">
        <v>203</v>
      </c>
      <c r="C7" s="4">
        <f>COUNTIFS(Resp4[Vínculo],"tecnico",Resp4[4.13],B7)</f>
        <v>0</v>
      </c>
      <c r="D7" s="4">
        <f>COUNTIFS(Resp4[Vínculo],"docente",Resp4[4.13],B7)</f>
        <v>0</v>
      </c>
      <c r="E7" s="4">
        <f>COUNTIF(Resp4[4.13],B7)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COUNTIFS(Resp4[Vínculo],"tecnico",Resp4[4.13],B8)</f>
        <v>0</v>
      </c>
      <c r="D8" s="4">
        <f>COUNTIFS(Resp4[Vínculo],"docente",Resp4[4.13],B8)</f>
        <v>0</v>
      </c>
      <c r="E8" s="4">
        <f>COUNTIF(Resp4[4.13],B8)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COUNTIFS(Resp4[Vínculo],"tecnico",Resp4[4.13],B9)</f>
        <v>2</v>
      </c>
      <c r="D9" s="4">
        <f>COUNTIFS(Resp4[Vínculo],"docente",Resp4[4.13],B9)</f>
        <v>2</v>
      </c>
      <c r="E9" s="4">
        <f>COUNTIF(Resp4[4.13],B9)</f>
        <v>4</v>
      </c>
      <c r="F9" s="4">
        <f t="shared" si="0"/>
        <v>16.670000000000002</v>
      </c>
      <c r="G9" s="3">
        <f t="shared" si="1"/>
        <v>26.667000000000002</v>
      </c>
    </row>
    <row r="10" spans="1:7" x14ac:dyDescent="0.25">
      <c r="B10" s="2" t="s">
        <v>30</v>
      </c>
      <c r="C10" s="4">
        <f>COUNTIFS(Resp4[Vínculo],"tecnico",Resp4[4.13],B10)</f>
        <v>0</v>
      </c>
      <c r="D10" s="4">
        <f>COUNTIFS(Resp4[Vínculo],"docente",Resp4[4.13],B10)</f>
        <v>7</v>
      </c>
      <c r="E10" s="4">
        <f>COUNTIF(Resp4[4.13],B10)</f>
        <v>7</v>
      </c>
      <c r="F10" s="4">
        <f t="shared" si="0"/>
        <v>29.17</v>
      </c>
      <c r="G10" s="3">
        <f t="shared" si="1"/>
        <v>46.667000000000002</v>
      </c>
    </row>
    <row r="11" spans="1:7" x14ac:dyDescent="0.25">
      <c r="B11" s="2" t="s">
        <v>200</v>
      </c>
      <c r="C11" s="4">
        <f>COUNTIFS(Resp4[Vínculo],"tecnico",Resp4[4.13],B11)</f>
        <v>0</v>
      </c>
      <c r="D11" s="4">
        <f>COUNTIFS(Resp4[Vínculo],"docente",Resp4[4.13],B11)</f>
        <v>2</v>
      </c>
      <c r="E11" s="4">
        <f>COUNTIF(Resp4[4.13],B11)</f>
        <v>2</v>
      </c>
      <c r="F11" s="4">
        <f t="shared" si="0"/>
        <v>8.33</v>
      </c>
      <c r="G11" s="3">
        <f t="shared" si="1"/>
        <v>13.333</v>
      </c>
    </row>
    <row r="12" spans="1:7" x14ac:dyDescent="0.25">
      <c r="B12" s="7" t="s">
        <v>197</v>
      </c>
      <c r="C12" s="4">
        <f>COUNTIFS(Resp4[Vínculo],"tecnico",Resp4[4.13],B12)</f>
        <v>0</v>
      </c>
      <c r="D12" s="4">
        <f>COUNTIFS(Resp4[Vínculo],"docente",Resp4[4.13],B12)</f>
        <v>2</v>
      </c>
      <c r="E12" s="4">
        <f>COUNTIF(Resp4[4.13],B12)</f>
        <v>2</v>
      </c>
      <c r="F12" s="22">
        <f t="shared" si="0"/>
        <v>8.33</v>
      </c>
      <c r="G12" s="3">
        <f t="shared" si="1"/>
        <v>13.333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2</v>
      </c>
      <c r="E18" s="15">
        <f>ROUND(D18/SUM(D$18:D$21)*100,3)</f>
        <v>100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15.385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7</v>
      </c>
      <c r="E27" s="15">
        <f>ROUND(D27/SUM(D$25:D$28)*100,3)</f>
        <v>53.845999999999997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30.768999999999998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H1437"/>
  <sheetViews>
    <sheetView topLeftCell="A1413" zoomScale="80" zoomScaleNormal="80" workbookViewId="0">
      <selection activeCell="A1414" sqref="A1414:EH1437"/>
    </sheetView>
  </sheetViews>
  <sheetFormatPr defaultColWidth="23.42578125" defaultRowHeight="23.25" customHeight="1" x14ac:dyDescent="0.25"/>
  <cols>
    <col min="1" max="1" width="10.140625" bestFit="1" customWidth="1"/>
    <col min="2" max="2" width="9.85546875" bestFit="1" customWidth="1"/>
    <col min="3" max="3" width="7.28515625" bestFit="1" customWidth="1"/>
    <col min="4" max="19" width="17.5703125" bestFit="1" customWidth="1"/>
    <col min="20" max="21" width="7.28515625" bestFit="1" customWidth="1"/>
    <col min="22" max="25" width="17.5703125" bestFit="1" customWidth="1"/>
    <col min="26" max="26" width="8.5703125" bestFit="1" customWidth="1"/>
    <col min="27" max="34" width="17.5703125" bestFit="1" customWidth="1"/>
    <col min="35" max="35" width="7.28515625" bestFit="1" customWidth="1"/>
    <col min="36" max="38" width="17.5703125" bestFit="1" customWidth="1"/>
    <col min="39" max="39" width="10.7109375" bestFit="1" customWidth="1"/>
    <col min="40" max="40" width="7.28515625" bestFit="1" customWidth="1"/>
    <col min="41" max="46" width="17.5703125" bestFit="1" customWidth="1"/>
    <col min="47" max="47" width="9.85546875" bestFit="1" customWidth="1"/>
    <col min="48" max="50" width="17.5703125" bestFit="1" customWidth="1"/>
    <col min="51" max="51" width="10.7109375" bestFit="1" customWidth="1"/>
    <col min="52" max="53" width="7.28515625" bestFit="1" customWidth="1"/>
    <col min="54" max="71" width="17.5703125" bestFit="1" customWidth="1"/>
    <col min="72" max="72" width="10.7109375" bestFit="1" customWidth="1"/>
    <col min="73" max="79" width="12.7109375" bestFit="1" customWidth="1"/>
    <col min="80" max="80" width="7.28515625" bestFit="1" customWidth="1"/>
    <col min="81" max="81" width="36.5703125" bestFit="1" customWidth="1"/>
    <col min="82" max="87" width="7.28515625" bestFit="1" customWidth="1"/>
    <col min="88" max="114" width="17.5703125" bestFit="1" customWidth="1"/>
    <col min="115" max="116" width="8.28515625" bestFit="1" customWidth="1"/>
    <col min="117" max="130" width="17.5703125" bestFit="1" customWidth="1"/>
    <col min="131" max="132" width="8.28515625" bestFit="1" customWidth="1"/>
    <col min="133" max="138" width="17.5703125" bestFit="1" customWidth="1"/>
  </cols>
  <sheetData>
    <row r="1" spans="1:138" ht="23.25" customHeight="1" x14ac:dyDescent="0.25">
      <c r="A1" s="1" t="s">
        <v>55</v>
      </c>
      <c r="B1" t="s">
        <v>56</v>
      </c>
      <c r="C1" t="s">
        <v>57</v>
      </c>
      <c r="D1" t="s">
        <v>58</v>
      </c>
      <c r="E1" t="s">
        <v>59</v>
      </c>
      <c r="F1" t="s">
        <v>60</v>
      </c>
      <c r="G1" t="s">
        <v>61</v>
      </c>
      <c r="H1" t="s">
        <v>62</v>
      </c>
      <c r="I1" t="s">
        <v>63</v>
      </c>
      <c r="J1" t="s">
        <v>64</v>
      </c>
      <c r="K1" t="s">
        <v>65</v>
      </c>
      <c r="L1" t="s">
        <v>66</v>
      </c>
      <c r="M1" t="s">
        <v>67</v>
      </c>
      <c r="N1" t="s">
        <v>68</v>
      </c>
      <c r="O1" t="s">
        <v>69</v>
      </c>
      <c r="P1" t="s">
        <v>70</v>
      </c>
      <c r="Q1" t="s">
        <v>71</v>
      </c>
      <c r="R1" t="s">
        <v>72</v>
      </c>
      <c r="S1" t="s">
        <v>73</v>
      </c>
      <c r="T1" t="s">
        <v>74</v>
      </c>
      <c r="U1" t="s">
        <v>75</v>
      </c>
      <c r="V1" t="s">
        <v>76</v>
      </c>
      <c r="W1" t="s">
        <v>77</v>
      </c>
      <c r="X1" t="s">
        <v>78</v>
      </c>
      <c r="Y1" t="s">
        <v>79</v>
      </c>
      <c r="Z1" t="s">
        <v>80</v>
      </c>
      <c r="AA1" t="s">
        <v>81</v>
      </c>
      <c r="AB1" t="s">
        <v>82</v>
      </c>
      <c r="AC1" t="s">
        <v>83</v>
      </c>
      <c r="AD1" t="s">
        <v>84</v>
      </c>
      <c r="AE1" t="s">
        <v>85</v>
      </c>
      <c r="AF1" t="s">
        <v>86</v>
      </c>
      <c r="AG1" t="s">
        <v>87</v>
      </c>
      <c r="AH1" t="s">
        <v>88</v>
      </c>
      <c r="AI1" t="s">
        <v>89</v>
      </c>
      <c r="AJ1" t="s">
        <v>90</v>
      </c>
      <c r="AK1" t="s">
        <v>91</v>
      </c>
      <c r="AL1" t="s">
        <v>92</v>
      </c>
      <c r="AM1" t="s">
        <v>93</v>
      </c>
      <c r="AN1" t="s">
        <v>94</v>
      </c>
      <c r="AO1" t="s">
        <v>95</v>
      </c>
      <c r="AP1" t="s">
        <v>96</v>
      </c>
      <c r="AQ1" t="s">
        <v>97</v>
      </c>
      <c r="AR1" t="s">
        <v>98</v>
      </c>
      <c r="AS1" t="s">
        <v>99</v>
      </c>
      <c r="AT1" t="s">
        <v>100</v>
      </c>
      <c r="AU1" t="s">
        <v>101</v>
      </c>
      <c r="AV1" t="s">
        <v>102</v>
      </c>
      <c r="AW1" t="s">
        <v>103</v>
      </c>
      <c r="AX1" t="s">
        <v>104</v>
      </c>
      <c r="AY1" t="s">
        <v>105</v>
      </c>
      <c r="AZ1" t="s">
        <v>106</v>
      </c>
      <c r="BA1" t="s">
        <v>107</v>
      </c>
      <c r="BB1" t="s">
        <v>108</v>
      </c>
      <c r="BC1" t="s">
        <v>109</v>
      </c>
      <c r="BD1" t="s">
        <v>110</v>
      </c>
      <c r="BE1" t="s">
        <v>111</v>
      </c>
      <c r="BF1" t="s">
        <v>112</v>
      </c>
      <c r="BG1" t="s">
        <v>113</v>
      </c>
      <c r="BH1" t="s">
        <v>114</v>
      </c>
      <c r="BI1" t="s">
        <v>115</v>
      </c>
      <c r="BJ1" t="s">
        <v>116</v>
      </c>
      <c r="BK1" t="s">
        <v>117</v>
      </c>
      <c r="BL1" t="s">
        <v>118</v>
      </c>
      <c r="BM1" t="s">
        <v>119</v>
      </c>
      <c r="BN1" t="s">
        <v>120</v>
      </c>
      <c r="BO1" t="s">
        <v>121</v>
      </c>
      <c r="BP1" t="s">
        <v>122</v>
      </c>
      <c r="BQ1" t="s">
        <v>123</v>
      </c>
      <c r="BR1" t="s">
        <v>124</v>
      </c>
      <c r="BS1" t="s">
        <v>125</v>
      </c>
      <c r="BT1" t="s">
        <v>126</v>
      </c>
      <c r="BU1" t="s">
        <v>127</v>
      </c>
      <c r="BV1" t="s">
        <v>128</v>
      </c>
      <c r="BW1" t="s">
        <v>129</v>
      </c>
      <c r="BX1" t="s">
        <v>130</v>
      </c>
      <c r="BY1" t="s">
        <v>131</v>
      </c>
      <c r="BZ1" t="s">
        <v>132</v>
      </c>
      <c r="CA1" t="s">
        <v>133</v>
      </c>
      <c r="CB1" t="s">
        <v>134</v>
      </c>
      <c r="CC1" t="s">
        <v>135</v>
      </c>
      <c r="CD1" t="s">
        <v>136</v>
      </c>
      <c r="CE1" t="s">
        <v>137</v>
      </c>
      <c r="CF1" t="s">
        <v>138</v>
      </c>
      <c r="CG1" t="s">
        <v>139</v>
      </c>
      <c r="CH1" t="s">
        <v>140</v>
      </c>
      <c r="CI1" t="s">
        <v>141</v>
      </c>
      <c r="CJ1" t="s">
        <v>142</v>
      </c>
      <c r="CK1" t="s">
        <v>143</v>
      </c>
      <c r="CL1" t="s">
        <v>144</v>
      </c>
      <c r="CM1" t="s">
        <v>145</v>
      </c>
      <c r="CN1" t="s">
        <v>146</v>
      </c>
      <c r="CO1" t="s">
        <v>147</v>
      </c>
      <c r="CP1" t="s">
        <v>148</v>
      </c>
      <c r="CQ1" t="s">
        <v>149</v>
      </c>
      <c r="CR1" t="s">
        <v>150</v>
      </c>
      <c r="CS1" t="s">
        <v>151</v>
      </c>
      <c r="CT1" t="s">
        <v>152</v>
      </c>
      <c r="CU1" t="s">
        <v>153</v>
      </c>
      <c r="CV1" t="s">
        <v>154</v>
      </c>
      <c r="CW1" t="s">
        <v>155</v>
      </c>
      <c r="CX1" t="s">
        <v>156</v>
      </c>
      <c r="CY1" t="s">
        <v>157</v>
      </c>
      <c r="CZ1" t="s">
        <v>158</v>
      </c>
      <c r="DA1" t="s">
        <v>159</v>
      </c>
      <c r="DB1" t="s">
        <v>160</v>
      </c>
      <c r="DC1" t="s">
        <v>161</v>
      </c>
      <c r="DD1" t="s">
        <v>162</v>
      </c>
      <c r="DE1" t="s">
        <v>163</v>
      </c>
      <c r="DF1" t="s">
        <v>164</v>
      </c>
      <c r="DG1" t="s">
        <v>165</v>
      </c>
      <c r="DH1" t="s">
        <v>166</v>
      </c>
      <c r="DI1" t="s">
        <v>167</v>
      </c>
      <c r="DJ1" t="s">
        <v>168</v>
      </c>
      <c r="DK1" t="s">
        <v>169</v>
      </c>
      <c r="DL1" t="s">
        <v>170</v>
      </c>
      <c r="DM1" t="s">
        <v>171</v>
      </c>
      <c r="DN1" t="s">
        <v>172</v>
      </c>
      <c r="DO1" t="s">
        <v>173</v>
      </c>
      <c r="DP1" t="s">
        <v>174</v>
      </c>
      <c r="DQ1" t="s">
        <v>175</v>
      </c>
      <c r="DR1" t="s">
        <v>176</v>
      </c>
      <c r="DS1" t="s">
        <v>177</v>
      </c>
      <c r="DT1" t="s">
        <v>178</v>
      </c>
      <c r="DU1" t="s">
        <v>179</v>
      </c>
      <c r="DV1" t="s">
        <v>180</v>
      </c>
      <c r="DW1" t="s">
        <v>181</v>
      </c>
      <c r="DX1" t="s">
        <v>182</v>
      </c>
      <c r="DY1" t="s">
        <v>183</v>
      </c>
      <c r="DZ1" t="s">
        <v>184</v>
      </c>
      <c r="EA1" t="s">
        <v>185</v>
      </c>
      <c r="EB1" t="s">
        <v>186</v>
      </c>
      <c r="EC1" t="s">
        <v>187</v>
      </c>
      <c r="ED1" t="s">
        <v>188</v>
      </c>
      <c r="EE1" t="s">
        <v>189</v>
      </c>
      <c r="EF1" t="s">
        <v>190</v>
      </c>
      <c r="EG1" t="s">
        <v>191</v>
      </c>
      <c r="EH1" t="s">
        <v>192</v>
      </c>
    </row>
    <row r="1414" spans="1:138" ht="23.25" customHeight="1" x14ac:dyDescent="0.25">
      <c r="A1414" s="98" t="s">
        <v>16</v>
      </c>
      <c r="B1414" s="99" t="s">
        <v>193</v>
      </c>
      <c r="C1414" s="99" t="s">
        <v>194</v>
      </c>
      <c r="D1414" s="99" t="s">
        <v>195</v>
      </c>
      <c r="E1414" s="99" t="s">
        <v>195</v>
      </c>
      <c r="F1414" s="99" t="s">
        <v>195</v>
      </c>
      <c r="G1414" s="99" t="s">
        <v>195</v>
      </c>
      <c r="H1414" s="99" t="s">
        <v>195</v>
      </c>
      <c r="I1414" s="99" t="s">
        <v>195</v>
      </c>
      <c r="J1414" s="99" t="s">
        <v>195</v>
      </c>
      <c r="K1414" s="99" t="s">
        <v>195</v>
      </c>
      <c r="L1414" s="99" t="s">
        <v>195</v>
      </c>
      <c r="M1414" s="99" t="s">
        <v>195</v>
      </c>
      <c r="N1414" s="99" t="s">
        <v>195</v>
      </c>
      <c r="O1414" s="99" t="s">
        <v>195</v>
      </c>
      <c r="P1414" s="99" t="s">
        <v>195</v>
      </c>
      <c r="Q1414" s="99" t="s">
        <v>195</v>
      </c>
      <c r="R1414" s="99" t="s">
        <v>195</v>
      </c>
      <c r="S1414" s="99" t="s">
        <v>195</v>
      </c>
      <c r="T1414" s="99"/>
      <c r="U1414" s="99" t="s">
        <v>194</v>
      </c>
      <c r="V1414" s="99" t="s">
        <v>195</v>
      </c>
      <c r="W1414" s="99" t="s">
        <v>195</v>
      </c>
      <c r="X1414" s="99" t="s">
        <v>195</v>
      </c>
      <c r="Y1414" s="99" t="s">
        <v>195</v>
      </c>
      <c r="Z1414" s="99" t="s">
        <v>196</v>
      </c>
      <c r="AA1414" s="99" t="s">
        <v>195</v>
      </c>
      <c r="AB1414" s="99" t="s">
        <v>195</v>
      </c>
      <c r="AC1414" s="99" t="s">
        <v>195</v>
      </c>
      <c r="AD1414" s="99" t="s">
        <v>195</v>
      </c>
      <c r="AE1414" s="99" t="s">
        <v>195</v>
      </c>
      <c r="AF1414" s="99" t="s">
        <v>195</v>
      </c>
      <c r="AG1414" s="99" t="s">
        <v>195</v>
      </c>
      <c r="AH1414" s="99" t="s">
        <v>195</v>
      </c>
      <c r="AI1414" s="99" t="s">
        <v>194</v>
      </c>
      <c r="AJ1414" s="99" t="s">
        <v>195</v>
      </c>
      <c r="AK1414" s="99" t="s">
        <v>195</v>
      </c>
      <c r="AL1414" s="99" t="s">
        <v>195</v>
      </c>
      <c r="AM1414" s="99"/>
      <c r="AN1414" s="99" t="s">
        <v>194</v>
      </c>
      <c r="AO1414" s="99" t="s">
        <v>195</v>
      </c>
      <c r="AP1414" s="99" t="s">
        <v>195</v>
      </c>
      <c r="AQ1414" s="99" t="s">
        <v>195</v>
      </c>
      <c r="AR1414" s="99" t="s">
        <v>195</v>
      </c>
      <c r="AS1414" s="99" t="s">
        <v>195</v>
      </c>
      <c r="AT1414" s="99" t="s">
        <v>195</v>
      </c>
      <c r="AU1414" s="99" t="s">
        <v>195</v>
      </c>
      <c r="AV1414" s="99" t="s">
        <v>195</v>
      </c>
      <c r="AW1414" s="99" t="s">
        <v>195</v>
      </c>
      <c r="AX1414" s="99" t="s">
        <v>195</v>
      </c>
      <c r="AY1414" s="99"/>
      <c r="AZ1414" s="99" t="s">
        <v>194</v>
      </c>
      <c r="BA1414" s="99" t="s">
        <v>194</v>
      </c>
      <c r="BB1414" s="99" t="s">
        <v>195</v>
      </c>
      <c r="BC1414" s="99" t="s">
        <v>195</v>
      </c>
      <c r="BD1414" s="99" t="s">
        <v>195</v>
      </c>
      <c r="BE1414" s="99" t="s">
        <v>195</v>
      </c>
      <c r="BF1414" s="99" t="s">
        <v>195</v>
      </c>
      <c r="BG1414" s="99" t="s">
        <v>195</v>
      </c>
      <c r="BH1414" s="99" t="s">
        <v>195</v>
      </c>
      <c r="BI1414" s="99" t="s">
        <v>195</v>
      </c>
      <c r="BJ1414" s="99" t="s">
        <v>195</v>
      </c>
      <c r="BK1414" s="99" t="s">
        <v>195</v>
      </c>
      <c r="BL1414" s="99" t="s">
        <v>195</v>
      </c>
      <c r="BM1414" s="99" t="s">
        <v>195</v>
      </c>
      <c r="BN1414" s="99" t="s">
        <v>195</v>
      </c>
      <c r="BO1414" s="99" t="s">
        <v>195</v>
      </c>
      <c r="BP1414" s="99" t="s">
        <v>195</v>
      </c>
      <c r="BQ1414" s="99" t="s">
        <v>195</v>
      </c>
      <c r="BR1414" s="99" t="s">
        <v>195</v>
      </c>
      <c r="BS1414" s="99" t="s">
        <v>195</v>
      </c>
      <c r="BT1414" s="99"/>
      <c r="BU1414" s="99" t="s">
        <v>197</v>
      </c>
      <c r="BV1414" s="99" t="s">
        <v>197</v>
      </c>
      <c r="BW1414" s="99" t="s">
        <v>197</v>
      </c>
      <c r="BX1414" s="99" t="s">
        <v>197</v>
      </c>
      <c r="BY1414" s="99" t="s">
        <v>197</v>
      </c>
      <c r="BZ1414" s="99" t="s">
        <v>197</v>
      </c>
      <c r="CA1414" s="99" t="s">
        <v>197</v>
      </c>
      <c r="CB1414" s="99"/>
      <c r="CC1414" s="99" t="s">
        <v>198</v>
      </c>
      <c r="CD1414" s="99"/>
      <c r="CE1414" s="99" t="s">
        <v>199</v>
      </c>
      <c r="CF1414" s="99"/>
      <c r="CG1414" s="99"/>
      <c r="CH1414" s="99"/>
      <c r="CI1414" s="99" t="s">
        <v>194</v>
      </c>
      <c r="CJ1414" s="99" t="s">
        <v>195</v>
      </c>
      <c r="CK1414" s="99" t="s">
        <v>195</v>
      </c>
      <c r="CL1414" s="99" t="s">
        <v>195</v>
      </c>
      <c r="CM1414" s="99" t="s">
        <v>195</v>
      </c>
      <c r="CN1414" s="99" t="s">
        <v>195</v>
      </c>
      <c r="CO1414" s="99" t="s">
        <v>195</v>
      </c>
      <c r="CP1414" s="99" t="s">
        <v>195</v>
      </c>
      <c r="CQ1414" s="99" t="s">
        <v>195</v>
      </c>
      <c r="CR1414" s="99" t="s">
        <v>195</v>
      </c>
      <c r="CS1414" s="99" t="s">
        <v>195</v>
      </c>
      <c r="CT1414" s="99" t="s">
        <v>195</v>
      </c>
      <c r="CU1414" s="99" t="s">
        <v>195</v>
      </c>
      <c r="CV1414" s="99" t="s">
        <v>195</v>
      </c>
      <c r="CW1414" s="99" t="s">
        <v>195</v>
      </c>
      <c r="CX1414" s="99" t="s">
        <v>195</v>
      </c>
      <c r="CY1414" s="99" t="s">
        <v>195</v>
      </c>
      <c r="CZ1414" s="99" t="s">
        <v>195</v>
      </c>
      <c r="DA1414" s="99" t="s">
        <v>195</v>
      </c>
      <c r="DB1414" s="99" t="s">
        <v>195</v>
      </c>
      <c r="DC1414" s="99" t="s">
        <v>195</v>
      </c>
      <c r="DD1414" s="99" t="s">
        <v>195</v>
      </c>
      <c r="DE1414" s="99" t="s">
        <v>195</v>
      </c>
      <c r="DF1414" s="99" t="s">
        <v>195</v>
      </c>
      <c r="DG1414" s="99" t="s">
        <v>195</v>
      </c>
      <c r="DH1414" s="99" t="s">
        <v>195</v>
      </c>
      <c r="DI1414" s="99" t="s">
        <v>195</v>
      </c>
      <c r="DJ1414" s="99" t="s">
        <v>195</v>
      </c>
      <c r="DK1414" s="99"/>
      <c r="DL1414" s="99" t="s">
        <v>194</v>
      </c>
      <c r="DM1414" s="99" t="s">
        <v>195</v>
      </c>
      <c r="DN1414" s="99" t="s">
        <v>195</v>
      </c>
      <c r="DO1414" s="99" t="s">
        <v>195</v>
      </c>
      <c r="DP1414" s="99" t="s">
        <v>195</v>
      </c>
      <c r="DQ1414" s="99" t="s">
        <v>195</v>
      </c>
      <c r="DR1414" s="99" t="s">
        <v>195</v>
      </c>
      <c r="DS1414" s="99" t="s">
        <v>195</v>
      </c>
      <c r="DT1414" s="99" t="s">
        <v>195</v>
      </c>
      <c r="DU1414" s="99" t="s">
        <v>195</v>
      </c>
      <c r="DV1414" s="99" t="s">
        <v>195</v>
      </c>
      <c r="DW1414" s="99" t="s">
        <v>195</v>
      </c>
      <c r="DX1414" s="99" t="s">
        <v>195</v>
      </c>
      <c r="DY1414" s="99" t="s">
        <v>195</v>
      </c>
      <c r="DZ1414" s="99" t="s">
        <v>195</v>
      </c>
      <c r="EA1414" s="99"/>
      <c r="EB1414" s="99" t="s">
        <v>194</v>
      </c>
      <c r="EC1414" s="99" t="s">
        <v>195</v>
      </c>
      <c r="ED1414" s="99" t="s">
        <v>195</v>
      </c>
      <c r="EE1414" s="99" t="s">
        <v>195</v>
      </c>
      <c r="EF1414" s="99" t="s">
        <v>195</v>
      </c>
      <c r="EG1414" s="99" t="s">
        <v>195</v>
      </c>
      <c r="EH1414" s="100" t="s">
        <v>195</v>
      </c>
    </row>
    <row r="1415" spans="1:138" ht="23.25" customHeight="1" x14ac:dyDescent="0.25">
      <c r="A1415" s="101" t="s">
        <v>17</v>
      </c>
      <c r="B1415" s="90" t="s">
        <v>193</v>
      </c>
      <c r="C1415" s="90" t="s">
        <v>199</v>
      </c>
      <c r="D1415" s="90" t="s">
        <v>197</v>
      </c>
      <c r="E1415" s="90" t="s">
        <v>197</v>
      </c>
      <c r="F1415" s="90" t="s">
        <v>197</v>
      </c>
      <c r="G1415" s="90" t="s">
        <v>197</v>
      </c>
      <c r="H1415" s="90" t="s">
        <v>197</v>
      </c>
      <c r="I1415" s="90" t="s">
        <v>197</v>
      </c>
      <c r="J1415" s="90" t="s">
        <v>197</v>
      </c>
      <c r="K1415" s="90" t="s">
        <v>200</v>
      </c>
      <c r="L1415" s="90" t="s">
        <v>197</v>
      </c>
      <c r="M1415" s="90" t="s">
        <v>197</v>
      </c>
      <c r="N1415" s="90" t="s">
        <v>197</v>
      </c>
      <c r="O1415" s="90" t="s">
        <v>197</v>
      </c>
      <c r="P1415" s="90" t="s">
        <v>197</v>
      </c>
      <c r="Q1415" s="90" t="s">
        <v>197</v>
      </c>
      <c r="R1415" s="90" t="s">
        <v>197</v>
      </c>
      <c r="S1415" s="90" t="s">
        <v>197</v>
      </c>
      <c r="T1415" s="90"/>
      <c r="U1415" s="90" t="s">
        <v>199</v>
      </c>
      <c r="V1415" s="90" t="s">
        <v>197</v>
      </c>
      <c r="W1415" s="90" t="s">
        <v>197</v>
      </c>
      <c r="X1415" s="90" t="s">
        <v>197</v>
      </c>
      <c r="Y1415" s="90" t="s">
        <v>197</v>
      </c>
      <c r="Z1415" s="90" t="s">
        <v>196</v>
      </c>
      <c r="AA1415" s="90" t="s">
        <v>197</v>
      </c>
      <c r="AB1415" s="90" t="s">
        <v>197</v>
      </c>
      <c r="AC1415" s="90" t="s">
        <v>200</v>
      </c>
      <c r="AD1415" s="90" t="s">
        <v>197</v>
      </c>
      <c r="AE1415" s="90" t="s">
        <v>195</v>
      </c>
      <c r="AF1415" s="90" t="s">
        <v>195</v>
      </c>
      <c r="AG1415" s="90" t="s">
        <v>195</v>
      </c>
      <c r="AH1415" s="90" t="s">
        <v>195</v>
      </c>
      <c r="AI1415" s="90" t="s">
        <v>199</v>
      </c>
      <c r="AJ1415" s="90" t="s">
        <v>197</v>
      </c>
      <c r="AK1415" s="90" t="s">
        <v>197</v>
      </c>
      <c r="AL1415" s="90" t="s">
        <v>197</v>
      </c>
      <c r="AM1415" s="90"/>
      <c r="AN1415" s="90" t="s">
        <v>199</v>
      </c>
      <c r="AO1415" s="90" t="s">
        <v>197</v>
      </c>
      <c r="AP1415" s="90" t="s">
        <v>197</v>
      </c>
      <c r="AQ1415" s="90" t="s">
        <v>197</v>
      </c>
      <c r="AR1415" s="90" t="s">
        <v>197</v>
      </c>
      <c r="AS1415" s="90" t="s">
        <v>200</v>
      </c>
      <c r="AT1415" s="90" t="s">
        <v>197</v>
      </c>
      <c r="AU1415" s="90" t="s">
        <v>197</v>
      </c>
      <c r="AV1415" s="90" t="s">
        <v>197</v>
      </c>
      <c r="AW1415" s="90" t="s">
        <v>197</v>
      </c>
      <c r="AX1415" s="90" t="s">
        <v>197</v>
      </c>
      <c r="AY1415" s="90"/>
      <c r="AZ1415" s="90" t="s">
        <v>199</v>
      </c>
      <c r="BA1415" s="90" t="s">
        <v>199</v>
      </c>
      <c r="BB1415" s="90" t="s">
        <v>197</v>
      </c>
      <c r="BC1415" s="90" t="s">
        <v>197</v>
      </c>
      <c r="BD1415" s="90" t="s">
        <v>197</v>
      </c>
      <c r="BE1415" s="90" t="s">
        <v>197</v>
      </c>
      <c r="BF1415" s="90" t="s">
        <v>197</v>
      </c>
      <c r="BG1415" s="90" t="s">
        <v>197</v>
      </c>
      <c r="BH1415" s="90" t="s">
        <v>197</v>
      </c>
      <c r="BI1415" s="90" t="s">
        <v>197</v>
      </c>
      <c r="BJ1415" s="90" t="s">
        <v>197</v>
      </c>
      <c r="BK1415" s="90" t="s">
        <v>197</v>
      </c>
      <c r="BL1415" s="90" t="s">
        <v>197</v>
      </c>
      <c r="BM1415" s="90" t="s">
        <v>197</v>
      </c>
      <c r="BN1415" s="90" t="s">
        <v>200</v>
      </c>
      <c r="BO1415" s="90" t="s">
        <v>197</v>
      </c>
      <c r="BP1415" s="90" t="s">
        <v>197</v>
      </c>
      <c r="BQ1415" s="90" t="s">
        <v>200</v>
      </c>
      <c r="BR1415" s="90" t="s">
        <v>197</v>
      </c>
      <c r="BS1415" s="90" t="s">
        <v>197</v>
      </c>
      <c r="BT1415" s="90"/>
      <c r="BU1415" s="90" t="s">
        <v>197</v>
      </c>
      <c r="BV1415" s="90" t="s">
        <v>197</v>
      </c>
      <c r="BW1415" s="90" t="s">
        <v>197</v>
      </c>
      <c r="BX1415" s="90" t="s">
        <v>197</v>
      </c>
      <c r="BY1415" s="90" t="s">
        <v>197</v>
      </c>
      <c r="BZ1415" s="90" t="s">
        <v>197</v>
      </c>
      <c r="CA1415" s="90" t="s">
        <v>197</v>
      </c>
      <c r="CB1415" s="90"/>
      <c r="CC1415" s="90" t="s">
        <v>201</v>
      </c>
      <c r="CD1415" s="90"/>
      <c r="CE1415" s="90" t="s">
        <v>199</v>
      </c>
      <c r="CF1415" s="90"/>
      <c r="CG1415" s="90"/>
      <c r="CH1415" s="90"/>
      <c r="CI1415" s="90" t="s">
        <v>199</v>
      </c>
      <c r="CJ1415" s="90" t="s">
        <v>197</v>
      </c>
      <c r="CK1415" s="90" t="s">
        <v>197</v>
      </c>
      <c r="CL1415" s="90" t="s">
        <v>197</v>
      </c>
      <c r="CM1415" s="90" t="s">
        <v>197</v>
      </c>
      <c r="CN1415" s="90" t="s">
        <v>197</v>
      </c>
      <c r="CO1415" s="90" t="s">
        <v>197</v>
      </c>
      <c r="CP1415" s="90" t="s">
        <v>197</v>
      </c>
      <c r="CQ1415" s="90" t="s">
        <v>197</v>
      </c>
      <c r="CR1415" s="90" t="s">
        <v>200</v>
      </c>
      <c r="CS1415" s="90" t="s">
        <v>197</v>
      </c>
      <c r="CT1415" s="90" t="s">
        <v>197</v>
      </c>
      <c r="CU1415" s="90" t="s">
        <v>197</v>
      </c>
      <c r="CV1415" s="90" t="s">
        <v>197</v>
      </c>
      <c r="CW1415" s="90" t="s">
        <v>197</v>
      </c>
      <c r="CX1415" s="90" t="s">
        <v>197</v>
      </c>
      <c r="CY1415" s="90" t="s">
        <v>197</v>
      </c>
      <c r="CZ1415" s="90" t="s">
        <v>197</v>
      </c>
      <c r="DA1415" s="90" t="s">
        <v>197</v>
      </c>
      <c r="DB1415" s="90" t="s">
        <v>197</v>
      </c>
      <c r="DC1415" s="90" t="s">
        <v>197</v>
      </c>
      <c r="DD1415" s="90" t="s">
        <v>197</v>
      </c>
      <c r="DE1415" s="90" t="s">
        <v>197</v>
      </c>
      <c r="DF1415" s="90" t="s">
        <v>197</v>
      </c>
      <c r="DG1415" s="90" t="s">
        <v>197</v>
      </c>
      <c r="DH1415" s="90" t="s">
        <v>197</v>
      </c>
      <c r="DI1415" s="90" t="s">
        <v>197</v>
      </c>
      <c r="DJ1415" s="90" t="s">
        <v>197</v>
      </c>
      <c r="DK1415" s="90"/>
      <c r="DL1415" s="90" t="s">
        <v>194</v>
      </c>
      <c r="DM1415" s="90" t="s">
        <v>195</v>
      </c>
      <c r="DN1415" s="90" t="s">
        <v>195</v>
      </c>
      <c r="DO1415" s="90" t="s">
        <v>195</v>
      </c>
      <c r="DP1415" s="90" t="s">
        <v>195</v>
      </c>
      <c r="DQ1415" s="90" t="s">
        <v>195</v>
      </c>
      <c r="DR1415" s="90" t="s">
        <v>195</v>
      </c>
      <c r="DS1415" s="90" t="s">
        <v>195</v>
      </c>
      <c r="DT1415" s="90" t="s">
        <v>195</v>
      </c>
      <c r="DU1415" s="90" t="s">
        <v>195</v>
      </c>
      <c r="DV1415" s="90" t="s">
        <v>195</v>
      </c>
      <c r="DW1415" s="90" t="s">
        <v>195</v>
      </c>
      <c r="DX1415" s="90" t="s">
        <v>195</v>
      </c>
      <c r="DY1415" s="90" t="s">
        <v>195</v>
      </c>
      <c r="DZ1415" s="90" t="s">
        <v>195</v>
      </c>
      <c r="EA1415" s="90"/>
      <c r="EB1415" s="90" t="s">
        <v>199</v>
      </c>
      <c r="EC1415" s="90" t="s">
        <v>200</v>
      </c>
      <c r="ED1415" s="90" t="s">
        <v>200</v>
      </c>
      <c r="EE1415" s="90" t="s">
        <v>197</v>
      </c>
      <c r="EF1415" s="90" t="s">
        <v>200</v>
      </c>
      <c r="EG1415" s="90" t="s">
        <v>197</v>
      </c>
      <c r="EH1415" s="102" t="s">
        <v>200</v>
      </c>
    </row>
    <row r="1416" spans="1:138" ht="23.25" customHeight="1" x14ac:dyDescent="0.25">
      <c r="A1416" s="98" t="s">
        <v>17</v>
      </c>
      <c r="B1416" s="99" t="s">
        <v>193</v>
      </c>
      <c r="C1416" s="99" t="s">
        <v>199</v>
      </c>
      <c r="D1416" s="99" t="s">
        <v>200</v>
      </c>
      <c r="E1416" s="99" t="s">
        <v>200</v>
      </c>
      <c r="F1416" s="99" t="s">
        <v>202</v>
      </c>
      <c r="G1416" s="99" t="s">
        <v>30</v>
      </c>
      <c r="H1416" s="99" t="s">
        <v>200</v>
      </c>
      <c r="I1416" s="99" t="s">
        <v>200</v>
      </c>
      <c r="J1416" s="99" t="s">
        <v>30</v>
      </c>
      <c r="K1416" s="99" t="s">
        <v>203</v>
      </c>
      <c r="L1416" s="99" t="s">
        <v>30</v>
      </c>
      <c r="M1416" s="99" t="s">
        <v>30</v>
      </c>
      <c r="N1416" s="99" t="s">
        <v>200</v>
      </c>
      <c r="O1416" s="99" t="s">
        <v>30</v>
      </c>
      <c r="P1416" s="99" t="s">
        <v>200</v>
      </c>
      <c r="Q1416" s="99" t="s">
        <v>200</v>
      </c>
      <c r="R1416" s="99" t="s">
        <v>200</v>
      </c>
      <c r="S1416" s="99" t="s">
        <v>202</v>
      </c>
      <c r="T1416" s="99"/>
      <c r="U1416" s="99" t="s">
        <v>194</v>
      </c>
      <c r="V1416" s="99" t="s">
        <v>195</v>
      </c>
      <c r="W1416" s="99" t="s">
        <v>195</v>
      </c>
      <c r="X1416" s="99" t="s">
        <v>195</v>
      </c>
      <c r="Y1416" s="99" t="s">
        <v>195</v>
      </c>
      <c r="Z1416" s="99" t="s">
        <v>196</v>
      </c>
      <c r="AA1416" s="99" t="s">
        <v>195</v>
      </c>
      <c r="AB1416" s="99" t="s">
        <v>195</v>
      </c>
      <c r="AC1416" s="99" t="s">
        <v>195</v>
      </c>
      <c r="AD1416" s="99" t="s">
        <v>195</v>
      </c>
      <c r="AE1416" s="99" t="s">
        <v>195</v>
      </c>
      <c r="AF1416" s="99" t="s">
        <v>195</v>
      </c>
      <c r="AG1416" s="99" t="s">
        <v>195</v>
      </c>
      <c r="AH1416" s="99" t="s">
        <v>195</v>
      </c>
      <c r="AI1416" s="99" t="s">
        <v>194</v>
      </c>
      <c r="AJ1416" s="99" t="s">
        <v>195</v>
      </c>
      <c r="AK1416" s="99" t="s">
        <v>195</v>
      </c>
      <c r="AL1416" s="99" t="s">
        <v>195</v>
      </c>
      <c r="AM1416" s="99"/>
      <c r="AN1416" s="99" t="s">
        <v>194</v>
      </c>
      <c r="AO1416" s="99" t="s">
        <v>195</v>
      </c>
      <c r="AP1416" s="99" t="s">
        <v>195</v>
      </c>
      <c r="AQ1416" s="99" t="s">
        <v>195</v>
      </c>
      <c r="AR1416" s="99" t="s">
        <v>195</v>
      </c>
      <c r="AS1416" s="99" t="s">
        <v>195</v>
      </c>
      <c r="AT1416" s="99" t="s">
        <v>195</v>
      </c>
      <c r="AU1416" s="99" t="s">
        <v>195</v>
      </c>
      <c r="AV1416" s="99" t="s">
        <v>195</v>
      </c>
      <c r="AW1416" s="99" t="s">
        <v>195</v>
      </c>
      <c r="AX1416" s="99" t="s">
        <v>195</v>
      </c>
      <c r="AY1416" s="99"/>
      <c r="AZ1416" s="99" t="s">
        <v>199</v>
      </c>
      <c r="BA1416" s="99" t="s">
        <v>199</v>
      </c>
      <c r="BB1416" s="99" t="s">
        <v>200</v>
      </c>
      <c r="BC1416" s="99" t="s">
        <v>200</v>
      </c>
      <c r="BD1416" s="99" t="s">
        <v>200</v>
      </c>
      <c r="BE1416" s="99" t="s">
        <v>200</v>
      </c>
      <c r="BF1416" s="99" t="s">
        <v>200</v>
      </c>
      <c r="BG1416" s="99" t="s">
        <v>200</v>
      </c>
      <c r="BH1416" s="99" t="s">
        <v>200</v>
      </c>
      <c r="BI1416" s="99" t="s">
        <v>200</v>
      </c>
      <c r="BJ1416" s="99" t="s">
        <v>200</v>
      </c>
      <c r="BK1416" s="99" t="s">
        <v>200</v>
      </c>
      <c r="BL1416" s="99" t="s">
        <v>197</v>
      </c>
      <c r="BM1416" s="99" t="s">
        <v>197</v>
      </c>
      <c r="BN1416" s="99" t="s">
        <v>202</v>
      </c>
      <c r="BO1416" s="99" t="s">
        <v>202</v>
      </c>
      <c r="BP1416" s="99" t="s">
        <v>200</v>
      </c>
      <c r="BQ1416" s="99" t="s">
        <v>30</v>
      </c>
      <c r="BR1416" s="99" t="s">
        <v>202</v>
      </c>
      <c r="BS1416" s="99" t="s">
        <v>203</v>
      </c>
      <c r="BT1416" s="99"/>
      <c r="BU1416" s="99" t="s">
        <v>197</v>
      </c>
      <c r="BV1416" s="99" t="s">
        <v>197</v>
      </c>
      <c r="BW1416" s="99" t="s">
        <v>197</v>
      </c>
      <c r="BX1416" s="99" t="s">
        <v>197</v>
      </c>
      <c r="BY1416" s="99" t="s">
        <v>197</v>
      </c>
      <c r="BZ1416" s="99" t="s">
        <v>197</v>
      </c>
      <c r="CA1416" s="99" t="s">
        <v>197</v>
      </c>
      <c r="CB1416" s="99"/>
      <c r="CC1416" s="99" t="s">
        <v>201</v>
      </c>
      <c r="CD1416" s="99"/>
      <c r="CE1416" s="99" t="s">
        <v>199</v>
      </c>
      <c r="CF1416" s="99"/>
      <c r="CG1416" s="99"/>
      <c r="CH1416" s="99"/>
      <c r="CI1416" s="99" t="s">
        <v>194</v>
      </c>
      <c r="CJ1416" s="99" t="s">
        <v>195</v>
      </c>
      <c r="CK1416" s="99" t="s">
        <v>195</v>
      </c>
      <c r="CL1416" s="99" t="s">
        <v>195</v>
      </c>
      <c r="CM1416" s="99" t="s">
        <v>195</v>
      </c>
      <c r="CN1416" s="99" t="s">
        <v>195</v>
      </c>
      <c r="CO1416" s="99" t="s">
        <v>195</v>
      </c>
      <c r="CP1416" s="99" t="s">
        <v>195</v>
      </c>
      <c r="CQ1416" s="99" t="s">
        <v>195</v>
      </c>
      <c r="CR1416" s="99" t="s">
        <v>195</v>
      </c>
      <c r="CS1416" s="99" t="s">
        <v>195</v>
      </c>
      <c r="CT1416" s="99" t="s">
        <v>195</v>
      </c>
      <c r="CU1416" s="99" t="s">
        <v>195</v>
      </c>
      <c r="CV1416" s="99" t="s">
        <v>195</v>
      </c>
      <c r="CW1416" s="99" t="s">
        <v>195</v>
      </c>
      <c r="CX1416" s="99" t="s">
        <v>195</v>
      </c>
      <c r="CY1416" s="99" t="s">
        <v>195</v>
      </c>
      <c r="CZ1416" s="99" t="s">
        <v>195</v>
      </c>
      <c r="DA1416" s="99" t="s">
        <v>195</v>
      </c>
      <c r="DB1416" s="99" t="s">
        <v>195</v>
      </c>
      <c r="DC1416" s="99" t="s">
        <v>195</v>
      </c>
      <c r="DD1416" s="99" t="s">
        <v>195</v>
      </c>
      <c r="DE1416" s="99" t="s">
        <v>195</v>
      </c>
      <c r="DF1416" s="99" t="s">
        <v>195</v>
      </c>
      <c r="DG1416" s="99" t="s">
        <v>195</v>
      </c>
      <c r="DH1416" s="99" t="s">
        <v>195</v>
      </c>
      <c r="DI1416" s="99" t="s">
        <v>195</v>
      </c>
      <c r="DJ1416" s="99" t="s">
        <v>195</v>
      </c>
      <c r="DK1416" s="99"/>
      <c r="DL1416" s="99" t="s">
        <v>194</v>
      </c>
      <c r="DM1416" s="99" t="s">
        <v>195</v>
      </c>
      <c r="DN1416" s="99" t="s">
        <v>195</v>
      </c>
      <c r="DO1416" s="99" t="s">
        <v>195</v>
      </c>
      <c r="DP1416" s="99" t="s">
        <v>195</v>
      </c>
      <c r="DQ1416" s="99" t="s">
        <v>195</v>
      </c>
      <c r="DR1416" s="99" t="s">
        <v>195</v>
      </c>
      <c r="DS1416" s="99" t="s">
        <v>195</v>
      </c>
      <c r="DT1416" s="99" t="s">
        <v>195</v>
      </c>
      <c r="DU1416" s="99" t="s">
        <v>195</v>
      </c>
      <c r="DV1416" s="99" t="s">
        <v>195</v>
      </c>
      <c r="DW1416" s="99" t="s">
        <v>195</v>
      </c>
      <c r="DX1416" s="99" t="s">
        <v>195</v>
      </c>
      <c r="DY1416" s="99" t="s">
        <v>195</v>
      </c>
      <c r="DZ1416" s="99" t="s">
        <v>195</v>
      </c>
      <c r="EA1416" s="99"/>
      <c r="EB1416" s="99" t="s">
        <v>194</v>
      </c>
      <c r="EC1416" s="99" t="s">
        <v>195</v>
      </c>
      <c r="ED1416" s="99" t="s">
        <v>195</v>
      </c>
      <c r="EE1416" s="99" t="s">
        <v>195</v>
      </c>
      <c r="EF1416" s="99" t="s">
        <v>195</v>
      </c>
      <c r="EG1416" s="99" t="s">
        <v>195</v>
      </c>
      <c r="EH1416" s="100" t="s">
        <v>195</v>
      </c>
    </row>
    <row r="1417" spans="1:138" ht="23.25" customHeight="1" x14ac:dyDescent="0.25">
      <c r="A1417" s="101" t="s">
        <v>17</v>
      </c>
      <c r="B1417" s="90" t="s">
        <v>193</v>
      </c>
      <c r="C1417" s="90" t="s">
        <v>199</v>
      </c>
      <c r="D1417" s="90" t="s">
        <v>197</v>
      </c>
      <c r="E1417" s="90" t="s">
        <v>197</v>
      </c>
      <c r="F1417" s="90" t="s">
        <v>200</v>
      </c>
      <c r="G1417" s="90" t="s">
        <v>30</v>
      </c>
      <c r="H1417" s="90" t="s">
        <v>200</v>
      </c>
      <c r="I1417" s="90" t="s">
        <v>200</v>
      </c>
      <c r="J1417" s="90" t="s">
        <v>200</v>
      </c>
      <c r="K1417" s="90" t="s">
        <v>30</v>
      </c>
      <c r="L1417" s="90" t="s">
        <v>30</v>
      </c>
      <c r="M1417" s="90" t="s">
        <v>30</v>
      </c>
      <c r="N1417" s="90" t="s">
        <v>30</v>
      </c>
      <c r="O1417" s="90" t="s">
        <v>30</v>
      </c>
      <c r="P1417" s="90" t="s">
        <v>200</v>
      </c>
      <c r="Q1417" s="90" t="s">
        <v>200</v>
      </c>
      <c r="R1417" s="90" t="s">
        <v>203</v>
      </c>
      <c r="S1417" s="90" t="s">
        <v>30</v>
      </c>
      <c r="T1417" s="90"/>
      <c r="U1417" s="90" t="s">
        <v>199</v>
      </c>
      <c r="V1417" s="90" t="s">
        <v>200</v>
      </c>
      <c r="W1417" s="90" t="s">
        <v>197</v>
      </c>
      <c r="X1417" s="90" t="s">
        <v>200</v>
      </c>
      <c r="Y1417" s="90" t="s">
        <v>197</v>
      </c>
      <c r="Z1417" s="90" t="s">
        <v>196</v>
      </c>
      <c r="AA1417" s="90" t="s">
        <v>203</v>
      </c>
      <c r="AB1417" s="90" t="s">
        <v>203</v>
      </c>
      <c r="AC1417" s="90" t="s">
        <v>203</v>
      </c>
      <c r="AD1417" s="90" t="s">
        <v>203</v>
      </c>
      <c r="AE1417" s="90" t="s">
        <v>195</v>
      </c>
      <c r="AF1417" s="90" t="s">
        <v>195</v>
      </c>
      <c r="AG1417" s="90" t="s">
        <v>195</v>
      </c>
      <c r="AH1417" s="90" t="s">
        <v>195</v>
      </c>
      <c r="AI1417" s="90" t="s">
        <v>199</v>
      </c>
      <c r="AJ1417" s="90" t="s">
        <v>197</v>
      </c>
      <c r="AK1417" s="90" t="s">
        <v>197</v>
      </c>
      <c r="AL1417" s="90" t="s">
        <v>200</v>
      </c>
      <c r="AM1417" s="90"/>
      <c r="AN1417" s="90" t="s">
        <v>199</v>
      </c>
      <c r="AO1417" s="90" t="s">
        <v>200</v>
      </c>
      <c r="AP1417" s="90" t="s">
        <v>200</v>
      </c>
      <c r="AQ1417" s="90" t="s">
        <v>30</v>
      </c>
      <c r="AR1417" s="90" t="s">
        <v>204</v>
      </c>
      <c r="AS1417" s="90" t="s">
        <v>202</v>
      </c>
      <c r="AT1417" s="90" t="s">
        <v>197</v>
      </c>
      <c r="AU1417" s="90" t="s">
        <v>200</v>
      </c>
      <c r="AV1417" s="90" t="s">
        <v>200</v>
      </c>
      <c r="AW1417" s="90" t="s">
        <v>200</v>
      </c>
      <c r="AX1417" s="90" t="s">
        <v>30</v>
      </c>
      <c r="AY1417" s="90"/>
      <c r="AZ1417" s="90" t="s">
        <v>199</v>
      </c>
      <c r="BA1417" s="90" t="s">
        <v>199</v>
      </c>
      <c r="BB1417" s="90" t="s">
        <v>30</v>
      </c>
      <c r="BC1417" s="90" t="s">
        <v>200</v>
      </c>
      <c r="BD1417" s="90" t="s">
        <v>200</v>
      </c>
      <c r="BE1417" s="90" t="s">
        <v>197</v>
      </c>
      <c r="BF1417" s="90" t="s">
        <v>197</v>
      </c>
      <c r="BG1417" s="90" t="s">
        <v>200</v>
      </c>
      <c r="BH1417" s="90" t="s">
        <v>197</v>
      </c>
      <c r="BI1417" s="90" t="s">
        <v>197</v>
      </c>
      <c r="BJ1417" s="90" t="s">
        <v>197</v>
      </c>
      <c r="BK1417" s="90" t="s">
        <v>30</v>
      </c>
      <c r="BL1417" s="90" t="s">
        <v>197</v>
      </c>
      <c r="BM1417" s="90" t="s">
        <v>197</v>
      </c>
      <c r="BN1417" s="90" t="s">
        <v>200</v>
      </c>
      <c r="BO1417" s="90" t="s">
        <v>202</v>
      </c>
      <c r="BP1417" s="90" t="s">
        <v>200</v>
      </c>
      <c r="BQ1417" s="90" t="s">
        <v>200</v>
      </c>
      <c r="BR1417" s="90" t="s">
        <v>202</v>
      </c>
      <c r="BS1417" s="90" t="s">
        <v>202</v>
      </c>
      <c r="BT1417" s="90"/>
      <c r="BU1417" s="90" t="s">
        <v>205</v>
      </c>
      <c r="BV1417" s="90" t="s">
        <v>205</v>
      </c>
      <c r="BW1417" s="90" t="s">
        <v>205</v>
      </c>
      <c r="BX1417" s="90" t="s">
        <v>205</v>
      </c>
      <c r="BY1417" s="90" t="s">
        <v>205</v>
      </c>
      <c r="BZ1417" s="90" t="s">
        <v>205</v>
      </c>
      <c r="CA1417" s="90" t="s">
        <v>205</v>
      </c>
      <c r="CB1417" s="90"/>
      <c r="CC1417" s="90" t="s">
        <v>201</v>
      </c>
      <c r="CD1417" s="90"/>
      <c r="CE1417" s="90" t="s">
        <v>199</v>
      </c>
      <c r="CF1417" s="90"/>
      <c r="CG1417" s="90"/>
      <c r="CH1417" s="90"/>
      <c r="CI1417" s="90" t="s">
        <v>199</v>
      </c>
      <c r="CJ1417" s="90" t="s">
        <v>200</v>
      </c>
      <c r="CK1417" s="90" t="s">
        <v>30</v>
      </c>
      <c r="CL1417" s="90" t="s">
        <v>200</v>
      </c>
      <c r="CM1417" s="90" t="s">
        <v>203</v>
      </c>
      <c r="CN1417" s="90" t="s">
        <v>203</v>
      </c>
      <c r="CO1417" s="90" t="s">
        <v>203</v>
      </c>
      <c r="CP1417" s="90" t="s">
        <v>197</v>
      </c>
      <c r="CQ1417" s="90" t="s">
        <v>200</v>
      </c>
      <c r="CR1417" s="90" t="s">
        <v>202</v>
      </c>
      <c r="CS1417" s="90" t="s">
        <v>200</v>
      </c>
      <c r="CT1417" s="90" t="s">
        <v>200</v>
      </c>
      <c r="CU1417" s="90" t="s">
        <v>200</v>
      </c>
      <c r="CV1417" s="90" t="s">
        <v>203</v>
      </c>
      <c r="CW1417" s="90" t="s">
        <v>197</v>
      </c>
      <c r="CX1417" s="90" t="s">
        <v>197</v>
      </c>
      <c r="CY1417" s="90" t="s">
        <v>200</v>
      </c>
      <c r="CZ1417" s="90" t="s">
        <v>200</v>
      </c>
      <c r="DA1417" s="90" t="s">
        <v>200</v>
      </c>
      <c r="DB1417" s="90" t="s">
        <v>203</v>
      </c>
      <c r="DC1417" s="90" t="s">
        <v>203</v>
      </c>
      <c r="DD1417" s="90" t="s">
        <v>203</v>
      </c>
      <c r="DE1417" s="90" t="s">
        <v>203</v>
      </c>
      <c r="DF1417" s="90" t="s">
        <v>203</v>
      </c>
      <c r="DG1417" s="90" t="s">
        <v>203</v>
      </c>
      <c r="DH1417" s="90" t="s">
        <v>203</v>
      </c>
      <c r="DI1417" s="90" t="s">
        <v>203</v>
      </c>
      <c r="DJ1417" s="90" t="s">
        <v>203</v>
      </c>
      <c r="DK1417" s="90"/>
      <c r="DL1417" s="90" t="s">
        <v>194</v>
      </c>
      <c r="DM1417" s="90" t="s">
        <v>195</v>
      </c>
      <c r="DN1417" s="90" t="s">
        <v>195</v>
      </c>
      <c r="DO1417" s="90" t="s">
        <v>195</v>
      </c>
      <c r="DP1417" s="90" t="s">
        <v>195</v>
      </c>
      <c r="DQ1417" s="90" t="s">
        <v>195</v>
      </c>
      <c r="DR1417" s="90" t="s">
        <v>195</v>
      </c>
      <c r="DS1417" s="90" t="s">
        <v>195</v>
      </c>
      <c r="DT1417" s="90" t="s">
        <v>195</v>
      </c>
      <c r="DU1417" s="90" t="s">
        <v>195</v>
      </c>
      <c r="DV1417" s="90" t="s">
        <v>195</v>
      </c>
      <c r="DW1417" s="90" t="s">
        <v>195</v>
      </c>
      <c r="DX1417" s="90" t="s">
        <v>195</v>
      </c>
      <c r="DY1417" s="90" t="s">
        <v>195</v>
      </c>
      <c r="DZ1417" s="90" t="s">
        <v>195</v>
      </c>
      <c r="EA1417" s="90"/>
      <c r="EB1417" s="90" t="s">
        <v>199</v>
      </c>
      <c r="EC1417" s="90" t="s">
        <v>203</v>
      </c>
      <c r="ED1417" s="90" t="s">
        <v>202</v>
      </c>
      <c r="EE1417" s="90" t="s">
        <v>203</v>
      </c>
      <c r="EF1417" s="90" t="s">
        <v>202</v>
      </c>
      <c r="EG1417" s="90" t="s">
        <v>30</v>
      </c>
      <c r="EH1417" s="102" t="s">
        <v>30</v>
      </c>
    </row>
    <row r="1418" spans="1:138" ht="23.25" customHeight="1" x14ac:dyDescent="0.25">
      <c r="A1418" s="98" t="s">
        <v>16</v>
      </c>
      <c r="B1418" s="99" t="s">
        <v>193</v>
      </c>
      <c r="C1418" s="99" t="s">
        <v>194</v>
      </c>
      <c r="D1418" s="99" t="s">
        <v>195</v>
      </c>
      <c r="E1418" s="99" t="s">
        <v>195</v>
      </c>
      <c r="F1418" s="99" t="s">
        <v>195</v>
      </c>
      <c r="G1418" s="99" t="s">
        <v>195</v>
      </c>
      <c r="H1418" s="99" t="s">
        <v>195</v>
      </c>
      <c r="I1418" s="99" t="s">
        <v>195</v>
      </c>
      <c r="J1418" s="99" t="s">
        <v>195</v>
      </c>
      <c r="K1418" s="99" t="s">
        <v>195</v>
      </c>
      <c r="L1418" s="99" t="s">
        <v>195</v>
      </c>
      <c r="M1418" s="99" t="s">
        <v>195</v>
      </c>
      <c r="N1418" s="99" t="s">
        <v>195</v>
      </c>
      <c r="O1418" s="99" t="s">
        <v>195</v>
      </c>
      <c r="P1418" s="99" t="s">
        <v>195</v>
      </c>
      <c r="Q1418" s="99" t="s">
        <v>195</v>
      </c>
      <c r="R1418" s="99" t="s">
        <v>195</v>
      </c>
      <c r="S1418" s="99" t="s">
        <v>195</v>
      </c>
      <c r="T1418" s="99"/>
      <c r="U1418" s="99" t="s">
        <v>194</v>
      </c>
      <c r="V1418" s="99" t="s">
        <v>195</v>
      </c>
      <c r="W1418" s="99" t="s">
        <v>195</v>
      </c>
      <c r="X1418" s="99" t="s">
        <v>195</v>
      </c>
      <c r="Y1418" s="99" t="s">
        <v>195</v>
      </c>
      <c r="Z1418" s="99" t="s">
        <v>196</v>
      </c>
      <c r="AA1418" s="99" t="s">
        <v>195</v>
      </c>
      <c r="AB1418" s="99" t="s">
        <v>195</v>
      </c>
      <c r="AC1418" s="99" t="s">
        <v>195</v>
      </c>
      <c r="AD1418" s="99" t="s">
        <v>195</v>
      </c>
      <c r="AE1418" s="99" t="s">
        <v>195</v>
      </c>
      <c r="AF1418" s="99" t="s">
        <v>195</v>
      </c>
      <c r="AG1418" s="99" t="s">
        <v>195</v>
      </c>
      <c r="AH1418" s="99" t="s">
        <v>195</v>
      </c>
      <c r="AI1418" s="99" t="s">
        <v>194</v>
      </c>
      <c r="AJ1418" s="99" t="s">
        <v>195</v>
      </c>
      <c r="AK1418" s="99" t="s">
        <v>195</v>
      </c>
      <c r="AL1418" s="99" t="s">
        <v>195</v>
      </c>
      <c r="AM1418" s="99"/>
      <c r="AN1418" s="99" t="s">
        <v>194</v>
      </c>
      <c r="AO1418" s="99" t="s">
        <v>195</v>
      </c>
      <c r="AP1418" s="99" t="s">
        <v>195</v>
      </c>
      <c r="AQ1418" s="99" t="s">
        <v>195</v>
      </c>
      <c r="AR1418" s="99" t="s">
        <v>195</v>
      </c>
      <c r="AS1418" s="99" t="s">
        <v>195</v>
      </c>
      <c r="AT1418" s="99" t="s">
        <v>195</v>
      </c>
      <c r="AU1418" s="99" t="s">
        <v>195</v>
      </c>
      <c r="AV1418" s="99" t="s">
        <v>195</v>
      </c>
      <c r="AW1418" s="99" t="s">
        <v>195</v>
      </c>
      <c r="AX1418" s="99" t="s">
        <v>195</v>
      </c>
      <c r="AY1418" s="99"/>
      <c r="AZ1418" s="99" t="s">
        <v>194</v>
      </c>
      <c r="BA1418" s="99" t="s">
        <v>194</v>
      </c>
      <c r="BB1418" s="99" t="s">
        <v>195</v>
      </c>
      <c r="BC1418" s="99" t="s">
        <v>195</v>
      </c>
      <c r="BD1418" s="99" t="s">
        <v>195</v>
      </c>
      <c r="BE1418" s="99" t="s">
        <v>195</v>
      </c>
      <c r="BF1418" s="99" t="s">
        <v>195</v>
      </c>
      <c r="BG1418" s="99" t="s">
        <v>195</v>
      </c>
      <c r="BH1418" s="99" t="s">
        <v>195</v>
      </c>
      <c r="BI1418" s="99" t="s">
        <v>195</v>
      </c>
      <c r="BJ1418" s="99" t="s">
        <v>195</v>
      </c>
      <c r="BK1418" s="99" t="s">
        <v>195</v>
      </c>
      <c r="BL1418" s="99" t="s">
        <v>195</v>
      </c>
      <c r="BM1418" s="99" t="s">
        <v>195</v>
      </c>
      <c r="BN1418" s="99" t="s">
        <v>195</v>
      </c>
      <c r="BO1418" s="99" t="s">
        <v>195</v>
      </c>
      <c r="BP1418" s="99" t="s">
        <v>195</v>
      </c>
      <c r="BQ1418" s="99" t="s">
        <v>195</v>
      </c>
      <c r="BR1418" s="99" t="s">
        <v>195</v>
      </c>
      <c r="BS1418" s="99" t="s">
        <v>195</v>
      </c>
      <c r="BT1418" s="99"/>
      <c r="BU1418" s="99" t="s">
        <v>30</v>
      </c>
      <c r="BV1418" s="99" t="s">
        <v>30</v>
      </c>
      <c r="BW1418" s="99" t="s">
        <v>200</v>
      </c>
      <c r="BX1418" s="99" t="s">
        <v>197</v>
      </c>
      <c r="BY1418" s="99" t="s">
        <v>200</v>
      </c>
      <c r="BZ1418" s="99" t="s">
        <v>200</v>
      </c>
      <c r="CA1418" s="99" t="s">
        <v>197</v>
      </c>
      <c r="CB1418" s="99"/>
      <c r="CC1418" s="99" t="s">
        <v>198</v>
      </c>
      <c r="CD1418" s="99"/>
      <c r="CE1418" s="99" t="s">
        <v>199</v>
      </c>
      <c r="CF1418" s="99"/>
      <c r="CG1418" s="99"/>
      <c r="CH1418" s="99"/>
      <c r="CI1418" s="99" t="s">
        <v>194</v>
      </c>
      <c r="CJ1418" s="99" t="s">
        <v>195</v>
      </c>
      <c r="CK1418" s="99" t="s">
        <v>195</v>
      </c>
      <c r="CL1418" s="99" t="s">
        <v>195</v>
      </c>
      <c r="CM1418" s="99" t="s">
        <v>195</v>
      </c>
      <c r="CN1418" s="99" t="s">
        <v>195</v>
      </c>
      <c r="CO1418" s="99" t="s">
        <v>195</v>
      </c>
      <c r="CP1418" s="99" t="s">
        <v>195</v>
      </c>
      <c r="CQ1418" s="99" t="s">
        <v>195</v>
      </c>
      <c r="CR1418" s="99" t="s">
        <v>195</v>
      </c>
      <c r="CS1418" s="99" t="s">
        <v>195</v>
      </c>
      <c r="CT1418" s="99" t="s">
        <v>195</v>
      </c>
      <c r="CU1418" s="99" t="s">
        <v>195</v>
      </c>
      <c r="CV1418" s="99" t="s">
        <v>195</v>
      </c>
      <c r="CW1418" s="99" t="s">
        <v>195</v>
      </c>
      <c r="CX1418" s="99" t="s">
        <v>195</v>
      </c>
      <c r="CY1418" s="99" t="s">
        <v>195</v>
      </c>
      <c r="CZ1418" s="99" t="s">
        <v>195</v>
      </c>
      <c r="DA1418" s="99" t="s">
        <v>195</v>
      </c>
      <c r="DB1418" s="99" t="s">
        <v>195</v>
      </c>
      <c r="DC1418" s="99" t="s">
        <v>195</v>
      </c>
      <c r="DD1418" s="99" t="s">
        <v>195</v>
      </c>
      <c r="DE1418" s="99" t="s">
        <v>195</v>
      </c>
      <c r="DF1418" s="99" t="s">
        <v>195</v>
      </c>
      <c r="DG1418" s="99" t="s">
        <v>195</v>
      </c>
      <c r="DH1418" s="99" t="s">
        <v>195</v>
      </c>
      <c r="DI1418" s="99" t="s">
        <v>195</v>
      </c>
      <c r="DJ1418" s="99" t="s">
        <v>195</v>
      </c>
      <c r="DK1418" s="99"/>
      <c r="DL1418" s="99" t="s">
        <v>194</v>
      </c>
      <c r="DM1418" s="99" t="s">
        <v>195</v>
      </c>
      <c r="DN1418" s="99" t="s">
        <v>195</v>
      </c>
      <c r="DO1418" s="99" t="s">
        <v>195</v>
      </c>
      <c r="DP1418" s="99" t="s">
        <v>195</v>
      </c>
      <c r="DQ1418" s="99" t="s">
        <v>195</v>
      </c>
      <c r="DR1418" s="99" t="s">
        <v>195</v>
      </c>
      <c r="DS1418" s="99" t="s">
        <v>195</v>
      </c>
      <c r="DT1418" s="99" t="s">
        <v>195</v>
      </c>
      <c r="DU1418" s="99" t="s">
        <v>195</v>
      </c>
      <c r="DV1418" s="99" t="s">
        <v>195</v>
      </c>
      <c r="DW1418" s="99" t="s">
        <v>195</v>
      </c>
      <c r="DX1418" s="99" t="s">
        <v>195</v>
      </c>
      <c r="DY1418" s="99" t="s">
        <v>195</v>
      </c>
      <c r="DZ1418" s="99" t="s">
        <v>195</v>
      </c>
      <c r="EA1418" s="99"/>
      <c r="EB1418" s="99" t="s">
        <v>194</v>
      </c>
      <c r="EC1418" s="99" t="s">
        <v>195</v>
      </c>
      <c r="ED1418" s="99" t="s">
        <v>195</v>
      </c>
      <c r="EE1418" s="99" t="s">
        <v>195</v>
      </c>
      <c r="EF1418" s="99" t="s">
        <v>195</v>
      </c>
      <c r="EG1418" s="99" t="s">
        <v>195</v>
      </c>
      <c r="EH1418" s="100" t="s">
        <v>195</v>
      </c>
    </row>
    <row r="1419" spans="1:138" ht="23.25" customHeight="1" x14ac:dyDescent="0.25">
      <c r="A1419" s="101" t="s">
        <v>16</v>
      </c>
      <c r="B1419" s="90" t="s">
        <v>193</v>
      </c>
      <c r="C1419" s="90" t="s">
        <v>194</v>
      </c>
      <c r="D1419" s="90" t="s">
        <v>195</v>
      </c>
      <c r="E1419" s="90" t="s">
        <v>195</v>
      </c>
      <c r="F1419" s="90" t="s">
        <v>195</v>
      </c>
      <c r="G1419" s="90" t="s">
        <v>195</v>
      </c>
      <c r="H1419" s="90" t="s">
        <v>195</v>
      </c>
      <c r="I1419" s="90" t="s">
        <v>195</v>
      </c>
      <c r="J1419" s="90" t="s">
        <v>195</v>
      </c>
      <c r="K1419" s="90" t="s">
        <v>195</v>
      </c>
      <c r="L1419" s="90" t="s">
        <v>195</v>
      </c>
      <c r="M1419" s="90" t="s">
        <v>195</v>
      </c>
      <c r="N1419" s="90" t="s">
        <v>195</v>
      </c>
      <c r="O1419" s="90" t="s">
        <v>195</v>
      </c>
      <c r="P1419" s="90" t="s">
        <v>195</v>
      </c>
      <c r="Q1419" s="90" t="s">
        <v>195</v>
      </c>
      <c r="R1419" s="90" t="s">
        <v>195</v>
      </c>
      <c r="S1419" s="90" t="s">
        <v>195</v>
      </c>
      <c r="T1419" s="90"/>
      <c r="U1419" s="90" t="s">
        <v>194</v>
      </c>
      <c r="V1419" s="90" t="s">
        <v>195</v>
      </c>
      <c r="W1419" s="90" t="s">
        <v>195</v>
      </c>
      <c r="X1419" s="90" t="s">
        <v>195</v>
      </c>
      <c r="Y1419" s="90" t="s">
        <v>195</v>
      </c>
      <c r="Z1419" s="90" t="s">
        <v>196</v>
      </c>
      <c r="AA1419" s="90" t="s">
        <v>195</v>
      </c>
      <c r="AB1419" s="90" t="s">
        <v>195</v>
      </c>
      <c r="AC1419" s="90" t="s">
        <v>195</v>
      </c>
      <c r="AD1419" s="90" t="s">
        <v>195</v>
      </c>
      <c r="AE1419" s="90" t="s">
        <v>195</v>
      </c>
      <c r="AF1419" s="90" t="s">
        <v>195</v>
      </c>
      <c r="AG1419" s="90" t="s">
        <v>195</v>
      </c>
      <c r="AH1419" s="90" t="s">
        <v>195</v>
      </c>
      <c r="AI1419" s="90" t="s">
        <v>194</v>
      </c>
      <c r="AJ1419" s="90" t="s">
        <v>195</v>
      </c>
      <c r="AK1419" s="90" t="s">
        <v>195</v>
      </c>
      <c r="AL1419" s="90" t="s">
        <v>195</v>
      </c>
      <c r="AM1419" s="90"/>
      <c r="AN1419" s="90" t="s">
        <v>194</v>
      </c>
      <c r="AO1419" s="90" t="s">
        <v>195</v>
      </c>
      <c r="AP1419" s="90" t="s">
        <v>195</v>
      </c>
      <c r="AQ1419" s="90" t="s">
        <v>195</v>
      </c>
      <c r="AR1419" s="90" t="s">
        <v>195</v>
      </c>
      <c r="AS1419" s="90" t="s">
        <v>195</v>
      </c>
      <c r="AT1419" s="90" t="s">
        <v>195</v>
      </c>
      <c r="AU1419" s="90" t="s">
        <v>195</v>
      </c>
      <c r="AV1419" s="90" t="s">
        <v>195</v>
      </c>
      <c r="AW1419" s="90" t="s">
        <v>195</v>
      </c>
      <c r="AX1419" s="90" t="s">
        <v>195</v>
      </c>
      <c r="AY1419" s="90"/>
      <c r="AZ1419" s="90" t="s">
        <v>199</v>
      </c>
      <c r="BA1419" s="90" t="s">
        <v>199</v>
      </c>
      <c r="BB1419" s="90" t="s">
        <v>200</v>
      </c>
      <c r="BC1419" s="90" t="s">
        <v>197</v>
      </c>
      <c r="BD1419" s="90" t="s">
        <v>197</v>
      </c>
      <c r="BE1419" s="90" t="s">
        <v>197</v>
      </c>
      <c r="BF1419" s="90" t="s">
        <v>197</v>
      </c>
      <c r="BG1419" s="90" t="s">
        <v>197</v>
      </c>
      <c r="BH1419" s="90" t="s">
        <v>197</v>
      </c>
      <c r="BI1419" s="90" t="s">
        <v>197</v>
      </c>
      <c r="BJ1419" s="90" t="s">
        <v>197</v>
      </c>
      <c r="BK1419" s="90" t="s">
        <v>197</v>
      </c>
      <c r="BL1419" s="90" t="s">
        <v>197</v>
      </c>
      <c r="BM1419" s="90" t="s">
        <v>197</v>
      </c>
      <c r="BN1419" s="90" t="s">
        <v>200</v>
      </c>
      <c r="BO1419" s="90" t="s">
        <v>203</v>
      </c>
      <c r="BP1419" s="90" t="s">
        <v>197</v>
      </c>
      <c r="BQ1419" s="90" t="s">
        <v>30</v>
      </c>
      <c r="BR1419" s="90" t="s">
        <v>200</v>
      </c>
      <c r="BS1419" s="90" t="s">
        <v>200</v>
      </c>
      <c r="BT1419" s="90"/>
      <c r="BU1419" s="90" t="s">
        <v>200</v>
      </c>
      <c r="BV1419" s="90" t="s">
        <v>200</v>
      </c>
      <c r="BW1419" s="90" t="s">
        <v>200</v>
      </c>
      <c r="BX1419" s="90" t="s">
        <v>200</v>
      </c>
      <c r="BY1419" s="90" t="s">
        <v>200</v>
      </c>
      <c r="BZ1419" s="90" t="s">
        <v>200</v>
      </c>
      <c r="CA1419" s="90" t="s">
        <v>200</v>
      </c>
      <c r="CB1419" s="90"/>
      <c r="CC1419" s="90" t="s">
        <v>201</v>
      </c>
      <c r="CD1419" s="90"/>
      <c r="CE1419" s="90" t="s">
        <v>199</v>
      </c>
      <c r="CF1419" s="90"/>
      <c r="CG1419" s="90"/>
      <c r="CH1419" s="90"/>
      <c r="CI1419" s="90" t="s">
        <v>194</v>
      </c>
      <c r="CJ1419" s="90" t="s">
        <v>195</v>
      </c>
      <c r="CK1419" s="90" t="s">
        <v>195</v>
      </c>
      <c r="CL1419" s="90" t="s">
        <v>195</v>
      </c>
      <c r="CM1419" s="90" t="s">
        <v>195</v>
      </c>
      <c r="CN1419" s="90" t="s">
        <v>195</v>
      </c>
      <c r="CO1419" s="90" t="s">
        <v>195</v>
      </c>
      <c r="CP1419" s="90" t="s">
        <v>195</v>
      </c>
      <c r="CQ1419" s="90" t="s">
        <v>195</v>
      </c>
      <c r="CR1419" s="90" t="s">
        <v>195</v>
      </c>
      <c r="CS1419" s="90" t="s">
        <v>195</v>
      </c>
      <c r="CT1419" s="90" t="s">
        <v>195</v>
      </c>
      <c r="CU1419" s="90" t="s">
        <v>195</v>
      </c>
      <c r="CV1419" s="90" t="s">
        <v>195</v>
      </c>
      <c r="CW1419" s="90" t="s">
        <v>195</v>
      </c>
      <c r="CX1419" s="90" t="s">
        <v>195</v>
      </c>
      <c r="CY1419" s="90" t="s">
        <v>195</v>
      </c>
      <c r="CZ1419" s="90" t="s">
        <v>195</v>
      </c>
      <c r="DA1419" s="90" t="s">
        <v>195</v>
      </c>
      <c r="DB1419" s="90" t="s">
        <v>195</v>
      </c>
      <c r="DC1419" s="90" t="s">
        <v>195</v>
      </c>
      <c r="DD1419" s="90" t="s">
        <v>195</v>
      </c>
      <c r="DE1419" s="90" t="s">
        <v>195</v>
      </c>
      <c r="DF1419" s="90" t="s">
        <v>195</v>
      </c>
      <c r="DG1419" s="90" t="s">
        <v>195</v>
      </c>
      <c r="DH1419" s="90" t="s">
        <v>195</v>
      </c>
      <c r="DI1419" s="90" t="s">
        <v>195</v>
      </c>
      <c r="DJ1419" s="90" t="s">
        <v>195</v>
      </c>
      <c r="DK1419" s="90"/>
      <c r="DL1419" s="90" t="s">
        <v>194</v>
      </c>
      <c r="DM1419" s="90" t="s">
        <v>195</v>
      </c>
      <c r="DN1419" s="90" t="s">
        <v>195</v>
      </c>
      <c r="DO1419" s="90" t="s">
        <v>195</v>
      </c>
      <c r="DP1419" s="90" t="s">
        <v>195</v>
      </c>
      <c r="DQ1419" s="90" t="s">
        <v>195</v>
      </c>
      <c r="DR1419" s="90" t="s">
        <v>195</v>
      </c>
      <c r="DS1419" s="90" t="s">
        <v>195</v>
      </c>
      <c r="DT1419" s="90" t="s">
        <v>195</v>
      </c>
      <c r="DU1419" s="90" t="s">
        <v>195</v>
      </c>
      <c r="DV1419" s="90" t="s">
        <v>195</v>
      </c>
      <c r="DW1419" s="90" t="s">
        <v>195</v>
      </c>
      <c r="DX1419" s="90" t="s">
        <v>195</v>
      </c>
      <c r="DY1419" s="90" t="s">
        <v>195</v>
      </c>
      <c r="DZ1419" s="90" t="s">
        <v>195</v>
      </c>
      <c r="EA1419" s="90"/>
      <c r="EB1419" s="90" t="s">
        <v>194</v>
      </c>
      <c r="EC1419" s="90" t="s">
        <v>195</v>
      </c>
      <c r="ED1419" s="90" t="s">
        <v>195</v>
      </c>
      <c r="EE1419" s="90" t="s">
        <v>195</v>
      </c>
      <c r="EF1419" s="90" t="s">
        <v>195</v>
      </c>
      <c r="EG1419" s="90" t="s">
        <v>195</v>
      </c>
      <c r="EH1419" s="102" t="s">
        <v>195</v>
      </c>
    </row>
    <row r="1420" spans="1:138" ht="23.25" customHeight="1" x14ac:dyDescent="0.25">
      <c r="A1420" s="98" t="s">
        <v>16</v>
      </c>
      <c r="B1420" s="99" t="s">
        <v>193</v>
      </c>
      <c r="C1420" s="99" t="s">
        <v>199</v>
      </c>
      <c r="D1420" s="99" t="s">
        <v>30</v>
      </c>
      <c r="E1420" s="99" t="s">
        <v>30</v>
      </c>
      <c r="F1420" s="99" t="s">
        <v>30</v>
      </c>
      <c r="G1420" s="99" t="s">
        <v>30</v>
      </c>
      <c r="H1420" s="99" t="s">
        <v>30</v>
      </c>
      <c r="I1420" s="99" t="s">
        <v>30</v>
      </c>
      <c r="J1420" s="99" t="s">
        <v>30</v>
      </c>
      <c r="K1420" s="99" t="s">
        <v>30</v>
      </c>
      <c r="L1420" s="99" t="s">
        <v>30</v>
      </c>
      <c r="M1420" s="99" t="s">
        <v>202</v>
      </c>
      <c r="N1420" s="99" t="s">
        <v>202</v>
      </c>
      <c r="O1420" s="99" t="s">
        <v>202</v>
      </c>
      <c r="P1420" s="99" t="s">
        <v>202</v>
      </c>
      <c r="Q1420" s="99" t="s">
        <v>202</v>
      </c>
      <c r="R1420" s="99" t="s">
        <v>202</v>
      </c>
      <c r="S1420" s="99" t="s">
        <v>30</v>
      </c>
      <c r="T1420" s="99"/>
      <c r="U1420" s="99" t="s">
        <v>194</v>
      </c>
      <c r="V1420" s="99" t="s">
        <v>195</v>
      </c>
      <c r="W1420" s="99" t="s">
        <v>195</v>
      </c>
      <c r="X1420" s="99" t="s">
        <v>195</v>
      </c>
      <c r="Y1420" s="99" t="s">
        <v>195</v>
      </c>
      <c r="Z1420" s="99" t="s">
        <v>196</v>
      </c>
      <c r="AA1420" s="99" t="s">
        <v>195</v>
      </c>
      <c r="AB1420" s="99" t="s">
        <v>195</v>
      </c>
      <c r="AC1420" s="99" t="s">
        <v>195</v>
      </c>
      <c r="AD1420" s="99" t="s">
        <v>195</v>
      </c>
      <c r="AE1420" s="99" t="s">
        <v>195</v>
      </c>
      <c r="AF1420" s="99" t="s">
        <v>195</v>
      </c>
      <c r="AG1420" s="99" t="s">
        <v>195</v>
      </c>
      <c r="AH1420" s="99" t="s">
        <v>195</v>
      </c>
      <c r="AI1420" s="99" t="s">
        <v>194</v>
      </c>
      <c r="AJ1420" s="99" t="s">
        <v>195</v>
      </c>
      <c r="AK1420" s="99" t="s">
        <v>195</v>
      </c>
      <c r="AL1420" s="99" t="s">
        <v>195</v>
      </c>
      <c r="AM1420" s="99"/>
      <c r="AN1420" s="99" t="s">
        <v>194</v>
      </c>
      <c r="AO1420" s="99" t="s">
        <v>195</v>
      </c>
      <c r="AP1420" s="99" t="s">
        <v>195</v>
      </c>
      <c r="AQ1420" s="99" t="s">
        <v>195</v>
      </c>
      <c r="AR1420" s="99" t="s">
        <v>195</v>
      </c>
      <c r="AS1420" s="99" t="s">
        <v>195</v>
      </c>
      <c r="AT1420" s="99" t="s">
        <v>195</v>
      </c>
      <c r="AU1420" s="99" t="s">
        <v>195</v>
      </c>
      <c r="AV1420" s="99" t="s">
        <v>195</v>
      </c>
      <c r="AW1420" s="99" t="s">
        <v>195</v>
      </c>
      <c r="AX1420" s="99" t="s">
        <v>195</v>
      </c>
      <c r="AY1420" s="99"/>
      <c r="AZ1420" s="99" t="s">
        <v>194</v>
      </c>
      <c r="BA1420" s="99" t="s">
        <v>194</v>
      </c>
      <c r="BB1420" s="99" t="s">
        <v>195</v>
      </c>
      <c r="BC1420" s="99" t="s">
        <v>195</v>
      </c>
      <c r="BD1420" s="99" t="s">
        <v>195</v>
      </c>
      <c r="BE1420" s="99" t="s">
        <v>195</v>
      </c>
      <c r="BF1420" s="99" t="s">
        <v>195</v>
      </c>
      <c r="BG1420" s="99" t="s">
        <v>195</v>
      </c>
      <c r="BH1420" s="99" t="s">
        <v>195</v>
      </c>
      <c r="BI1420" s="99" t="s">
        <v>195</v>
      </c>
      <c r="BJ1420" s="99" t="s">
        <v>195</v>
      </c>
      <c r="BK1420" s="99" t="s">
        <v>195</v>
      </c>
      <c r="BL1420" s="99" t="s">
        <v>195</v>
      </c>
      <c r="BM1420" s="99" t="s">
        <v>195</v>
      </c>
      <c r="BN1420" s="99" t="s">
        <v>195</v>
      </c>
      <c r="BO1420" s="99" t="s">
        <v>195</v>
      </c>
      <c r="BP1420" s="99" t="s">
        <v>195</v>
      </c>
      <c r="BQ1420" s="99" t="s">
        <v>195</v>
      </c>
      <c r="BR1420" s="99" t="s">
        <v>195</v>
      </c>
      <c r="BS1420" s="99" t="s">
        <v>195</v>
      </c>
      <c r="BT1420" s="99"/>
      <c r="BU1420" s="99" t="s">
        <v>202</v>
      </c>
      <c r="BV1420" s="99" t="s">
        <v>197</v>
      </c>
      <c r="BW1420" s="99" t="s">
        <v>202</v>
      </c>
      <c r="BX1420" s="99" t="s">
        <v>202</v>
      </c>
      <c r="BY1420" s="99" t="s">
        <v>202</v>
      </c>
      <c r="BZ1420" s="99" t="s">
        <v>202</v>
      </c>
      <c r="CA1420" s="99" t="s">
        <v>200</v>
      </c>
      <c r="CB1420" s="99"/>
      <c r="CC1420" s="99" t="s">
        <v>201</v>
      </c>
      <c r="CD1420" s="99"/>
      <c r="CE1420" s="99" t="s">
        <v>199</v>
      </c>
      <c r="CF1420" s="99"/>
      <c r="CG1420" s="99"/>
      <c r="CH1420" s="99"/>
      <c r="CI1420" s="99" t="s">
        <v>199</v>
      </c>
      <c r="CJ1420" s="99" t="s">
        <v>30</v>
      </c>
      <c r="CK1420" s="99" t="s">
        <v>30</v>
      </c>
      <c r="CL1420" s="99" t="s">
        <v>30</v>
      </c>
      <c r="CM1420" s="99" t="s">
        <v>30</v>
      </c>
      <c r="CN1420" s="99" t="s">
        <v>30</v>
      </c>
      <c r="CO1420" s="99" t="s">
        <v>202</v>
      </c>
      <c r="CP1420" s="99" t="s">
        <v>30</v>
      </c>
      <c r="CQ1420" s="99" t="s">
        <v>200</v>
      </c>
      <c r="CR1420" s="99" t="s">
        <v>30</v>
      </c>
      <c r="CS1420" s="99" t="s">
        <v>30</v>
      </c>
      <c r="CT1420" s="99" t="s">
        <v>30</v>
      </c>
      <c r="CU1420" s="99" t="s">
        <v>30</v>
      </c>
      <c r="CV1420" s="99" t="s">
        <v>30</v>
      </c>
      <c r="CW1420" s="99" t="s">
        <v>30</v>
      </c>
      <c r="CX1420" s="99" t="s">
        <v>30</v>
      </c>
      <c r="CY1420" s="99" t="s">
        <v>202</v>
      </c>
      <c r="CZ1420" s="99" t="s">
        <v>200</v>
      </c>
      <c r="DA1420" s="99" t="s">
        <v>200</v>
      </c>
      <c r="DB1420" s="99" t="s">
        <v>200</v>
      </c>
      <c r="DC1420" s="99" t="s">
        <v>200</v>
      </c>
      <c r="DD1420" s="99" t="s">
        <v>200</v>
      </c>
      <c r="DE1420" s="99" t="s">
        <v>30</v>
      </c>
      <c r="DF1420" s="99" t="s">
        <v>30</v>
      </c>
      <c r="DG1420" s="99" t="s">
        <v>30</v>
      </c>
      <c r="DH1420" s="99" t="s">
        <v>30</v>
      </c>
      <c r="DI1420" s="99" t="s">
        <v>30</v>
      </c>
      <c r="DJ1420" s="99" t="s">
        <v>30</v>
      </c>
      <c r="DK1420" s="99"/>
      <c r="DL1420" s="99" t="s">
        <v>194</v>
      </c>
      <c r="DM1420" s="99" t="s">
        <v>195</v>
      </c>
      <c r="DN1420" s="99" t="s">
        <v>195</v>
      </c>
      <c r="DO1420" s="99" t="s">
        <v>195</v>
      </c>
      <c r="DP1420" s="99" t="s">
        <v>195</v>
      </c>
      <c r="DQ1420" s="99" t="s">
        <v>195</v>
      </c>
      <c r="DR1420" s="99" t="s">
        <v>195</v>
      </c>
      <c r="DS1420" s="99" t="s">
        <v>195</v>
      </c>
      <c r="DT1420" s="99" t="s">
        <v>195</v>
      </c>
      <c r="DU1420" s="99" t="s">
        <v>195</v>
      </c>
      <c r="DV1420" s="99" t="s">
        <v>195</v>
      </c>
      <c r="DW1420" s="99" t="s">
        <v>195</v>
      </c>
      <c r="DX1420" s="99" t="s">
        <v>195</v>
      </c>
      <c r="DY1420" s="99" t="s">
        <v>195</v>
      </c>
      <c r="DZ1420" s="99" t="s">
        <v>195</v>
      </c>
      <c r="EA1420" s="99"/>
      <c r="EB1420" s="99" t="s">
        <v>199</v>
      </c>
      <c r="EC1420" s="99" t="s">
        <v>30</v>
      </c>
      <c r="ED1420" s="99" t="s">
        <v>30</v>
      </c>
      <c r="EE1420" s="99" t="s">
        <v>30</v>
      </c>
      <c r="EF1420" s="99" t="s">
        <v>30</v>
      </c>
      <c r="EG1420" s="99" t="s">
        <v>30</v>
      </c>
      <c r="EH1420" s="100" t="s">
        <v>197</v>
      </c>
    </row>
    <row r="1421" spans="1:138" ht="23.25" customHeight="1" x14ac:dyDescent="0.25">
      <c r="A1421" s="101" t="s">
        <v>16</v>
      </c>
      <c r="B1421" s="90" t="s">
        <v>193</v>
      </c>
      <c r="C1421" s="90" t="s">
        <v>194</v>
      </c>
      <c r="D1421" s="90" t="s">
        <v>195</v>
      </c>
      <c r="E1421" s="90" t="s">
        <v>195</v>
      </c>
      <c r="F1421" s="90" t="s">
        <v>195</v>
      </c>
      <c r="G1421" s="90" t="s">
        <v>195</v>
      </c>
      <c r="H1421" s="90" t="s">
        <v>195</v>
      </c>
      <c r="I1421" s="90" t="s">
        <v>195</v>
      </c>
      <c r="J1421" s="90" t="s">
        <v>195</v>
      </c>
      <c r="K1421" s="90" t="s">
        <v>195</v>
      </c>
      <c r="L1421" s="90" t="s">
        <v>195</v>
      </c>
      <c r="M1421" s="90" t="s">
        <v>195</v>
      </c>
      <c r="N1421" s="90" t="s">
        <v>195</v>
      </c>
      <c r="O1421" s="90" t="s">
        <v>195</v>
      </c>
      <c r="P1421" s="90" t="s">
        <v>195</v>
      </c>
      <c r="Q1421" s="90" t="s">
        <v>195</v>
      </c>
      <c r="R1421" s="90" t="s">
        <v>195</v>
      </c>
      <c r="S1421" s="90" t="s">
        <v>195</v>
      </c>
      <c r="T1421" s="90"/>
      <c r="U1421" s="90" t="s">
        <v>194</v>
      </c>
      <c r="V1421" s="90" t="s">
        <v>195</v>
      </c>
      <c r="W1421" s="90" t="s">
        <v>195</v>
      </c>
      <c r="X1421" s="90" t="s">
        <v>195</v>
      </c>
      <c r="Y1421" s="90" t="s">
        <v>195</v>
      </c>
      <c r="Z1421" s="90" t="s">
        <v>196</v>
      </c>
      <c r="AA1421" s="90" t="s">
        <v>195</v>
      </c>
      <c r="AB1421" s="90" t="s">
        <v>195</v>
      </c>
      <c r="AC1421" s="90" t="s">
        <v>195</v>
      </c>
      <c r="AD1421" s="90" t="s">
        <v>195</v>
      </c>
      <c r="AE1421" s="90" t="s">
        <v>195</v>
      </c>
      <c r="AF1421" s="90" t="s">
        <v>195</v>
      </c>
      <c r="AG1421" s="90" t="s">
        <v>195</v>
      </c>
      <c r="AH1421" s="90" t="s">
        <v>195</v>
      </c>
      <c r="AI1421" s="90" t="s">
        <v>194</v>
      </c>
      <c r="AJ1421" s="90" t="s">
        <v>195</v>
      </c>
      <c r="AK1421" s="90" t="s">
        <v>195</v>
      </c>
      <c r="AL1421" s="90" t="s">
        <v>195</v>
      </c>
      <c r="AM1421" s="90"/>
      <c r="AN1421" s="90" t="s">
        <v>194</v>
      </c>
      <c r="AO1421" s="90" t="s">
        <v>195</v>
      </c>
      <c r="AP1421" s="90" t="s">
        <v>195</v>
      </c>
      <c r="AQ1421" s="90" t="s">
        <v>195</v>
      </c>
      <c r="AR1421" s="90" t="s">
        <v>195</v>
      </c>
      <c r="AS1421" s="90" t="s">
        <v>195</v>
      </c>
      <c r="AT1421" s="90" t="s">
        <v>195</v>
      </c>
      <c r="AU1421" s="90" t="s">
        <v>195</v>
      </c>
      <c r="AV1421" s="90" t="s">
        <v>195</v>
      </c>
      <c r="AW1421" s="90" t="s">
        <v>195</v>
      </c>
      <c r="AX1421" s="90" t="s">
        <v>195</v>
      </c>
      <c r="AY1421" s="90"/>
      <c r="AZ1421" s="90" t="s">
        <v>194</v>
      </c>
      <c r="BA1421" s="90" t="s">
        <v>194</v>
      </c>
      <c r="BB1421" s="90" t="s">
        <v>195</v>
      </c>
      <c r="BC1421" s="90" t="s">
        <v>195</v>
      </c>
      <c r="BD1421" s="90" t="s">
        <v>195</v>
      </c>
      <c r="BE1421" s="90" t="s">
        <v>195</v>
      </c>
      <c r="BF1421" s="90" t="s">
        <v>195</v>
      </c>
      <c r="BG1421" s="90" t="s">
        <v>195</v>
      </c>
      <c r="BH1421" s="90" t="s">
        <v>195</v>
      </c>
      <c r="BI1421" s="90" t="s">
        <v>195</v>
      </c>
      <c r="BJ1421" s="90" t="s">
        <v>195</v>
      </c>
      <c r="BK1421" s="90" t="s">
        <v>195</v>
      </c>
      <c r="BL1421" s="90" t="s">
        <v>195</v>
      </c>
      <c r="BM1421" s="90" t="s">
        <v>195</v>
      </c>
      <c r="BN1421" s="90" t="s">
        <v>195</v>
      </c>
      <c r="BO1421" s="90" t="s">
        <v>195</v>
      </c>
      <c r="BP1421" s="90" t="s">
        <v>195</v>
      </c>
      <c r="BQ1421" s="90" t="s">
        <v>195</v>
      </c>
      <c r="BR1421" s="90" t="s">
        <v>195</v>
      </c>
      <c r="BS1421" s="90" t="s">
        <v>195</v>
      </c>
      <c r="BT1421" s="90"/>
      <c r="BU1421" s="90" t="s">
        <v>200</v>
      </c>
      <c r="BV1421" s="90" t="s">
        <v>195</v>
      </c>
      <c r="BW1421" s="90" t="s">
        <v>195</v>
      </c>
      <c r="BX1421" s="90" t="s">
        <v>195</v>
      </c>
      <c r="BY1421" s="90" t="s">
        <v>195</v>
      </c>
      <c r="BZ1421" s="90" t="s">
        <v>195</v>
      </c>
      <c r="CA1421" s="90" t="s">
        <v>195</v>
      </c>
      <c r="CB1421" s="90"/>
      <c r="CC1421" s="90" t="s">
        <v>206</v>
      </c>
      <c r="CD1421" s="90"/>
      <c r="CE1421" s="90" t="s">
        <v>199</v>
      </c>
      <c r="CF1421" s="90"/>
      <c r="CG1421" s="90"/>
      <c r="CH1421" s="90"/>
      <c r="CI1421" s="90" t="s">
        <v>194</v>
      </c>
      <c r="CJ1421" s="90" t="s">
        <v>195</v>
      </c>
      <c r="CK1421" s="90" t="s">
        <v>195</v>
      </c>
      <c r="CL1421" s="90" t="s">
        <v>195</v>
      </c>
      <c r="CM1421" s="90" t="s">
        <v>195</v>
      </c>
      <c r="CN1421" s="90" t="s">
        <v>195</v>
      </c>
      <c r="CO1421" s="90" t="s">
        <v>195</v>
      </c>
      <c r="CP1421" s="90" t="s">
        <v>195</v>
      </c>
      <c r="CQ1421" s="90" t="s">
        <v>195</v>
      </c>
      <c r="CR1421" s="90" t="s">
        <v>195</v>
      </c>
      <c r="CS1421" s="90" t="s">
        <v>195</v>
      </c>
      <c r="CT1421" s="90" t="s">
        <v>195</v>
      </c>
      <c r="CU1421" s="90" t="s">
        <v>195</v>
      </c>
      <c r="CV1421" s="90" t="s">
        <v>195</v>
      </c>
      <c r="CW1421" s="90" t="s">
        <v>195</v>
      </c>
      <c r="CX1421" s="90" t="s">
        <v>195</v>
      </c>
      <c r="CY1421" s="90" t="s">
        <v>195</v>
      </c>
      <c r="CZ1421" s="90" t="s">
        <v>195</v>
      </c>
      <c r="DA1421" s="90" t="s">
        <v>195</v>
      </c>
      <c r="DB1421" s="90" t="s">
        <v>195</v>
      </c>
      <c r="DC1421" s="90" t="s">
        <v>195</v>
      </c>
      <c r="DD1421" s="90" t="s">
        <v>195</v>
      </c>
      <c r="DE1421" s="90" t="s">
        <v>195</v>
      </c>
      <c r="DF1421" s="90" t="s">
        <v>195</v>
      </c>
      <c r="DG1421" s="90" t="s">
        <v>195</v>
      </c>
      <c r="DH1421" s="90" t="s">
        <v>195</v>
      </c>
      <c r="DI1421" s="90" t="s">
        <v>195</v>
      </c>
      <c r="DJ1421" s="90" t="s">
        <v>195</v>
      </c>
      <c r="DK1421" s="90"/>
      <c r="DL1421" s="90" t="s">
        <v>194</v>
      </c>
      <c r="DM1421" s="90" t="s">
        <v>195</v>
      </c>
      <c r="DN1421" s="90" t="s">
        <v>195</v>
      </c>
      <c r="DO1421" s="90" t="s">
        <v>195</v>
      </c>
      <c r="DP1421" s="90" t="s">
        <v>195</v>
      </c>
      <c r="DQ1421" s="90" t="s">
        <v>195</v>
      </c>
      <c r="DR1421" s="90" t="s">
        <v>195</v>
      </c>
      <c r="DS1421" s="90" t="s">
        <v>195</v>
      </c>
      <c r="DT1421" s="90" t="s">
        <v>195</v>
      </c>
      <c r="DU1421" s="90" t="s">
        <v>195</v>
      </c>
      <c r="DV1421" s="90" t="s">
        <v>195</v>
      </c>
      <c r="DW1421" s="90" t="s">
        <v>195</v>
      </c>
      <c r="DX1421" s="90" t="s">
        <v>195</v>
      </c>
      <c r="DY1421" s="90" t="s">
        <v>195</v>
      </c>
      <c r="DZ1421" s="90" t="s">
        <v>195</v>
      </c>
      <c r="EA1421" s="90"/>
      <c r="EB1421" s="90" t="s">
        <v>194</v>
      </c>
      <c r="EC1421" s="90" t="s">
        <v>195</v>
      </c>
      <c r="ED1421" s="90" t="s">
        <v>195</v>
      </c>
      <c r="EE1421" s="90" t="s">
        <v>195</v>
      </c>
      <c r="EF1421" s="90" t="s">
        <v>195</v>
      </c>
      <c r="EG1421" s="90" t="s">
        <v>195</v>
      </c>
      <c r="EH1421" s="102" t="s">
        <v>195</v>
      </c>
    </row>
    <row r="1422" spans="1:138" ht="23.25" customHeight="1" x14ac:dyDescent="0.25">
      <c r="A1422" s="98" t="s">
        <v>17</v>
      </c>
      <c r="B1422" s="99" t="s">
        <v>193</v>
      </c>
      <c r="C1422" s="99" t="s">
        <v>199</v>
      </c>
      <c r="D1422" s="99" t="s">
        <v>200</v>
      </c>
      <c r="E1422" s="99" t="s">
        <v>200</v>
      </c>
      <c r="F1422" s="99" t="s">
        <v>200</v>
      </c>
      <c r="G1422" s="99" t="s">
        <v>200</v>
      </c>
      <c r="H1422" s="99" t="s">
        <v>200</v>
      </c>
      <c r="I1422" s="99" t="s">
        <v>200</v>
      </c>
      <c r="J1422" s="99" t="s">
        <v>30</v>
      </c>
      <c r="K1422" s="99" t="s">
        <v>30</v>
      </c>
      <c r="L1422" s="99" t="s">
        <v>200</v>
      </c>
      <c r="M1422" s="99" t="s">
        <v>30</v>
      </c>
      <c r="N1422" s="99" t="s">
        <v>30</v>
      </c>
      <c r="O1422" s="99" t="s">
        <v>200</v>
      </c>
      <c r="P1422" s="99" t="s">
        <v>200</v>
      </c>
      <c r="Q1422" s="99" t="s">
        <v>200</v>
      </c>
      <c r="R1422" s="99" t="s">
        <v>200</v>
      </c>
      <c r="S1422" s="99" t="s">
        <v>200</v>
      </c>
      <c r="T1422" s="99"/>
      <c r="U1422" s="99" t="s">
        <v>199</v>
      </c>
      <c r="V1422" s="99" t="s">
        <v>200</v>
      </c>
      <c r="W1422" s="99" t="s">
        <v>200</v>
      </c>
      <c r="X1422" s="99" t="s">
        <v>30</v>
      </c>
      <c r="Y1422" s="99" t="s">
        <v>200</v>
      </c>
      <c r="Z1422" s="99" t="s">
        <v>196</v>
      </c>
      <c r="AA1422" s="99" t="s">
        <v>203</v>
      </c>
      <c r="AB1422" s="99" t="s">
        <v>203</v>
      </c>
      <c r="AC1422" s="99" t="s">
        <v>203</v>
      </c>
      <c r="AD1422" s="99" t="s">
        <v>203</v>
      </c>
      <c r="AE1422" s="99" t="s">
        <v>195</v>
      </c>
      <c r="AF1422" s="99" t="s">
        <v>195</v>
      </c>
      <c r="AG1422" s="99" t="s">
        <v>195</v>
      </c>
      <c r="AH1422" s="99" t="s">
        <v>195</v>
      </c>
      <c r="AI1422" s="99" t="s">
        <v>199</v>
      </c>
      <c r="AJ1422" s="99" t="s">
        <v>197</v>
      </c>
      <c r="AK1422" s="99" t="s">
        <v>30</v>
      </c>
      <c r="AL1422" s="99" t="s">
        <v>200</v>
      </c>
      <c r="AM1422" s="99"/>
      <c r="AN1422" s="99" t="s">
        <v>194</v>
      </c>
      <c r="AO1422" s="99" t="s">
        <v>195</v>
      </c>
      <c r="AP1422" s="99" t="s">
        <v>195</v>
      </c>
      <c r="AQ1422" s="99" t="s">
        <v>195</v>
      </c>
      <c r="AR1422" s="99" t="s">
        <v>195</v>
      </c>
      <c r="AS1422" s="99" t="s">
        <v>195</v>
      </c>
      <c r="AT1422" s="99" t="s">
        <v>195</v>
      </c>
      <c r="AU1422" s="99" t="s">
        <v>195</v>
      </c>
      <c r="AV1422" s="99" t="s">
        <v>195</v>
      </c>
      <c r="AW1422" s="99" t="s">
        <v>195</v>
      </c>
      <c r="AX1422" s="99" t="s">
        <v>195</v>
      </c>
      <c r="AY1422" s="99"/>
      <c r="AZ1422" s="99" t="s">
        <v>199</v>
      </c>
      <c r="BA1422" s="99" t="s">
        <v>194</v>
      </c>
      <c r="BB1422" s="99" t="s">
        <v>195</v>
      </c>
      <c r="BC1422" s="99" t="s">
        <v>30</v>
      </c>
      <c r="BD1422" s="99" t="s">
        <v>200</v>
      </c>
      <c r="BE1422" s="99" t="s">
        <v>200</v>
      </c>
      <c r="BF1422" s="99" t="s">
        <v>200</v>
      </c>
      <c r="BG1422" s="99" t="s">
        <v>200</v>
      </c>
      <c r="BH1422" s="99" t="s">
        <v>200</v>
      </c>
      <c r="BI1422" s="99" t="s">
        <v>200</v>
      </c>
      <c r="BJ1422" s="99" t="s">
        <v>200</v>
      </c>
      <c r="BK1422" s="99" t="s">
        <v>203</v>
      </c>
      <c r="BL1422" s="99" t="s">
        <v>200</v>
      </c>
      <c r="BM1422" s="99" t="s">
        <v>197</v>
      </c>
      <c r="BN1422" s="99" t="s">
        <v>200</v>
      </c>
      <c r="BO1422" s="99" t="s">
        <v>200</v>
      </c>
      <c r="BP1422" s="99" t="s">
        <v>200</v>
      </c>
      <c r="BQ1422" s="99" t="s">
        <v>200</v>
      </c>
      <c r="BR1422" s="99" t="s">
        <v>200</v>
      </c>
      <c r="BS1422" s="99" t="s">
        <v>200</v>
      </c>
      <c r="BT1422" s="99"/>
      <c r="BU1422" s="99" t="s">
        <v>197</v>
      </c>
      <c r="BV1422" s="99" t="s">
        <v>200</v>
      </c>
      <c r="BW1422" s="99" t="s">
        <v>197</v>
      </c>
      <c r="BX1422" s="99" t="s">
        <v>197</v>
      </c>
      <c r="BY1422" s="99" t="s">
        <v>195</v>
      </c>
      <c r="BZ1422" s="99" t="s">
        <v>195</v>
      </c>
      <c r="CA1422" s="99" t="s">
        <v>197</v>
      </c>
      <c r="CB1422" s="99"/>
      <c r="CC1422" s="99" t="s">
        <v>206</v>
      </c>
      <c r="CD1422" s="99"/>
      <c r="CE1422" s="99" t="s">
        <v>199</v>
      </c>
      <c r="CF1422" s="99"/>
      <c r="CG1422" s="99"/>
      <c r="CH1422" s="99"/>
      <c r="CI1422" s="99" t="s">
        <v>194</v>
      </c>
      <c r="CJ1422" s="99" t="s">
        <v>195</v>
      </c>
      <c r="CK1422" s="99" t="s">
        <v>195</v>
      </c>
      <c r="CL1422" s="99" t="s">
        <v>195</v>
      </c>
      <c r="CM1422" s="99" t="s">
        <v>195</v>
      </c>
      <c r="CN1422" s="99" t="s">
        <v>195</v>
      </c>
      <c r="CO1422" s="99" t="s">
        <v>195</v>
      </c>
      <c r="CP1422" s="99" t="s">
        <v>195</v>
      </c>
      <c r="CQ1422" s="99" t="s">
        <v>195</v>
      </c>
      <c r="CR1422" s="99" t="s">
        <v>195</v>
      </c>
      <c r="CS1422" s="99" t="s">
        <v>195</v>
      </c>
      <c r="CT1422" s="99" t="s">
        <v>195</v>
      </c>
      <c r="CU1422" s="99" t="s">
        <v>195</v>
      </c>
      <c r="CV1422" s="99" t="s">
        <v>195</v>
      </c>
      <c r="CW1422" s="99" t="s">
        <v>195</v>
      </c>
      <c r="CX1422" s="99" t="s">
        <v>195</v>
      </c>
      <c r="CY1422" s="99" t="s">
        <v>195</v>
      </c>
      <c r="CZ1422" s="99" t="s">
        <v>195</v>
      </c>
      <c r="DA1422" s="99" t="s">
        <v>195</v>
      </c>
      <c r="DB1422" s="99" t="s">
        <v>195</v>
      </c>
      <c r="DC1422" s="99" t="s">
        <v>195</v>
      </c>
      <c r="DD1422" s="99" t="s">
        <v>195</v>
      </c>
      <c r="DE1422" s="99" t="s">
        <v>195</v>
      </c>
      <c r="DF1422" s="99" t="s">
        <v>195</v>
      </c>
      <c r="DG1422" s="99" t="s">
        <v>195</v>
      </c>
      <c r="DH1422" s="99" t="s">
        <v>195</v>
      </c>
      <c r="DI1422" s="99" t="s">
        <v>195</v>
      </c>
      <c r="DJ1422" s="99" t="s">
        <v>195</v>
      </c>
      <c r="DK1422" s="99"/>
      <c r="DL1422" s="99" t="s">
        <v>194</v>
      </c>
      <c r="DM1422" s="99" t="s">
        <v>195</v>
      </c>
      <c r="DN1422" s="99" t="s">
        <v>195</v>
      </c>
      <c r="DO1422" s="99" t="s">
        <v>195</v>
      </c>
      <c r="DP1422" s="99" t="s">
        <v>195</v>
      </c>
      <c r="DQ1422" s="99" t="s">
        <v>195</v>
      </c>
      <c r="DR1422" s="99" t="s">
        <v>195</v>
      </c>
      <c r="DS1422" s="99" t="s">
        <v>195</v>
      </c>
      <c r="DT1422" s="99" t="s">
        <v>195</v>
      </c>
      <c r="DU1422" s="99" t="s">
        <v>195</v>
      </c>
      <c r="DV1422" s="99" t="s">
        <v>195</v>
      </c>
      <c r="DW1422" s="99" t="s">
        <v>195</v>
      </c>
      <c r="DX1422" s="99" t="s">
        <v>195</v>
      </c>
      <c r="DY1422" s="99" t="s">
        <v>195</v>
      </c>
      <c r="DZ1422" s="99" t="s">
        <v>195</v>
      </c>
      <c r="EA1422" s="99"/>
      <c r="EB1422" s="99" t="s">
        <v>194</v>
      </c>
      <c r="EC1422" s="99" t="s">
        <v>195</v>
      </c>
      <c r="ED1422" s="99" t="s">
        <v>195</v>
      </c>
      <c r="EE1422" s="99" t="s">
        <v>195</v>
      </c>
      <c r="EF1422" s="99" t="s">
        <v>195</v>
      </c>
      <c r="EG1422" s="99" t="s">
        <v>195</v>
      </c>
      <c r="EH1422" s="100" t="s">
        <v>195</v>
      </c>
    </row>
    <row r="1423" spans="1:138" ht="23.25" customHeight="1" x14ac:dyDescent="0.25">
      <c r="A1423" s="101" t="s">
        <v>16</v>
      </c>
      <c r="B1423" s="90" t="s">
        <v>193</v>
      </c>
      <c r="C1423" s="90" t="s">
        <v>194</v>
      </c>
      <c r="D1423" s="90" t="s">
        <v>195</v>
      </c>
      <c r="E1423" s="90" t="s">
        <v>195</v>
      </c>
      <c r="F1423" s="90" t="s">
        <v>195</v>
      </c>
      <c r="G1423" s="90" t="s">
        <v>195</v>
      </c>
      <c r="H1423" s="90" t="s">
        <v>195</v>
      </c>
      <c r="I1423" s="90" t="s">
        <v>195</v>
      </c>
      <c r="J1423" s="90" t="s">
        <v>195</v>
      </c>
      <c r="K1423" s="90" t="s">
        <v>195</v>
      </c>
      <c r="L1423" s="90" t="s">
        <v>195</v>
      </c>
      <c r="M1423" s="90" t="s">
        <v>195</v>
      </c>
      <c r="N1423" s="90" t="s">
        <v>195</v>
      </c>
      <c r="O1423" s="90" t="s">
        <v>195</v>
      </c>
      <c r="P1423" s="90" t="s">
        <v>195</v>
      </c>
      <c r="Q1423" s="90" t="s">
        <v>195</v>
      </c>
      <c r="R1423" s="90" t="s">
        <v>195</v>
      </c>
      <c r="S1423" s="90" t="s">
        <v>195</v>
      </c>
      <c r="T1423" s="90"/>
      <c r="U1423" s="90" t="s">
        <v>194</v>
      </c>
      <c r="V1423" s="90" t="s">
        <v>195</v>
      </c>
      <c r="W1423" s="90" t="s">
        <v>195</v>
      </c>
      <c r="X1423" s="90" t="s">
        <v>195</v>
      </c>
      <c r="Y1423" s="90" t="s">
        <v>195</v>
      </c>
      <c r="Z1423" s="90" t="s">
        <v>196</v>
      </c>
      <c r="AA1423" s="90" t="s">
        <v>195</v>
      </c>
      <c r="AB1423" s="90" t="s">
        <v>195</v>
      </c>
      <c r="AC1423" s="90" t="s">
        <v>195</v>
      </c>
      <c r="AD1423" s="90" t="s">
        <v>195</v>
      </c>
      <c r="AE1423" s="90" t="s">
        <v>195</v>
      </c>
      <c r="AF1423" s="90" t="s">
        <v>195</v>
      </c>
      <c r="AG1423" s="90" t="s">
        <v>195</v>
      </c>
      <c r="AH1423" s="90" t="s">
        <v>195</v>
      </c>
      <c r="AI1423" s="90" t="s">
        <v>194</v>
      </c>
      <c r="AJ1423" s="90" t="s">
        <v>195</v>
      </c>
      <c r="AK1423" s="90" t="s">
        <v>195</v>
      </c>
      <c r="AL1423" s="90" t="s">
        <v>195</v>
      </c>
      <c r="AM1423" s="90"/>
      <c r="AN1423" s="90" t="s">
        <v>194</v>
      </c>
      <c r="AO1423" s="90" t="s">
        <v>195</v>
      </c>
      <c r="AP1423" s="90" t="s">
        <v>195</v>
      </c>
      <c r="AQ1423" s="90" t="s">
        <v>195</v>
      </c>
      <c r="AR1423" s="90" t="s">
        <v>195</v>
      </c>
      <c r="AS1423" s="90" t="s">
        <v>195</v>
      </c>
      <c r="AT1423" s="90" t="s">
        <v>195</v>
      </c>
      <c r="AU1423" s="90" t="s">
        <v>195</v>
      </c>
      <c r="AV1423" s="90" t="s">
        <v>195</v>
      </c>
      <c r="AW1423" s="90" t="s">
        <v>195</v>
      </c>
      <c r="AX1423" s="90" t="s">
        <v>195</v>
      </c>
      <c r="AY1423" s="90"/>
      <c r="AZ1423" s="90" t="s">
        <v>194</v>
      </c>
      <c r="BA1423" s="90" t="s">
        <v>194</v>
      </c>
      <c r="BB1423" s="90" t="s">
        <v>195</v>
      </c>
      <c r="BC1423" s="90" t="s">
        <v>195</v>
      </c>
      <c r="BD1423" s="90" t="s">
        <v>195</v>
      </c>
      <c r="BE1423" s="90" t="s">
        <v>195</v>
      </c>
      <c r="BF1423" s="90" t="s">
        <v>195</v>
      </c>
      <c r="BG1423" s="90" t="s">
        <v>195</v>
      </c>
      <c r="BH1423" s="90" t="s">
        <v>195</v>
      </c>
      <c r="BI1423" s="90" t="s">
        <v>195</v>
      </c>
      <c r="BJ1423" s="90" t="s">
        <v>195</v>
      </c>
      <c r="BK1423" s="90" t="s">
        <v>195</v>
      </c>
      <c r="BL1423" s="90" t="s">
        <v>195</v>
      </c>
      <c r="BM1423" s="90" t="s">
        <v>195</v>
      </c>
      <c r="BN1423" s="90" t="s">
        <v>195</v>
      </c>
      <c r="BO1423" s="90" t="s">
        <v>195</v>
      </c>
      <c r="BP1423" s="90" t="s">
        <v>195</v>
      </c>
      <c r="BQ1423" s="90" t="s">
        <v>195</v>
      </c>
      <c r="BR1423" s="90" t="s">
        <v>195</v>
      </c>
      <c r="BS1423" s="90" t="s">
        <v>195</v>
      </c>
      <c r="BT1423" s="90"/>
      <c r="BU1423" s="90" t="s">
        <v>200</v>
      </c>
      <c r="BV1423" s="90" t="s">
        <v>200</v>
      </c>
      <c r="BW1423" s="90" t="s">
        <v>200</v>
      </c>
      <c r="BX1423" s="90" t="s">
        <v>200</v>
      </c>
      <c r="BY1423" s="90" t="s">
        <v>200</v>
      </c>
      <c r="BZ1423" s="90" t="s">
        <v>200</v>
      </c>
      <c r="CA1423" s="90" t="s">
        <v>197</v>
      </c>
      <c r="CB1423" s="90"/>
      <c r="CC1423" s="90" t="s">
        <v>198</v>
      </c>
      <c r="CD1423" s="90"/>
      <c r="CE1423" s="90" t="s">
        <v>199</v>
      </c>
      <c r="CF1423" s="90"/>
      <c r="CG1423" s="90"/>
      <c r="CH1423" s="90"/>
      <c r="CI1423" s="90" t="s">
        <v>199</v>
      </c>
      <c r="CJ1423" s="90" t="s">
        <v>200</v>
      </c>
      <c r="CK1423" s="90" t="s">
        <v>200</v>
      </c>
      <c r="CL1423" s="90" t="s">
        <v>30</v>
      </c>
      <c r="CM1423" s="90" t="s">
        <v>30</v>
      </c>
      <c r="CN1423" s="90" t="s">
        <v>200</v>
      </c>
      <c r="CO1423" s="90" t="s">
        <v>200</v>
      </c>
      <c r="CP1423" s="90" t="s">
        <v>200</v>
      </c>
      <c r="CQ1423" s="90" t="s">
        <v>200</v>
      </c>
      <c r="CR1423" s="90" t="s">
        <v>200</v>
      </c>
      <c r="CS1423" s="90" t="s">
        <v>197</v>
      </c>
      <c r="CT1423" s="90" t="s">
        <v>200</v>
      </c>
      <c r="CU1423" s="90" t="s">
        <v>200</v>
      </c>
      <c r="CV1423" s="90" t="s">
        <v>200</v>
      </c>
      <c r="CW1423" s="90" t="s">
        <v>200</v>
      </c>
      <c r="CX1423" s="90" t="s">
        <v>200</v>
      </c>
      <c r="CY1423" s="90" t="s">
        <v>200</v>
      </c>
      <c r="CZ1423" s="90" t="s">
        <v>200</v>
      </c>
      <c r="DA1423" s="90" t="s">
        <v>200</v>
      </c>
      <c r="DB1423" s="90" t="s">
        <v>200</v>
      </c>
      <c r="DC1423" s="90" t="s">
        <v>200</v>
      </c>
      <c r="DD1423" s="90" t="s">
        <v>197</v>
      </c>
      <c r="DE1423" s="90" t="s">
        <v>197</v>
      </c>
      <c r="DF1423" s="90" t="s">
        <v>197</v>
      </c>
      <c r="DG1423" s="90" t="s">
        <v>200</v>
      </c>
      <c r="DH1423" s="90" t="s">
        <v>200</v>
      </c>
      <c r="DI1423" s="90" t="s">
        <v>200</v>
      </c>
      <c r="DJ1423" s="90" t="s">
        <v>200</v>
      </c>
      <c r="DK1423" s="90"/>
      <c r="DL1423" s="90" t="s">
        <v>194</v>
      </c>
      <c r="DM1423" s="90" t="s">
        <v>195</v>
      </c>
      <c r="DN1423" s="90" t="s">
        <v>195</v>
      </c>
      <c r="DO1423" s="90" t="s">
        <v>195</v>
      </c>
      <c r="DP1423" s="90" t="s">
        <v>195</v>
      </c>
      <c r="DQ1423" s="90" t="s">
        <v>195</v>
      </c>
      <c r="DR1423" s="90" t="s">
        <v>195</v>
      </c>
      <c r="DS1423" s="90" t="s">
        <v>195</v>
      </c>
      <c r="DT1423" s="90" t="s">
        <v>195</v>
      </c>
      <c r="DU1423" s="90" t="s">
        <v>195</v>
      </c>
      <c r="DV1423" s="90" t="s">
        <v>195</v>
      </c>
      <c r="DW1423" s="90" t="s">
        <v>195</v>
      </c>
      <c r="DX1423" s="90" t="s">
        <v>195</v>
      </c>
      <c r="DY1423" s="90" t="s">
        <v>195</v>
      </c>
      <c r="DZ1423" s="90" t="s">
        <v>195</v>
      </c>
      <c r="EA1423" s="90"/>
      <c r="EB1423" s="90" t="s">
        <v>194</v>
      </c>
      <c r="EC1423" s="90" t="s">
        <v>195</v>
      </c>
      <c r="ED1423" s="90" t="s">
        <v>195</v>
      </c>
      <c r="EE1423" s="90" t="s">
        <v>195</v>
      </c>
      <c r="EF1423" s="90" t="s">
        <v>195</v>
      </c>
      <c r="EG1423" s="90" t="s">
        <v>195</v>
      </c>
      <c r="EH1423" s="102" t="s">
        <v>195</v>
      </c>
    </row>
    <row r="1424" spans="1:138" ht="23.25" customHeight="1" x14ac:dyDescent="0.25">
      <c r="A1424" s="98" t="s">
        <v>16</v>
      </c>
      <c r="B1424" s="99" t="s">
        <v>193</v>
      </c>
      <c r="C1424" s="99" t="s">
        <v>199</v>
      </c>
      <c r="D1424" s="99" t="s">
        <v>202</v>
      </c>
      <c r="E1424" s="99" t="s">
        <v>202</v>
      </c>
      <c r="F1424" s="99" t="s">
        <v>204</v>
      </c>
      <c r="G1424" s="99" t="s">
        <v>202</v>
      </c>
      <c r="H1424" s="99" t="s">
        <v>203</v>
      </c>
      <c r="I1424" s="99" t="s">
        <v>30</v>
      </c>
      <c r="J1424" s="99" t="s">
        <v>202</v>
      </c>
      <c r="K1424" s="99" t="s">
        <v>203</v>
      </c>
      <c r="L1424" s="99" t="s">
        <v>202</v>
      </c>
      <c r="M1424" s="99" t="s">
        <v>202</v>
      </c>
      <c r="N1424" s="99" t="s">
        <v>204</v>
      </c>
      <c r="O1424" s="99" t="s">
        <v>202</v>
      </c>
      <c r="P1424" s="99" t="s">
        <v>200</v>
      </c>
      <c r="Q1424" s="99" t="s">
        <v>202</v>
      </c>
      <c r="R1424" s="99" t="s">
        <v>202</v>
      </c>
      <c r="S1424" s="99" t="s">
        <v>204</v>
      </c>
      <c r="T1424" s="99"/>
      <c r="U1424" s="99" t="s">
        <v>199</v>
      </c>
      <c r="V1424" s="99" t="s">
        <v>30</v>
      </c>
      <c r="W1424" s="99" t="s">
        <v>202</v>
      </c>
      <c r="X1424" s="99" t="s">
        <v>202</v>
      </c>
      <c r="Y1424" s="99" t="s">
        <v>202</v>
      </c>
      <c r="Z1424" s="99" t="s">
        <v>196</v>
      </c>
      <c r="AA1424" s="99" t="s">
        <v>202</v>
      </c>
      <c r="AB1424" s="99" t="s">
        <v>204</v>
      </c>
      <c r="AC1424" s="99" t="s">
        <v>30</v>
      </c>
      <c r="AD1424" s="99" t="s">
        <v>30</v>
      </c>
      <c r="AE1424" s="99" t="s">
        <v>195</v>
      </c>
      <c r="AF1424" s="99" t="s">
        <v>195</v>
      </c>
      <c r="AG1424" s="99" t="s">
        <v>195</v>
      </c>
      <c r="AH1424" s="99" t="s">
        <v>195</v>
      </c>
      <c r="AI1424" s="99" t="s">
        <v>194</v>
      </c>
      <c r="AJ1424" s="99" t="s">
        <v>195</v>
      </c>
      <c r="AK1424" s="99" t="s">
        <v>195</v>
      </c>
      <c r="AL1424" s="99" t="s">
        <v>195</v>
      </c>
      <c r="AM1424" s="99"/>
      <c r="AN1424" s="99" t="s">
        <v>194</v>
      </c>
      <c r="AO1424" s="99" t="s">
        <v>195</v>
      </c>
      <c r="AP1424" s="99" t="s">
        <v>195</v>
      </c>
      <c r="AQ1424" s="99" t="s">
        <v>195</v>
      </c>
      <c r="AR1424" s="99" t="s">
        <v>195</v>
      </c>
      <c r="AS1424" s="99" t="s">
        <v>195</v>
      </c>
      <c r="AT1424" s="99" t="s">
        <v>195</v>
      </c>
      <c r="AU1424" s="99" t="s">
        <v>195</v>
      </c>
      <c r="AV1424" s="99" t="s">
        <v>195</v>
      </c>
      <c r="AW1424" s="99" t="s">
        <v>195</v>
      </c>
      <c r="AX1424" s="99" t="s">
        <v>195</v>
      </c>
      <c r="AY1424" s="99"/>
      <c r="AZ1424" s="99" t="s">
        <v>199</v>
      </c>
      <c r="BA1424" s="99" t="s">
        <v>199</v>
      </c>
      <c r="BB1424" s="99" t="s">
        <v>202</v>
      </c>
      <c r="BC1424" s="99" t="s">
        <v>204</v>
      </c>
      <c r="BD1424" s="99" t="s">
        <v>204</v>
      </c>
      <c r="BE1424" s="99" t="s">
        <v>30</v>
      </c>
      <c r="BF1424" s="99" t="s">
        <v>204</v>
      </c>
      <c r="BG1424" s="99" t="s">
        <v>203</v>
      </c>
      <c r="BH1424" s="99" t="s">
        <v>204</v>
      </c>
      <c r="BI1424" s="99" t="s">
        <v>203</v>
      </c>
      <c r="BJ1424" s="99" t="s">
        <v>204</v>
      </c>
      <c r="BK1424" s="99" t="s">
        <v>204</v>
      </c>
      <c r="BL1424" s="99" t="s">
        <v>200</v>
      </c>
      <c r="BM1424" s="99" t="s">
        <v>200</v>
      </c>
      <c r="BN1424" s="99" t="s">
        <v>200</v>
      </c>
      <c r="BO1424" s="99" t="s">
        <v>204</v>
      </c>
      <c r="BP1424" s="99" t="s">
        <v>200</v>
      </c>
      <c r="BQ1424" s="99" t="s">
        <v>200</v>
      </c>
      <c r="BR1424" s="99" t="s">
        <v>200</v>
      </c>
      <c r="BS1424" s="99" t="s">
        <v>202</v>
      </c>
      <c r="BT1424" s="99"/>
      <c r="BU1424" s="99" t="s">
        <v>202</v>
      </c>
      <c r="BV1424" s="99" t="s">
        <v>195</v>
      </c>
      <c r="BW1424" s="99" t="s">
        <v>30</v>
      </c>
      <c r="BX1424" s="99" t="s">
        <v>30</v>
      </c>
      <c r="BY1424" s="99" t="s">
        <v>195</v>
      </c>
      <c r="BZ1424" s="99" t="s">
        <v>195</v>
      </c>
      <c r="CA1424" s="99" t="s">
        <v>200</v>
      </c>
      <c r="CB1424" s="99"/>
      <c r="CC1424" s="99" t="s">
        <v>201</v>
      </c>
      <c r="CD1424" s="99"/>
      <c r="CE1424" s="99" t="s">
        <v>194</v>
      </c>
      <c r="CF1424" s="99"/>
      <c r="CG1424" s="99"/>
      <c r="CH1424" s="99"/>
      <c r="CI1424" s="99" t="s">
        <v>194</v>
      </c>
      <c r="CJ1424" s="99" t="s">
        <v>195</v>
      </c>
      <c r="CK1424" s="99" t="s">
        <v>195</v>
      </c>
      <c r="CL1424" s="99" t="s">
        <v>195</v>
      </c>
      <c r="CM1424" s="99" t="s">
        <v>195</v>
      </c>
      <c r="CN1424" s="99" t="s">
        <v>195</v>
      </c>
      <c r="CO1424" s="99" t="s">
        <v>195</v>
      </c>
      <c r="CP1424" s="99" t="s">
        <v>195</v>
      </c>
      <c r="CQ1424" s="99" t="s">
        <v>195</v>
      </c>
      <c r="CR1424" s="99" t="s">
        <v>195</v>
      </c>
      <c r="CS1424" s="99" t="s">
        <v>195</v>
      </c>
      <c r="CT1424" s="99" t="s">
        <v>195</v>
      </c>
      <c r="CU1424" s="99" t="s">
        <v>195</v>
      </c>
      <c r="CV1424" s="99" t="s">
        <v>195</v>
      </c>
      <c r="CW1424" s="99" t="s">
        <v>195</v>
      </c>
      <c r="CX1424" s="99" t="s">
        <v>195</v>
      </c>
      <c r="CY1424" s="99" t="s">
        <v>195</v>
      </c>
      <c r="CZ1424" s="99" t="s">
        <v>195</v>
      </c>
      <c r="DA1424" s="99" t="s">
        <v>195</v>
      </c>
      <c r="DB1424" s="99" t="s">
        <v>195</v>
      </c>
      <c r="DC1424" s="99" t="s">
        <v>195</v>
      </c>
      <c r="DD1424" s="99" t="s">
        <v>195</v>
      </c>
      <c r="DE1424" s="99" t="s">
        <v>195</v>
      </c>
      <c r="DF1424" s="99" t="s">
        <v>195</v>
      </c>
      <c r="DG1424" s="99" t="s">
        <v>195</v>
      </c>
      <c r="DH1424" s="99" t="s">
        <v>195</v>
      </c>
      <c r="DI1424" s="99" t="s">
        <v>195</v>
      </c>
      <c r="DJ1424" s="99" t="s">
        <v>195</v>
      </c>
      <c r="DK1424" s="99"/>
      <c r="DL1424" s="99" t="s">
        <v>194</v>
      </c>
      <c r="DM1424" s="99" t="s">
        <v>195</v>
      </c>
      <c r="DN1424" s="99" t="s">
        <v>195</v>
      </c>
      <c r="DO1424" s="99" t="s">
        <v>195</v>
      </c>
      <c r="DP1424" s="99" t="s">
        <v>195</v>
      </c>
      <c r="DQ1424" s="99" t="s">
        <v>195</v>
      </c>
      <c r="DR1424" s="99" t="s">
        <v>195</v>
      </c>
      <c r="DS1424" s="99" t="s">
        <v>195</v>
      </c>
      <c r="DT1424" s="99" t="s">
        <v>195</v>
      </c>
      <c r="DU1424" s="99" t="s">
        <v>195</v>
      </c>
      <c r="DV1424" s="99" t="s">
        <v>195</v>
      </c>
      <c r="DW1424" s="99" t="s">
        <v>195</v>
      </c>
      <c r="DX1424" s="99" t="s">
        <v>195</v>
      </c>
      <c r="DY1424" s="99" t="s">
        <v>195</v>
      </c>
      <c r="DZ1424" s="99" t="s">
        <v>195</v>
      </c>
      <c r="EA1424" s="99"/>
      <c r="EB1424" s="99" t="s">
        <v>194</v>
      </c>
      <c r="EC1424" s="99" t="s">
        <v>195</v>
      </c>
      <c r="ED1424" s="99" t="s">
        <v>195</v>
      </c>
      <c r="EE1424" s="99" t="s">
        <v>195</v>
      </c>
      <c r="EF1424" s="99" t="s">
        <v>195</v>
      </c>
      <c r="EG1424" s="99" t="s">
        <v>195</v>
      </c>
      <c r="EH1424" s="100" t="s">
        <v>195</v>
      </c>
    </row>
    <row r="1425" spans="1:138" ht="23.25" customHeight="1" x14ac:dyDescent="0.25">
      <c r="A1425" s="101" t="s">
        <v>16</v>
      </c>
      <c r="B1425" s="90" t="s">
        <v>193</v>
      </c>
      <c r="C1425" s="90" t="s">
        <v>194</v>
      </c>
      <c r="D1425" s="90" t="s">
        <v>195</v>
      </c>
      <c r="E1425" s="90" t="s">
        <v>195</v>
      </c>
      <c r="F1425" s="90" t="s">
        <v>195</v>
      </c>
      <c r="G1425" s="90" t="s">
        <v>195</v>
      </c>
      <c r="H1425" s="90" t="s">
        <v>195</v>
      </c>
      <c r="I1425" s="90" t="s">
        <v>195</v>
      </c>
      <c r="J1425" s="90" t="s">
        <v>195</v>
      </c>
      <c r="K1425" s="90" t="s">
        <v>195</v>
      </c>
      <c r="L1425" s="90" t="s">
        <v>195</v>
      </c>
      <c r="M1425" s="90" t="s">
        <v>195</v>
      </c>
      <c r="N1425" s="90" t="s">
        <v>195</v>
      </c>
      <c r="O1425" s="90" t="s">
        <v>195</v>
      </c>
      <c r="P1425" s="90" t="s">
        <v>195</v>
      </c>
      <c r="Q1425" s="90" t="s">
        <v>195</v>
      </c>
      <c r="R1425" s="90" t="s">
        <v>195</v>
      </c>
      <c r="S1425" s="90" t="s">
        <v>195</v>
      </c>
      <c r="T1425" s="90"/>
      <c r="U1425" s="90" t="s">
        <v>194</v>
      </c>
      <c r="V1425" s="90" t="s">
        <v>195</v>
      </c>
      <c r="W1425" s="90" t="s">
        <v>195</v>
      </c>
      <c r="X1425" s="90" t="s">
        <v>195</v>
      </c>
      <c r="Y1425" s="90" t="s">
        <v>195</v>
      </c>
      <c r="Z1425" s="90" t="s">
        <v>196</v>
      </c>
      <c r="AA1425" s="90" t="s">
        <v>195</v>
      </c>
      <c r="AB1425" s="90" t="s">
        <v>195</v>
      </c>
      <c r="AC1425" s="90" t="s">
        <v>195</v>
      </c>
      <c r="AD1425" s="90" t="s">
        <v>195</v>
      </c>
      <c r="AE1425" s="90" t="s">
        <v>195</v>
      </c>
      <c r="AF1425" s="90" t="s">
        <v>195</v>
      </c>
      <c r="AG1425" s="90" t="s">
        <v>195</v>
      </c>
      <c r="AH1425" s="90" t="s">
        <v>195</v>
      </c>
      <c r="AI1425" s="90" t="s">
        <v>194</v>
      </c>
      <c r="AJ1425" s="90" t="s">
        <v>195</v>
      </c>
      <c r="AK1425" s="90" t="s">
        <v>195</v>
      </c>
      <c r="AL1425" s="90" t="s">
        <v>195</v>
      </c>
      <c r="AM1425" s="90"/>
      <c r="AN1425" s="90" t="s">
        <v>194</v>
      </c>
      <c r="AO1425" s="90" t="s">
        <v>195</v>
      </c>
      <c r="AP1425" s="90" t="s">
        <v>195</v>
      </c>
      <c r="AQ1425" s="90" t="s">
        <v>195</v>
      </c>
      <c r="AR1425" s="90" t="s">
        <v>195</v>
      </c>
      <c r="AS1425" s="90" t="s">
        <v>195</v>
      </c>
      <c r="AT1425" s="90" t="s">
        <v>195</v>
      </c>
      <c r="AU1425" s="90" t="s">
        <v>195</v>
      </c>
      <c r="AV1425" s="90" t="s">
        <v>195</v>
      </c>
      <c r="AW1425" s="90" t="s">
        <v>195</v>
      </c>
      <c r="AX1425" s="90" t="s">
        <v>195</v>
      </c>
      <c r="AY1425" s="90"/>
      <c r="AZ1425" s="90" t="s">
        <v>194</v>
      </c>
      <c r="BA1425" s="90" t="s">
        <v>194</v>
      </c>
      <c r="BB1425" s="90" t="s">
        <v>195</v>
      </c>
      <c r="BC1425" s="90" t="s">
        <v>195</v>
      </c>
      <c r="BD1425" s="90" t="s">
        <v>195</v>
      </c>
      <c r="BE1425" s="90" t="s">
        <v>195</v>
      </c>
      <c r="BF1425" s="90" t="s">
        <v>195</v>
      </c>
      <c r="BG1425" s="90" t="s">
        <v>195</v>
      </c>
      <c r="BH1425" s="90" t="s">
        <v>195</v>
      </c>
      <c r="BI1425" s="90" t="s">
        <v>195</v>
      </c>
      <c r="BJ1425" s="90" t="s">
        <v>195</v>
      </c>
      <c r="BK1425" s="90" t="s">
        <v>195</v>
      </c>
      <c r="BL1425" s="90" t="s">
        <v>195</v>
      </c>
      <c r="BM1425" s="90" t="s">
        <v>195</v>
      </c>
      <c r="BN1425" s="90" t="s">
        <v>195</v>
      </c>
      <c r="BO1425" s="90" t="s">
        <v>195</v>
      </c>
      <c r="BP1425" s="90" t="s">
        <v>195</v>
      </c>
      <c r="BQ1425" s="90" t="s">
        <v>195</v>
      </c>
      <c r="BR1425" s="90" t="s">
        <v>195</v>
      </c>
      <c r="BS1425" s="90" t="s">
        <v>195</v>
      </c>
      <c r="BT1425" s="90"/>
      <c r="BU1425" s="90" t="s">
        <v>200</v>
      </c>
      <c r="BV1425" s="90" t="s">
        <v>200</v>
      </c>
      <c r="BW1425" s="90" t="s">
        <v>200</v>
      </c>
      <c r="BX1425" s="90" t="s">
        <v>200</v>
      </c>
      <c r="BY1425" s="90" t="s">
        <v>195</v>
      </c>
      <c r="BZ1425" s="90" t="s">
        <v>195</v>
      </c>
      <c r="CA1425" s="90" t="s">
        <v>200</v>
      </c>
      <c r="CB1425" s="90"/>
      <c r="CC1425" s="90" t="s">
        <v>206</v>
      </c>
      <c r="CD1425" s="90"/>
      <c r="CE1425" s="90" t="s">
        <v>199</v>
      </c>
      <c r="CF1425" s="90"/>
      <c r="CG1425" s="90"/>
      <c r="CH1425" s="90"/>
      <c r="CI1425" s="90" t="s">
        <v>194</v>
      </c>
      <c r="CJ1425" s="90" t="s">
        <v>195</v>
      </c>
      <c r="CK1425" s="90" t="s">
        <v>195</v>
      </c>
      <c r="CL1425" s="90" t="s">
        <v>195</v>
      </c>
      <c r="CM1425" s="90" t="s">
        <v>195</v>
      </c>
      <c r="CN1425" s="90" t="s">
        <v>195</v>
      </c>
      <c r="CO1425" s="90" t="s">
        <v>195</v>
      </c>
      <c r="CP1425" s="90" t="s">
        <v>195</v>
      </c>
      <c r="CQ1425" s="90" t="s">
        <v>195</v>
      </c>
      <c r="CR1425" s="90" t="s">
        <v>195</v>
      </c>
      <c r="CS1425" s="90" t="s">
        <v>195</v>
      </c>
      <c r="CT1425" s="90" t="s">
        <v>195</v>
      </c>
      <c r="CU1425" s="90" t="s">
        <v>195</v>
      </c>
      <c r="CV1425" s="90" t="s">
        <v>195</v>
      </c>
      <c r="CW1425" s="90" t="s">
        <v>195</v>
      </c>
      <c r="CX1425" s="90" t="s">
        <v>195</v>
      </c>
      <c r="CY1425" s="90" t="s">
        <v>195</v>
      </c>
      <c r="CZ1425" s="90" t="s">
        <v>195</v>
      </c>
      <c r="DA1425" s="90" t="s">
        <v>195</v>
      </c>
      <c r="DB1425" s="90" t="s">
        <v>195</v>
      </c>
      <c r="DC1425" s="90" t="s">
        <v>195</v>
      </c>
      <c r="DD1425" s="90" t="s">
        <v>195</v>
      </c>
      <c r="DE1425" s="90" t="s">
        <v>195</v>
      </c>
      <c r="DF1425" s="90" t="s">
        <v>195</v>
      </c>
      <c r="DG1425" s="90" t="s">
        <v>195</v>
      </c>
      <c r="DH1425" s="90" t="s">
        <v>195</v>
      </c>
      <c r="DI1425" s="90" t="s">
        <v>195</v>
      </c>
      <c r="DJ1425" s="90" t="s">
        <v>195</v>
      </c>
      <c r="DK1425" s="90"/>
      <c r="DL1425" s="90" t="s">
        <v>194</v>
      </c>
      <c r="DM1425" s="90" t="s">
        <v>195</v>
      </c>
      <c r="DN1425" s="90" t="s">
        <v>195</v>
      </c>
      <c r="DO1425" s="90" t="s">
        <v>195</v>
      </c>
      <c r="DP1425" s="90" t="s">
        <v>195</v>
      </c>
      <c r="DQ1425" s="90" t="s">
        <v>195</v>
      </c>
      <c r="DR1425" s="90" t="s">
        <v>195</v>
      </c>
      <c r="DS1425" s="90" t="s">
        <v>195</v>
      </c>
      <c r="DT1425" s="90" t="s">
        <v>195</v>
      </c>
      <c r="DU1425" s="90" t="s">
        <v>195</v>
      </c>
      <c r="DV1425" s="90" t="s">
        <v>195</v>
      </c>
      <c r="DW1425" s="90" t="s">
        <v>195</v>
      </c>
      <c r="DX1425" s="90" t="s">
        <v>195</v>
      </c>
      <c r="DY1425" s="90" t="s">
        <v>195</v>
      </c>
      <c r="DZ1425" s="90" t="s">
        <v>195</v>
      </c>
      <c r="EA1425" s="90"/>
      <c r="EB1425" s="90" t="s">
        <v>194</v>
      </c>
      <c r="EC1425" s="90" t="s">
        <v>195</v>
      </c>
      <c r="ED1425" s="90" t="s">
        <v>195</v>
      </c>
      <c r="EE1425" s="90" t="s">
        <v>195</v>
      </c>
      <c r="EF1425" s="90" t="s">
        <v>195</v>
      </c>
      <c r="EG1425" s="90" t="s">
        <v>195</v>
      </c>
      <c r="EH1425" s="102" t="s">
        <v>195</v>
      </c>
    </row>
    <row r="1426" spans="1:138" ht="23.25" customHeight="1" x14ac:dyDescent="0.25">
      <c r="A1426" s="98" t="s">
        <v>17</v>
      </c>
      <c r="B1426" s="99" t="s">
        <v>193</v>
      </c>
      <c r="C1426" s="99" t="s">
        <v>199</v>
      </c>
      <c r="D1426" s="99" t="s">
        <v>200</v>
      </c>
      <c r="E1426" s="99" t="s">
        <v>200</v>
      </c>
      <c r="F1426" s="99" t="s">
        <v>200</v>
      </c>
      <c r="G1426" s="99" t="s">
        <v>197</v>
      </c>
      <c r="H1426" s="99" t="s">
        <v>203</v>
      </c>
      <c r="I1426" s="99" t="s">
        <v>30</v>
      </c>
      <c r="J1426" s="99" t="s">
        <v>30</v>
      </c>
      <c r="K1426" s="99" t="s">
        <v>203</v>
      </c>
      <c r="L1426" s="99" t="s">
        <v>200</v>
      </c>
      <c r="M1426" s="99" t="s">
        <v>202</v>
      </c>
      <c r="N1426" s="99" t="s">
        <v>204</v>
      </c>
      <c r="O1426" s="99" t="s">
        <v>30</v>
      </c>
      <c r="P1426" s="99" t="s">
        <v>203</v>
      </c>
      <c r="Q1426" s="99" t="s">
        <v>200</v>
      </c>
      <c r="R1426" s="99" t="s">
        <v>203</v>
      </c>
      <c r="S1426" s="99" t="s">
        <v>200</v>
      </c>
      <c r="T1426" s="99"/>
      <c r="U1426" s="99" t="s">
        <v>194</v>
      </c>
      <c r="V1426" s="99" t="s">
        <v>195</v>
      </c>
      <c r="W1426" s="99" t="s">
        <v>195</v>
      </c>
      <c r="X1426" s="99" t="s">
        <v>195</v>
      </c>
      <c r="Y1426" s="99" t="s">
        <v>195</v>
      </c>
      <c r="Z1426" s="99" t="s">
        <v>196</v>
      </c>
      <c r="AA1426" s="99" t="s">
        <v>195</v>
      </c>
      <c r="AB1426" s="99" t="s">
        <v>195</v>
      </c>
      <c r="AC1426" s="99" t="s">
        <v>195</v>
      </c>
      <c r="AD1426" s="99" t="s">
        <v>195</v>
      </c>
      <c r="AE1426" s="99" t="s">
        <v>195</v>
      </c>
      <c r="AF1426" s="99" t="s">
        <v>195</v>
      </c>
      <c r="AG1426" s="99" t="s">
        <v>195</v>
      </c>
      <c r="AH1426" s="99" t="s">
        <v>195</v>
      </c>
      <c r="AI1426" s="99" t="s">
        <v>194</v>
      </c>
      <c r="AJ1426" s="99" t="s">
        <v>195</v>
      </c>
      <c r="AK1426" s="99" t="s">
        <v>195</v>
      </c>
      <c r="AL1426" s="99" t="s">
        <v>195</v>
      </c>
      <c r="AM1426" s="99"/>
      <c r="AN1426" s="99" t="s">
        <v>199</v>
      </c>
      <c r="AO1426" s="99" t="s">
        <v>200</v>
      </c>
      <c r="AP1426" s="99" t="s">
        <v>200</v>
      </c>
      <c r="AQ1426" s="99" t="s">
        <v>30</v>
      </c>
      <c r="AR1426" s="99" t="s">
        <v>200</v>
      </c>
      <c r="AS1426" s="99" t="s">
        <v>202</v>
      </c>
      <c r="AT1426" s="99" t="s">
        <v>200</v>
      </c>
      <c r="AU1426" s="99" t="s">
        <v>30</v>
      </c>
      <c r="AV1426" s="99" t="s">
        <v>30</v>
      </c>
      <c r="AW1426" s="99" t="s">
        <v>200</v>
      </c>
      <c r="AX1426" s="99" t="s">
        <v>200</v>
      </c>
      <c r="AY1426" s="99"/>
      <c r="AZ1426" s="99" t="s">
        <v>194</v>
      </c>
      <c r="BA1426" s="99" t="s">
        <v>194</v>
      </c>
      <c r="BB1426" s="99" t="s">
        <v>195</v>
      </c>
      <c r="BC1426" s="99" t="s">
        <v>195</v>
      </c>
      <c r="BD1426" s="99" t="s">
        <v>195</v>
      </c>
      <c r="BE1426" s="99" t="s">
        <v>195</v>
      </c>
      <c r="BF1426" s="99" t="s">
        <v>195</v>
      </c>
      <c r="BG1426" s="99" t="s">
        <v>195</v>
      </c>
      <c r="BH1426" s="99" t="s">
        <v>195</v>
      </c>
      <c r="BI1426" s="99" t="s">
        <v>195</v>
      </c>
      <c r="BJ1426" s="99" t="s">
        <v>195</v>
      </c>
      <c r="BK1426" s="99" t="s">
        <v>195</v>
      </c>
      <c r="BL1426" s="99" t="s">
        <v>195</v>
      </c>
      <c r="BM1426" s="99" t="s">
        <v>195</v>
      </c>
      <c r="BN1426" s="99" t="s">
        <v>195</v>
      </c>
      <c r="BO1426" s="99" t="s">
        <v>195</v>
      </c>
      <c r="BP1426" s="99" t="s">
        <v>195</v>
      </c>
      <c r="BQ1426" s="99" t="s">
        <v>195</v>
      </c>
      <c r="BR1426" s="99" t="s">
        <v>195</v>
      </c>
      <c r="BS1426" s="99" t="s">
        <v>195</v>
      </c>
      <c r="BT1426" s="99"/>
      <c r="BU1426" s="99" t="s">
        <v>205</v>
      </c>
      <c r="BV1426" s="99" t="s">
        <v>205</v>
      </c>
      <c r="BW1426" s="99" t="s">
        <v>205</v>
      </c>
      <c r="BX1426" s="99" t="s">
        <v>205</v>
      </c>
      <c r="BY1426" s="99" t="s">
        <v>205</v>
      </c>
      <c r="BZ1426" s="99" t="s">
        <v>205</v>
      </c>
      <c r="CA1426" s="99" t="s">
        <v>205</v>
      </c>
      <c r="CB1426" s="99"/>
      <c r="CC1426" s="99" t="s">
        <v>206</v>
      </c>
      <c r="CD1426" s="99"/>
      <c r="CE1426" s="99" t="s">
        <v>199</v>
      </c>
      <c r="CF1426" s="99"/>
      <c r="CG1426" s="99"/>
      <c r="CH1426" s="99"/>
      <c r="CI1426" s="99" t="s">
        <v>194</v>
      </c>
      <c r="CJ1426" s="99" t="s">
        <v>195</v>
      </c>
      <c r="CK1426" s="99" t="s">
        <v>195</v>
      </c>
      <c r="CL1426" s="99" t="s">
        <v>195</v>
      </c>
      <c r="CM1426" s="99" t="s">
        <v>195</v>
      </c>
      <c r="CN1426" s="99" t="s">
        <v>195</v>
      </c>
      <c r="CO1426" s="99" t="s">
        <v>195</v>
      </c>
      <c r="CP1426" s="99" t="s">
        <v>195</v>
      </c>
      <c r="CQ1426" s="99" t="s">
        <v>195</v>
      </c>
      <c r="CR1426" s="99" t="s">
        <v>195</v>
      </c>
      <c r="CS1426" s="99" t="s">
        <v>195</v>
      </c>
      <c r="CT1426" s="99" t="s">
        <v>195</v>
      </c>
      <c r="CU1426" s="99" t="s">
        <v>195</v>
      </c>
      <c r="CV1426" s="99" t="s">
        <v>195</v>
      </c>
      <c r="CW1426" s="99" t="s">
        <v>195</v>
      </c>
      <c r="CX1426" s="99" t="s">
        <v>195</v>
      </c>
      <c r="CY1426" s="99" t="s">
        <v>195</v>
      </c>
      <c r="CZ1426" s="99" t="s">
        <v>195</v>
      </c>
      <c r="DA1426" s="99" t="s">
        <v>195</v>
      </c>
      <c r="DB1426" s="99" t="s">
        <v>195</v>
      </c>
      <c r="DC1426" s="99" t="s">
        <v>195</v>
      </c>
      <c r="DD1426" s="99" t="s">
        <v>195</v>
      </c>
      <c r="DE1426" s="99" t="s">
        <v>195</v>
      </c>
      <c r="DF1426" s="99" t="s">
        <v>195</v>
      </c>
      <c r="DG1426" s="99" t="s">
        <v>195</v>
      </c>
      <c r="DH1426" s="99" t="s">
        <v>195</v>
      </c>
      <c r="DI1426" s="99" t="s">
        <v>195</v>
      </c>
      <c r="DJ1426" s="99" t="s">
        <v>195</v>
      </c>
      <c r="DK1426" s="99"/>
      <c r="DL1426" s="99" t="s">
        <v>194</v>
      </c>
      <c r="DM1426" s="99" t="s">
        <v>195</v>
      </c>
      <c r="DN1426" s="99" t="s">
        <v>195</v>
      </c>
      <c r="DO1426" s="99" t="s">
        <v>195</v>
      </c>
      <c r="DP1426" s="99" t="s">
        <v>195</v>
      </c>
      <c r="DQ1426" s="99" t="s">
        <v>195</v>
      </c>
      <c r="DR1426" s="99" t="s">
        <v>195</v>
      </c>
      <c r="DS1426" s="99" t="s">
        <v>195</v>
      </c>
      <c r="DT1426" s="99" t="s">
        <v>195</v>
      </c>
      <c r="DU1426" s="99" t="s">
        <v>195</v>
      </c>
      <c r="DV1426" s="99" t="s">
        <v>195</v>
      </c>
      <c r="DW1426" s="99" t="s">
        <v>195</v>
      </c>
      <c r="DX1426" s="99" t="s">
        <v>195</v>
      </c>
      <c r="DY1426" s="99" t="s">
        <v>195</v>
      </c>
      <c r="DZ1426" s="99" t="s">
        <v>195</v>
      </c>
      <c r="EA1426" s="99"/>
      <c r="EB1426" s="99" t="s">
        <v>194</v>
      </c>
      <c r="EC1426" s="99" t="s">
        <v>195</v>
      </c>
      <c r="ED1426" s="99" t="s">
        <v>195</v>
      </c>
      <c r="EE1426" s="99" t="s">
        <v>195</v>
      </c>
      <c r="EF1426" s="99" t="s">
        <v>195</v>
      </c>
      <c r="EG1426" s="99" t="s">
        <v>195</v>
      </c>
      <c r="EH1426" s="100" t="s">
        <v>195</v>
      </c>
    </row>
    <row r="1427" spans="1:138" ht="23.25" customHeight="1" x14ac:dyDescent="0.25">
      <c r="A1427" s="101" t="s">
        <v>17</v>
      </c>
      <c r="B1427" s="90" t="s">
        <v>193</v>
      </c>
      <c r="C1427" s="90" t="s">
        <v>199</v>
      </c>
      <c r="D1427" s="90" t="s">
        <v>200</v>
      </c>
      <c r="E1427" s="90" t="s">
        <v>200</v>
      </c>
      <c r="F1427" s="90" t="s">
        <v>197</v>
      </c>
      <c r="G1427" s="90" t="s">
        <v>203</v>
      </c>
      <c r="H1427" s="90" t="s">
        <v>197</v>
      </c>
      <c r="I1427" s="90" t="s">
        <v>200</v>
      </c>
      <c r="J1427" s="90" t="s">
        <v>200</v>
      </c>
      <c r="K1427" s="90" t="s">
        <v>203</v>
      </c>
      <c r="L1427" s="90" t="s">
        <v>203</v>
      </c>
      <c r="M1427" s="90" t="s">
        <v>203</v>
      </c>
      <c r="N1427" s="90" t="s">
        <v>203</v>
      </c>
      <c r="O1427" s="90" t="s">
        <v>197</v>
      </c>
      <c r="P1427" s="90" t="s">
        <v>197</v>
      </c>
      <c r="Q1427" s="90" t="s">
        <v>203</v>
      </c>
      <c r="R1427" s="90" t="s">
        <v>203</v>
      </c>
      <c r="S1427" s="90" t="s">
        <v>203</v>
      </c>
      <c r="T1427" s="90"/>
      <c r="U1427" s="90" t="s">
        <v>199</v>
      </c>
      <c r="V1427" s="90" t="s">
        <v>203</v>
      </c>
      <c r="W1427" s="90" t="s">
        <v>200</v>
      </c>
      <c r="X1427" s="90" t="s">
        <v>30</v>
      </c>
      <c r="Y1427" s="90" t="s">
        <v>197</v>
      </c>
      <c r="Z1427" s="90" t="s">
        <v>17</v>
      </c>
      <c r="AA1427" s="90" t="s">
        <v>203</v>
      </c>
      <c r="AB1427" s="90" t="s">
        <v>203</v>
      </c>
      <c r="AC1427" s="90" t="s">
        <v>203</v>
      </c>
      <c r="AD1427" s="90" t="s">
        <v>203</v>
      </c>
      <c r="AE1427" s="90" t="s">
        <v>195</v>
      </c>
      <c r="AF1427" s="90" t="s">
        <v>195</v>
      </c>
      <c r="AG1427" s="90" t="s">
        <v>195</v>
      </c>
      <c r="AH1427" s="90" t="s">
        <v>195</v>
      </c>
      <c r="AI1427" s="90" t="s">
        <v>199</v>
      </c>
      <c r="AJ1427" s="90" t="s">
        <v>197</v>
      </c>
      <c r="AK1427" s="90" t="s">
        <v>197</v>
      </c>
      <c r="AL1427" s="90" t="s">
        <v>197</v>
      </c>
      <c r="AM1427" s="90"/>
      <c r="AN1427" s="90" t="s">
        <v>199</v>
      </c>
      <c r="AO1427" s="90" t="s">
        <v>197</v>
      </c>
      <c r="AP1427" s="90" t="s">
        <v>197</v>
      </c>
      <c r="AQ1427" s="90" t="s">
        <v>197</v>
      </c>
      <c r="AR1427" s="90" t="s">
        <v>197</v>
      </c>
      <c r="AS1427" s="90" t="s">
        <v>200</v>
      </c>
      <c r="AT1427" s="90" t="s">
        <v>197</v>
      </c>
      <c r="AU1427" s="90" t="s">
        <v>200</v>
      </c>
      <c r="AV1427" s="90" t="s">
        <v>197</v>
      </c>
      <c r="AW1427" s="90" t="s">
        <v>197</v>
      </c>
      <c r="AX1427" s="90" t="s">
        <v>200</v>
      </c>
      <c r="AY1427" s="90"/>
      <c r="AZ1427" s="90" t="s">
        <v>199</v>
      </c>
      <c r="BA1427" s="90" t="s">
        <v>199</v>
      </c>
      <c r="BB1427" s="90" t="s">
        <v>30</v>
      </c>
      <c r="BC1427" s="90" t="s">
        <v>197</v>
      </c>
      <c r="BD1427" s="90" t="s">
        <v>197</v>
      </c>
      <c r="BE1427" s="90" t="s">
        <v>197</v>
      </c>
      <c r="BF1427" s="90" t="s">
        <v>197</v>
      </c>
      <c r="BG1427" s="90" t="s">
        <v>197</v>
      </c>
      <c r="BH1427" s="90" t="s">
        <v>200</v>
      </c>
      <c r="BI1427" s="90" t="s">
        <v>197</v>
      </c>
      <c r="BJ1427" s="90" t="s">
        <v>30</v>
      </c>
      <c r="BK1427" s="90" t="s">
        <v>203</v>
      </c>
      <c r="BL1427" s="90" t="s">
        <v>200</v>
      </c>
      <c r="BM1427" s="90" t="s">
        <v>197</v>
      </c>
      <c r="BN1427" s="90" t="s">
        <v>203</v>
      </c>
      <c r="BO1427" s="90" t="s">
        <v>203</v>
      </c>
      <c r="BP1427" s="90" t="s">
        <v>203</v>
      </c>
      <c r="BQ1427" s="90" t="s">
        <v>203</v>
      </c>
      <c r="BR1427" s="90" t="s">
        <v>203</v>
      </c>
      <c r="BS1427" s="90" t="s">
        <v>203</v>
      </c>
      <c r="BT1427" s="90"/>
      <c r="BU1427" s="90" t="s">
        <v>205</v>
      </c>
      <c r="BV1427" s="90" t="s">
        <v>205</v>
      </c>
      <c r="BW1427" s="90" t="s">
        <v>205</v>
      </c>
      <c r="BX1427" s="90" t="s">
        <v>205</v>
      </c>
      <c r="BY1427" s="90" t="s">
        <v>205</v>
      </c>
      <c r="BZ1427" s="90" t="s">
        <v>205</v>
      </c>
      <c r="CA1427" s="90" t="s">
        <v>197</v>
      </c>
      <c r="CB1427" s="90"/>
      <c r="CC1427" s="90" t="s">
        <v>207</v>
      </c>
      <c r="CD1427" s="90"/>
      <c r="CE1427" s="90" t="s">
        <v>199</v>
      </c>
      <c r="CF1427" s="90"/>
      <c r="CG1427" s="90"/>
      <c r="CH1427" s="90"/>
      <c r="CI1427" s="90" t="s">
        <v>199</v>
      </c>
      <c r="CJ1427" s="90" t="s">
        <v>197</v>
      </c>
      <c r="CK1427" s="90" t="s">
        <v>200</v>
      </c>
      <c r="CL1427" s="90" t="s">
        <v>203</v>
      </c>
      <c r="CM1427" s="90" t="s">
        <v>203</v>
      </c>
      <c r="CN1427" s="90" t="s">
        <v>30</v>
      </c>
      <c r="CO1427" s="90" t="s">
        <v>30</v>
      </c>
      <c r="CP1427" s="90" t="s">
        <v>200</v>
      </c>
      <c r="CQ1427" s="90" t="s">
        <v>200</v>
      </c>
      <c r="CR1427" s="90" t="s">
        <v>202</v>
      </c>
      <c r="CS1427" s="90" t="s">
        <v>200</v>
      </c>
      <c r="CT1427" s="90" t="s">
        <v>200</v>
      </c>
      <c r="CU1427" s="90" t="s">
        <v>200</v>
      </c>
      <c r="CV1427" s="90" t="s">
        <v>200</v>
      </c>
      <c r="CW1427" s="90" t="s">
        <v>200</v>
      </c>
      <c r="CX1427" s="90" t="s">
        <v>200</v>
      </c>
      <c r="CY1427" s="90" t="s">
        <v>197</v>
      </c>
      <c r="CZ1427" s="90" t="s">
        <v>200</v>
      </c>
      <c r="DA1427" s="90" t="s">
        <v>200</v>
      </c>
      <c r="DB1427" s="90" t="s">
        <v>203</v>
      </c>
      <c r="DC1427" s="90" t="s">
        <v>203</v>
      </c>
      <c r="DD1427" s="90" t="s">
        <v>203</v>
      </c>
      <c r="DE1427" s="90" t="s">
        <v>203</v>
      </c>
      <c r="DF1427" s="90" t="s">
        <v>203</v>
      </c>
      <c r="DG1427" s="90" t="s">
        <v>203</v>
      </c>
      <c r="DH1427" s="90" t="s">
        <v>203</v>
      </c>
      <c r="DI1427" s="90" t="s">
        <v>203</v>
      </c>
      <c r="DJ1427" s="90" t="s">
        <v>203</v>
      </c>
      <c r="DK1427" s="90"/>
      <c r="DL1427" s="90" t="s">
        <v>194</v>
      </c>
      <c r="DM1427" s="90" t="s">
        <v>195</v>
      </c>
      <c r="DN1427" s="90" t="s">
        <v>195</v>
      </c>
      <c r="DO1427" s="90" t="s">
        <v>195</v>
      </c>
      <c r="DP1427" s="90" t="s">
        <v>195</v>
      </c>
      <c r="DQ1427" s="90" t="s">
        <v>195</v>
      </c>
      <c r="DR1427" s="90" t="s">
        <v>195</v>
      </c>
      <c r="DS1427" s="90" t="s">
        <v>195</v>
      </c>
      <c r="DT1427" s="90" t="s">
        <v>195</v>
      </c>
      <c r="DU1427" s="90" t="s">
        <v>195</v>
      </c>
      <c r="DV1427" s="90" t="s">
        <v>195</v>
      </c>
      <c r="DW1427" s="90" t="s">
        <v>195</v>
      </c>
      <c r="DX1427" s="90" t="s">
        <v>195</v>
      </c>
      <c r="DY1427" s="90" t="s">
        <v>195</v>
      </c>
      <c r="DZ1427" s="90" t="s">
        <v>195</v>
      </c>
      <c r="EA1427" s="90"/>
      <c r="EB1427" s="90" t="s">
        <v>194</v>
      </c>
      <c r="EC1427" s="90" t="s">
        <v>195</v>
      </c>
      <c r="ED1427" s="90" t="s">
        <v>195</v>
      </c>
      <c r="EE1427" s="90" t="s">
        <v>195</v>
      </c>
      <c r="EF1427" s="90" t="s">
        <v>195</v>
      </c>
      <c r="EG1427" s="90" t="s">
        <v>195</v>
      </c>
      <c r="EH1427" s="102" t="s">
        <v>195</v>
      </c>
    </row>
    <row r="1428" spans="1:138" ht="23.25" customHeight="1" x14ac:dyDescent="0.25">
      <c r="A1428" s="98" t="s">
        <v>16</v>
      </c>
      <c r="B1428" s="99" t="s">
        <v>193</v>
      </c>
      <c r="C1428" s="99" t="s">
        <v>194</v>
      </c>
      <c r="D1428" s="99" t="s">
        <v>195</v>
      </c>
      <c r="E1428" s="99" t="s">
        <v>195</v>
      </c>
      <c r="F1428" s="99" t="s">
        <v>195</v>
      </c>
      <c r="G1428" s="99" t="s">
        <v>195</v>
      </c>
      <c r="H1428" s="99" t="s">
        <v>195</v>
      </c>
      <c r="I1428" s="99" t="s">
        <v>195</v>
      </c>
      <c r="J1428" s="99" t="s">
        <v>195</v>
      </c>
      <c r="K1428" s="99" t="s">
        <v>195</v>
      </c>
      <c r="L1428" s="99" t="s">
        <v>195</v>
      </c>
      <c r="M1428" s="99" t="s">
        <v>195</v>
      </c>
      <c r="N1428" s="99" t="s">
        <v>195</v>
      </c>
      <c r="O1428" s="99" t="s">
        <v>195</v>
      </c>
      <c r="P1428" s="99" t="s">
        <v>195</v>
      </c>
      <c r="Q1428" s="99" t="s">
        <v>195</v>
      </c>
      <c r="R1428" s="99" t="s">
        <v>195</v>
      </c>
      <c r="S1428" s="99" t="s">
        <v>195</v>
      </c>
      <c r="T1428" s="99"/>
      <c r="U1428" s="99" t="s">
        <v>194</v>
      </c>
      <c r="V1428" s="99" t="s">
        <v>195</v>
      </c>
      <c r="W1428" s="99" t="s">
        <v>195</v>
      </c>
      <c r="X1428" s="99" t="s">
        <v>195</v>
      </c>
      <c r="Y1428" s="99" t="s">
        <v>195</v>
      </c>
      <c r="Z1428" s="99" t="s">
        <v>196</v>
      </c>
      <c r="AA1428" s="99" t="s">
        <v>195</v>
      </c>
      <c r="AB1428" s="99" t="s">
        <v>195</v>
      </c>
      <c r="AC1428" s="99" t="s">
        <v>195</v>
      </c>
      <c r="AD1428" s="99" t="s">
        <v>195</v>
      </c>
      <c r="AE1428" s="99" t="s">
        <v>195</v>
      </c>
      <c r="AF1428" s="99" t="s">
        <v>195</v>
      </c>
      <c r="AG1428" s="99" t="s">
        <v>195</v>
      </c>
      <c r="AH1428" s="99" t="s">
        <v>195</v>
      </c>
      <c r="AI1428" s="99" t="s">
        <v>194</v>
      </c>
      <c r="AJ1428" s="99" t="s">
        <v>195</v>
      </c>
      <c r="AK1428" s="99" t="s">
        <v>195</v>
      </c>
      <c r="AL1428" s="99" t="s">
        <v>195</v>
      </c>
      <c r="AM1428" s="99"/>
      <c r="AN1428" s="99" t="s">
        <v>194</v>
      </c>
      <c r="AO1428" s="99" t="s">
        <v>195</v>
      </c>
      <c r="AP1428" s="99" t="s">
        <v>195</v>
      </c>
      <c r="AQ1428" s="99" t="s">
        <v>195</v>
      </c>
      <c r="AR1428" s="99" t="s">
        <v>195</v>
      </c>
      <c r="AS1428" s="99" t="s">
        <v>195</v>
      </c>
      <c r="AT1428" s="99" t="s">
        <v>195</v>
      </c>
      <c r="AU1428" s="99" t="s">
        <v>195</v>
      </c>
      <c r="AV1428" s="99" t="s">
        <v>195</v>
      </c>
      <c r="AW1428" s="99" t="s">
        <v>195</v>
      </c>
      <c r="AX1428" s="99" t="s">
        <v>195</v>
      </c>
      <c r="AY1428" s="99"/>
      <c r="AZ1428" s="99" t="s">
        <v>194</v>
      </c>
      <c r="BA1428" s="99" t="s">
        <v>194</v>
      </c>
      <c r="BB1428" s="99" t="s">
        <v>195</v>
      </c>
      <c r="BC1428" s="99" t="s">
        <v>195</v>
      </c>
      <c r="BD1428" s="99" t="s">
        <v>195</v>
      </c>
      <c r="BE1428" s="99" t="s">
        <v>195</v>
      </c>
      <c r="BF1428" s="99" t="s">
        <v>195</v>
      </c>
      <c r="BG1428" s="99" t="s">
        <v>195</v>
      </c>
      <c r="BH1428" s="99" t="s">
        <v>195</v>
      </c>
      <c r="BI1428" s="99" t="s">
        <v>195</v>
      </c>
      <c r="BJ1428" s="99" t="s">
        <v>195</v>
      </c>
      <c r="BK1428" s="99" t="s">
        <v>195</v>
      </c>
      <c r="BL1428" s="99" t="s">
        <v>195</v>
      </c>
      <c r="BM1428" s="99" t="s">
        <v>195</v>
      </c>
      <c r="BN1428" s="99" t="s">
        <v>195</v>
      </c>
      <c r="BO1428" s="99" t="s">
        <v>195</v>
      </c>
      <c r="BP1428" s="99" t="s">
        <v>195</v>
      </c>
      <c r="BQ1428" s="99" t="s">
        <v>195</v>
      </c>
      <c r="BR1428" s="99" t="s">
        <v>195</v>
      </c>
      <c r="BS1428" s="99" t="s">
        <v>195</v>
      </c>
      <c r="BT1428" s="99"/>
      <c r="BU1428" s="99" t="s">
        <v>202</v>
      </c>
      <c r="BV1428" s="99" t="s">
        <v>204</v>
      </c>
      <c r="BW1428" s="99" t="s">
        <v>204</v>
      </c>
      <c r="BX1428" s="99" t="s">
        <v>204</v>
      </c>
      <c r="BY1428" s="99" t="s">
        <v>204</v>
      </c>
      <c r="BZ1428" s="99" t="s">
        <v>204</v>
      </c>
      <c r="CA1428" s="99" t="s">
        <v>204</v>
      </c>
      <c r="CB1428" s="99"/>
      <c r="CC1428" s="99" t="s">
        <v>201</v>
      </c>
      <c r="CD1428" s="99"/>
      <c r="CE1428" s="99" t="s">
        <v>199</v>
      </c>
      <c r="CF1428" s="99"/>
      <c r="CG1428" s="99"/>
      <c r="CH1428" s="99"/>
      <c r="CI1428" s="99" t="s">
        <v>194</v>
      </c>
      <c r="CJ1428" s="99" t="s">
        <v>195</v>
      </c>
      <c r="CK1428" s="99" t="s">
        <v>195</v>
      </c>
      <c r="CL1428" s="99" t="s">
        <v>195</v>
      </c>
      <c r="CM1428" s="99" t="s">
        <v>195</v>
      </c>
      <c r="CN1428" s="99" t="s">
        <v>195</v>
      </c>
      <c r="CO1428" s="99" t="s">
        <v>195</v>
      </c>
      <c r="CP1428" s="99" t="s">
        <v>195</v>
      </c>
      <c r="CQ1428" s="99" t="s">
        <v>195</v>
      </c>
      <c r="CR1428" s="99" t="s">
        <v>195</v>
      </c>
      <c r="CS1428" s="99" t="s">
        <v>195</v>
      </c>
      <c r="CT1428" s="99" t="s">
        <v>195</v>
      </c>
      <c r="CU1428" s="99" t="s">
        <v>195</v>
      </c>
      <c r="CV1428" s="99" t="s">
        <v>195</v>
      </c>
      <c r="CW1428" s="99" t="s">
        <v>195</v>
      </c>
      <c r="CX1428" s="99" t="s">
        <v>195</v>
      </c>
      <c r="CY1428" s="99" t="s">
        <v>195</v>
      </c>
      <c r="CZ1428" s="99" t="s">
        <v>195</v>
      </c>
      <c r="DA1428" s="99" t="s">
        <v>195</v>
      </c>
      <c r="DB1428" s="99" t="s">
        <v>195</v>
      </c>
      <c r="DC1428" s="99" t="s">
        <v>195</v>
      </c>
      <c r="DD1428" s="99" t="s">
        <v>195</v>
      </c>
      <c r="DE1428" s="99" t="s">
        <v>195</v>
      </c>
      <c r="DF1428" s="99" t="s">
        <v>195</v>
      </c>
      <c r="DG1428" s="99" t="s">
        <v>195</v>
      </c>
      <c r="DH1428" s="99" t="s">
        <v>195</v>
      </c>
      <c r="DI1428" s="99" t="s">
        <v>195</v>
      </c>
      <c r="DJ1428" s="99" t="s">
        <v>195</v>
      </c>
      <c r="DK1428" s="99"/>
      <c r="DL1428" s="99" t="s">
        <v>194</v>
      </c>
      <c r="DM1428" s="99" t="s">
        <v>195</v>
      </c>
      <c r="DN1428" s="99" t="s">
        <v>195</v>
      </c>
      <c r="DO1428" s="99" t="s">
        <v>195</v>
      </c>
      <c r="DP1428" s="99" t="s">
        <v>195</v>
      </c>
      <c r="DQ1428" s="99" t="s">
        <v>195</v>
      </c>
      <c r="DR1428" s="99" t="s">
        <v>195</v>
      </c>
      <c r="DS1428" s="99" t="s">
        <v>195</v>
      </c>
      <c r="DT1428" s="99" t="s">
        <v>195</v>
      </c>
      <c r="DU1428" s="99" t="s">
        <v>195</v>
      </c>
      <c r="DV1428" s="99" t="s">
        <v>195</v>
      </c>
      <c r="DW1428" s="99" t="s">
        <v>195</v>
      </c>
      <c r="DX1428" s="99" t="s">
        <v>195</v>
      </c>
      <c r="DY1428" s="99" t="s">
        <v>195</v>
      </c>
      <c r="DZ1428" s="99" t="s">
        <v>195</v>
      </c>
      <c r="EA1428" s="99"/>
      <c r="EB1428" s="99" t="s">
        <v>194</v>
      </c>
      <c r="EC1428" s="99" t="s">
        <v>195</v>
      </c>
      <c r="ED1428" s="99" t="s">
        <v>195</v>
      </c>
      <c r="EE1428" s="99" t="s">
        <v>195</v>
      </c>
      <c r="EF1428" s="99" t="s">
        <v>195</v>
      </c>
      <c r="EG1428" s="99" t="s">
        <v>195</v>
      </c>
      <c r="EH1428" s="100" t="s">
        <v>195</v>
      </c>
    </row>
    <row r="1429" spans="1:138" ht="23.25" customHeight="1" x14ac:dyDescent="0.25">
      <c r="A1429" s="101" t="s">
        <v>17</v>
      </c>
      <c r="B1429" s="90" t="s">
        <v>193</v>
      </c>
      <c r="C1429" s="90" t="s">
        <v>199</v>
      </c>
      <c r="D1429" s="90" t="s">
        <v>204</v>
      </c>
      <c r="E1429" s="90" t="s">
        <v>30</v>
      </c>
      <c r="F1429" s="90" t="s">
        <v>204</v>
      </c>
      <c r="G1429" s="90" t="s">
        <v>200</v>
      </c>
      <c r="H1429" s="90" t="s">
        <v>204</v>
      </c>
      <c r="I1429" s="90" t="s">
        <v>204</v>
      </c>
      <c r="J1429" s="90" t="s">
        <v>204</v>
      </c>
      <c r="K1429" s="90" t="s">
        <v>204</v>
      </c>
      <c r="L1429" s="90" t="s">
        <v>204</v>
      </c>
      <c r="M1429" s="90" t="s">
        <v>204</v>
      </c>
      <c r="N1429" s="90" t="s">
        <v>204</v>
      </c>
      <c r="O1429" s="90" t="s">
        <v>202</v>
      </c>
      <c r="P1429" s="90" t="s">
        <v>200</v>
      </c>
      <c r="Q1429" s="90" t="s">
        <v>204</v>
      </c>
      <c r="R1429" s="90" t="s">
        <v>204</v>
      </c>
      <c r="S1429" s="90" t="s">
        <v>200</v>
      </c>
      <c r="T1429" s="90"/>
      <c r="U1429" s="90" t="s">
        <v>199</v>
      </c>
      <c r="V1429" s="90" t="s">
        <v>30</v>
      </c>
      <c r="W1429" s="90" t="s">
        <v>30</v>
      </c>
      <c r="X1429" s="90" t="s">
        <v>202</v>
      </c>
      <c r="Y1429" s="90" t="s">
        <v>202</v>
      </c>
      <c r="Z1429" s="90" t="s">
        <v>208</v>
      </c>
      <c r="AA1429" s="90" t="s">
        <v>30</v>
      </c>
      <c r="AB1429" s="90" t="s">
        <v>202</v>
      </c>
      <c r="AC1429" s="90" t="s">
        <v>204</v>
      </c>
      <c r="AD1429" s="90" t="s">
        <v>30</v>
      </c>
      <c r="AE1429" s="90" t="s">
        <v>195</v>
      </c>
      <c r="AF1429" s="90" t="s">
        <v>195</v>
      </c>
      <c r="AG1429" s="90" t="s">
        <v>195</v>
      </c>
      <c r="AH1429" s="90" t="s">
        <v>195</v>
      </c>
      <c r="AI1429" s="90" t="s">
        <v>199</v>
      </c>
      <c r="AJ1429" s="90" t="s">
        <v>200</v>
      </c>
      <c r="AK1429" s="90" t="s">
        <v>30</v>
      </c>
      <c r="AL1429" s="90" t="s">
        <v>200</v>
      </c>
      <c r="AM1429" s="90"/>
      <c r="AN1429" s="90" t="s">
        <v>194</v>
      </c>
      <c r="AO1429" s="90" t="s">
        <v>195</v>
      </c>
      <c r="AP1429" s="90" t="s">
        <v>195</v>
      </c>
      <c r="AQ1429" s="90" t="s">
        <v>195</v>
      </c>
      <c r="AR1429" s="90" t="s">
        <v>195</v>
      </c>
      <c r="AS1429" s="90" t="s">
        <v>195</v>
      </c>
      <c r="AT1429" s="90" t="s">
        <v>195</v>
      </c>
      <c r="AU1429" s="90" t="s">
        <v>195</v>
      </c>
      <c r="AV1429" s="90" t="s">
        <v>195</v>
      </c>
      <c r="AW1429" s="90" t="s">
        <v>195</v>
      </c>
      <c r="AX1429" s="90" t="s">
        <v>195</v>
      </c>
      <c r="AY1429" s="90"/>
      <c r="AZ1429" s="90" t="s">
        <v>199</v>
      </c>
      <c r="BA1429" s="90" t="s">
        <v>199</v>
      </c>
      <c r="BB1429" s="90" t="s">
        <v>202</v>
      </c>
      <c r="BC1429" s="90" t="s">
        <v>30</v>
      </c>
      <c r="BD1429" s="90" t="s">
        <v>200</v>
      </c>
      <c r="BE1429" s="90" t="s">
        <v>200</v>
      </c>
      <c r="BF1429" s="90" t="s">
        <v>30</v>
      </c>
      <c r="BG1429" s="90" t="s">
        <v>197</v>
      </c>
      <c r="BH1429" s="90" t="s">
        <v>200</v>
      </c>
      <c r="BI1429" s="90" t="s">
        <v>30</v>
      </c>
      <c r="BJ1429" s="90" t="s">
        <v>204</v>
      </c>
      <c r="BK1429" s="90" t="s">
        <v>204</v>
      </c>
      <c r="BL1429" s="90" t="s">
        <v>200</v>
      </c>
      <c r="BM1429" s="90" t="s">
        <v>200</v>
      </c>
      <c r="BN1429" s="90" t="s">
        <v>30</v>
      </c>
      <c r="BO1429" s="90" t="s">
        <v>30</v>
      </c>
      <c r="BP1429" s="90" t="s">
        <v>30</v>
      </c>
      <c r="BQ1429" s="90" t="s">
        <v>202</v>
      </c>
      <c r="BR1429" s="90" t="s">
        <v>30</v>
      </c>
      <c r="BS1429" s="90" t="s">
        <v>204</v>
      </c>
      <c r="BT1429" s="90"/>
      <c r="BU1429" s="90" t="s">
        <v>200</v>
      </c>
      <c r="BV1429" s="90" t="s">
        <v>204</v>
      </c>
      <c r="BW1429" s="90" t="s">
        <v>200</v>
      </c>
      <c r="BX1429" s="90" t="s">
        <v>200</v>
      </c>
      <c r="BY1429" s="90" t="s">
        <v>200</v>
      </c>
      <c r="BZ1429" s="90" t="s">
        <v>30</v>
      </c>
      <c r="CA1429" s="90" t="s">
        <v>30</v>
      </c>
      <c r="CB1429" s="90"/>
      <c r="CC1429" s="90" t="s">
        <v>206</v>
      </c>
      <c r="CD1429" s="90"/>
      <c r="CE1429" s="90" t="s">
        <v>199</v>
      </c>
      <c r="CF1429" s="90"/>
      <c r="CG1429" s="90"/>
      <c r="CH1429" s="90"/>
      <c r="CI1429" s="90" t="s">
        <v>199</v>
      </c>
      <c r="CJ1429" s="90" t="s">
        <v>197</v>
      </c>
      <c r="CK1429" s="90" t="s">
        <v>200</v>
      </c>
      <c r="CL1429" s="90" t="s">
        <v>200</v>
      </c>
      <c r="CM1429" s="90" t="s">
        <v>202</v>
      </c>
      <c r="CN1429" s="90" t="s">
        <v>200</v>
      </c>
      <c r="CO1429" s="90" t="s">
        <v>200</v>
      </c>
      <c r="CP1429" s="90" t="s">
        <v>200</v>
      </c>
      <c r="CQ1429" s="90" t="s">
        <v>30</v>
      </c>
      <c r="CR1429" s="90" t="s">
        <v>30</v>
      </c>
      <c r="CS1429" s="90" t="s">
        <v>197</v>
      </c>
      <c r="CT1429" s="90" t="s">
        <v>197</v>
      </c>
      <c r="CU1429" s="90" t="s">
        <v>197</v>
      </c>
      <c r="CV1429" s="90" t="s">
        <v>30</v>
      </c>
      <c r="CW1429" s="90" t="s">
        <v>200</v>
      </c>
      <c r="CX1429" s="90" t="s">
        <v>202</v>
      </c>
      <c r="CY1429" s="90" t="s">
        <v>200</v>
      </c>
      <c r="CZ1429" s="90" t="s">
        <v>200</v>
      </c>
      <c r="DA1429" s="90" t="s">
        <v>200</v>
      </c>
      <c r="DB1429" s="90" t="s">
        <v>200</v>
      </c>
      <c r="DC1429" s="90" t="s">
        <v>30</v>
      </c>
      <c r="DD1429" s="90" t="s">
        <v>200</v>
      </c>
      <c r="DE1429" s="90" t="s">
        <v>200</v>
      </c>
      <c r="DF1429" s="90" t="s">
        <v>200</v>
      </c>
      <c r="DG1429" s="90" t="s">
        <v>200</v>
      </c>
      <c r="DH1429" s="90" t="s">
        <v>200</v>
      </c>
      <c r="DI1429" s="90" t="s">
        <v>30</v>
      </c>
      <c r="DJ1429" s="90" t="s">
        <v>30</v>
      </c>
      <c r="DK1429" s="90"/>
      <c r="DL1429" s="90" t="s">
        <v>194</v>
      </c>
      <c r="DM1429" s="90" t="s">
        <v>195</v>
      </c>
      <c r="DN1429" s="90" t="s">
        <v>195</v>
      </c>
      <c r="DO1429" s="90" t="s">
        <v>195</v>
      </c>
      <c r="DP1429" s="90" t="s">
        <v>195</v>
      </c>
      <c r="DQ1429" s="90" t="s">
        <v>195</v>
      </c>
      <c r="DR1429" s="90" t="s">
        <v>195</v>
      </c>
      <c r="DS1429" s="90" t="s">
        <v>195</v>
      </c>
      <c r="DT1429" s="90" t="s">
        <v>195</v>
      </c>
      <c r="DU1429" s="90" t="s">
        <v>195</v>
      </c>
      <c r="DV1429" s="90" t="s">
        <v>195</v>
      </c>
      <c r="DW1429" s="90" t="s">
        <v>195</v>
      </c>
      <c r="DX1429" s="90" t="s">
        <v>195</v>
      </c>
      <c r="DY1429" s="90" t="s">
        <v>195</v>
      </c>
      <c r="DZ1429" s="90" t="s">
        <v>195</v>
      </c>
      <c r="EA1429" s="90"/>
      <c r="EB1429" s="90" t="s">
        <v>199</v>
      </c>
      <c r="EC1429" s="90" t="s">
        <v>30</v>
      </c>
      <c r="ED1429" s="90" t="s">
        <v>30</v>
      </c>
      <c r="EE1429" s="90" t="s">
        <v>30</v>
      </c>
      <c r="EF1429" s="90" t="s">
        <v>200</v>
      </c>
      <c r="EG1429" s="90" t="s">
        <v>202</v>
      </c>
      <c r="EH1429" s="102" t="s">
        <v>202</v>
      </c>
    </row>
    <row r="1430" spans="1:138" ht="23.25" customHeight="1" x14ac:dyDescent="0.25">
      <c r="A1430" s="98" t="s">
        <v>17</v>
      </c>
      <c r="B1430" s="99" t="s">
        <v>193</v>
      </c>
      <c r="C1430" s="99" t="s">
        <v>199</v>
      </c>
      <c r="D1430" s="99" t="s">
        <v>30</v>
      </c>
      <c r="E1430" s="99" t="s">
        <v>30</v>
      </c>
      <c r="F1430" s="99" t="s">
        <v>30</v>
      </c>
      <c r="G1430" s="99" t="s">
        <v>30</v>
      </c>
      <c r="H1430" s="99" t="s">
        <v>200</v>
      </c>
      <c r="I1430" s="99" t="s">
        <v>30</v>
      </c>
      <c r="J1430" s="99" t="s">
        <v>30</v>
      </c>
      <c r="K1430" s="99" t="s">
        <v>30</v>
      </c>
      <c r="L1430" s="99" t="s">
        <v>30</v>
      </c>
      <c r="M1430" s="99" t="s">
        <v>30</v>
      </c>
      <c r="N1430" s="99" t="s">
        <v>30</v>
      </c>
      <c r="O1430" s="99" t="s">
        <v>30</v>
      </c>
      <c r="P1430" s="99" t="s">
        <v>30</v>
      </c>
      <c r="Q1430" s="99" t="s">
        <v>30</v>
      </c>
      <c r="R1430" s="99" t="s">
        <v>30</v>
      </c>
      <c r="S1430" s="99" t="s">
        <v>30</v>
      </c>
      <c r="T1430" s="99"/>
      <c r="U1430" s="99" t="s">
        <v>199</v>
      </c>
      <c r="V1430" s="99" t="s">
        <v>30</v>
      </c>
      <c r="W1430" s="99" t="s">
        <v>200</v>
      </c>
      <c r="X1430" s="99" t="s">
        <v>30</v>
      </c>
      <c r="Y1430" s="99" t="s">
        <v>200</v>
      </c>
      <c r="Z1430" s="99" t="s">
        <v>208</v>
      </c>
      <c r="AA1430" s="99" t="s">
        <v>30</v>
      </c>
      <c r="AB1430" s="99" t="s">
        <v>30</v>
      </c>
      <c r="AC1430" s="99" t="s">
        <v>30</v>
      </c>
      <c r="AD1430" s="99" t="s">
        <v>30</v>
      </c>
      <c r="AE1430" s="99" t="s">
        <v>195</v>
      </c>
      <c r="AF1430" s="99" t="s">
        <v>195</v>
      </c>
      <c r="AG1430" s="99" t="s">
        <v>195</v>
      </c>
      <c r="AH1430" s="99" t="s">
        <v>195</v>
      </c>
      <c r="AI1430" s="99" t="s">
        <v>199</v>
      </c>
      <c r="AJ1430" s="99" t="s">
        <v>200</v>
      </c>
      <c r="AK1430" s="99" t="s">
        <v>30</v>
      </c>
      <c r="AL1430" s="99" t="s">
        <v>30</v>
      </c>
      <c r="AM1430" s="99"/>
      <c r="AN1430" s="99" t="s">
        <v>199</v>
      </c>
      <c r="AO1430" s="99" t="s">
        <v>30</v>
      </c>
      <c r="AP1430" s="99" t="s">
        <v>30</v>
      </c>
      <c r="AQ1430" s="99" t="s">
        <v>30</v>
      </c>
      <c r="AR1430" s="99" t="s">
        <v>30</v>
      </c>
      <c r="AS1430" s="99" t="s">
        <v>30</v>
      </c>
      <c r="AT1430" s="99" t="s">
        <v>30</v>
      </c>
      <c r="AU1430" s="99" t="s">
        <v>30</v>
      </c>
      <c r="AV1430" s="99" t="s">
        <v>30</v>
      </c>
      <c r="AW1430" s="99" t="s">
        <v>30</v>
      </c>
      <c r="AX1430" s="99" t="s">
        <v>200</v>
      </c>
      <c r="AY1430" s="99"/>
      <c r="AZ1430" s="99" t="s">
        <v>199</v>
      </c>
      <c r="BA1430" s="99" t="s">
        <v>199</v>
      </c>
      <c r="BB1430" s="99" t="s">
        <v>30</v>
      </c>
      <c r="BC1430" s="99" t="s">
        <v>30</v>
      </c>
      <c r="BD1430" s="99" t="s">
        <v>30</v>
      </c>
      <c r="BE1430" s="99" t="s">
        <v>30</v>
      </c>
      <c r="BF1430" s="99" t="s">
        <v>30</v>
      </c>
      <c r="BG1430" s="99" t="s">
        <v>30</v>
      </c>
      <c r="BH1430" s="99" t="s">
        <v>30</v>
      </c>
      <c r="BI1430" s="99" t="s">
        <v>30</v>
      </c>
      <c r="BJ1430" s="99" t="s">
        <v>30</v>
      </c>
      <c r="BK1430" s="99" t="s">
        <v>30</v>
      </c>
      <c r="BL1430" s="99" t="s">
        <v>195</v>
      </c>
      <c r="BM1430" s="99" t="s">
        <v>195</v>
      </c>
      <c r="BN1430" s="99" t="s">
        <v>30</v>
      </c>
      <c r="BO1430" s="99" t="s">
        <v>30</v>
      </c>
      <c r="BP1430" s="99" t="s">
        <v>203</v>
      </c>
      <c r="BQ1430" s="99" t="s">
        <v>203</v>
      </c>
      <c r="BR1430" s="99" t="s">
        <v>203</v>
      </c>
      <c r="BS1430" s="99" t="s">
        <v>203</v>
      </c>
      <c r="BT1430" s="99"/>
      <c r="BU1430" s="99" t="s">
        <v>30</v>
      </c>
      <c r="BV1430" s="99" t="s">
        <v>30</v>
      </c>
      <c r="BW1430" s="99" t="s">
        <v>30</v>
      </c>
      <c r="BX1430" s="99" t="s">
        <v>197</v>
      </c>
      <c r="BY1430" s="99" t="s">
        <v>195</v>
      </c>
      <c r="BZ1430" s="99" t="s">
        <v>195</v>
      </c>
      <c r="CA1430" s="99" t="s">
        <v>200</v>
      </c>
      <c r="CB1430" s="99"/>
      <c r="CC1430" s="99" t="s">
        <v>201</v>
      </c>
      <c r="CD1430" s="99"/>
      <c r="CE1430" s="99" t="s">
        <v>199</v>
      </c>
      <c r="CF1430" s="99"/>
      <c r="CG1430" s="99"/>
      <c r="CH1430" s="99"/>
      <c r="CI1430" s="99" t="s">
        <v>199</v>
      </c>
      <c r="CJ1430" s="99" t="s">
        <v>200</v>
      </c>
      <c r="CK1430" s="99" t="s">
        <v>30</v>
      </c>
      <c r="CL1430" s="99" t="s">
        <v>203</v>
      </c>
      <c r="CM1430" s="99" t="s">
        <v>30</v>
      </c>
      <c r="CN1430" s="99" t="s">
        <v>203</v>
      </c>
      <c r="CO1430" s="99" t="s">
        <v>200</v>
      </c>
      <c r="CP1430" s="99" t="s">
        <v>195</v>
      </c>
      <c r="CQ1430" s="99" t="s">
        <v>195</v>
      </c>
      <c r="CR1430" s="99" t="s">
        <v>195</v>
      </c>
      <c r="CS1430" s="99" t="s">
        <v>195</v>
      </c>
      <c r="CT1430" s="99" t="s">
        <v>195</v>
      </c>
      <c r="CU1430" s="99" t="s">
        <v>195</v>
      </c>
      <c r="CV1430" s="99" t="s">
        <v>195</v>
      </c>
      <c r="CW1430" s="99" t="s">
        <v>195</v>
      </c>
      <c r="CX1430" s="99" t="s">
        <v>195</v>
      </c>
      <c r="CY1430" s="99" t="s">
        <v>195</v>
      </c>
      <c r="CZ1430" s="99" t="s">
        <v>195</v>
      </c>
      <c r="DA1430" s="99" t="s">
        <v>195</v>
      </c>
      <c r="DB1430" s="99" t="s">
        <v>195</v>
      </c>
      <c r="DC1430" s="99" t="s">
        <v>195</v>
      </c>
      <c r="DD1430" s="99" t="s">
        <v>195</v>
      </c>
      <c r="DE1430" s="99" t="s">
        <v>195</v>
      </c>
      <c r="DF1430" s="99" t="s">
        <v>195</v>
      </c>
      <c r="DG1430" s="99" t="s">
        <v>195</v>
      </c>
      <c r="DH1430" s="99" t="s">
        <v>195</v>
      </c>
      <c r="DI1430" s="99" t="s">
        <v>195</v>
      </c>
      <c r="DJ1430" s="99" t="s">
        <v>195</v>
      </c>
      <c r="DK1430" s="99"/>
      <c r="DL1430" s="99" t="s">
        <v>194</v>
      </c>
      <c r="DM1430" s="99" t="s">
        <v>195</v>
      </c>
      <c r="DN1430" s="99" t="s">
        <v>195</v>
      </c>
      <c r="DO1430" s="99" t="s">
        <v>195</v>
      </c>
      <c r="DP1430" s="99" t="s">
        <v>195</v>
      </c>
      <c r="DQ1430" s="99" t="s">
        <v>195</v>
      </c>
      <c r="DR1430" s="99" t="s">
        <v>195</v>
      </c>
      <c r="DS1430" s="99" t="s">
        <v>195</v>
      </c>
      <c r="DT1430" s="99" t="s">
        <v>195</v>
      </c>
      <c r="DU1430" s="99" t="s">
        <v>195</v>
      </c>
      <c r="DV1430" s="99" t="s">
        <v>195</v>
      </c>
      <c r="DW1430" s="99" t="s">
        <v>195</v>
      </c>
      <c r="DX1430" s="99" t="s">
        <v>195</v>
      </c>
      <c r="DY1430" s="99" t="s">
        <v>195</v>
      </c>
      <c r="DZ1430" s="99" t="s">
        <v>195</v>
      </c>
      <c r="EA1430" s="99"/>
      <c r="EB1430" s="99" t="s">
        <v>194</v>
      </c>
      <c r="EC1430" s="99" t="s">
        <v>195</v>
      </c>
      <c r="ED1430" s="99" t="s">
        <v>195</v>
      </c>
      <c r="EE1430" s="99" t="s">
        <v>195</v>
      </c>
      <c r="EF1430" s="99" t="s">
        <v>195</v>
      </c>
      <c r="EG1430" s="99" t="s">
        <v>195</v>
      </c>
      <c r="EH1430" s="100" t="s">
        <v>195</v>
      </c>
    </row>
    <row r="1431" spans="1:138" ht="23.25" customHeight="1" x14ac:dyDescent="0.25">
      <c r="A1431" s="101" t="s">
        <v>17</v>
      </c>
      <c r="B1431" s="90" t="s">
        <v>193</v>
      </c>
      <c r="C1431" s="90" t="s">
        <v>199</v>
      </c>
      <c r="D1431" s="90" t="s">
        <v>200</v>
      </c>
      <c r="E1431" s="90" t="s">
        <v>200</v>
      </c>
      <c r="F1431" s="90" t="s">
        <v>30</v>
      </c>
      <c r="G1431" s="90" t="s">
        <v>203</v>
      </c>
      <c r="H1431" s="90" t="s">
        <v>200</v>
      </c>
      <c r="I1431" s="90" t="s">
        <v>200</v>
      </c>
      <c r="J1431" s="90" t="s">
        <v>204</v>
      </c>
      <c r="K1431" s="90" t="s">
        <v>202</v>
      </c>
      <c r="L1431" s="90" t="s">
        <v>202</v>
      </c>
      <c r="M1431" s="90" t="s">
        <v>203</v>
      </c>
      <c r="N1431" s="90" t="s">
        <v>204</v>
      </c>
      <c r="O1431" s="90" t="s">
        <v>202</v>
      </c>
      <c r="P1431" s="90" t="s">
        <v>202</v>
      </c>
      <c r="Q1431" s="90" t="s">
        <v>202</v>
      </c>
      <c r="R1431" s="90" t="s">
        <v>203</v>
      </c>
      <c r="S1431" s="90" t="s">
        <v>30</v>
      </c>
      <c r="T1431" s="90"/>
      <c r="U1431" s="90" t="s">
        <v>199</v>
      </c>
      <c r="V1431" s="90" t="s">
        <v>30</v>
      </c>
      <c r="W1431" s="90" t="s">
        <v>200</v>
      </c>
      <c r="X1431" s="90" t="s">
        <v>203</v>
      </c>
      <c r="Y1431" s="90" t="s">
        <v>30</v>
      </c>
      <c r="Z1431" s="90" t="s">
        <v>208</v>
      </c>
      <c r="AA1431" s="90" t="s">
        <v>30</v>
      </c>
      <c r="AB1431" s="90" t="s">
        <v>30</v>
      </c>
      <c r="AC1431" s="90" t="s">
        <v>30</v>
      </c>
      <c r="AD1431" s="90" t="s">
        <v>200</v>
      </c>
      <c r="AE1431" s="90" t="s">
        <v>195</v>
      </c>
      <c r="AF1431" s="90" t="s">
        <v>195</v>
      </c>
      <c r="AG1431" s="90" t="s">
        <v>195</v>
      </c>
      <c r="AH1431" s="90" t="s">
        <v>195</v>
      </c>
      <c r="AI1431" s="90" t="s">
        <v>199</v>
      </c>
      <c r="AJ1431" s="90" t="s">
        <v>30</v>
      </c>
      <c r="AK1431" s="90" t="s">
        <v>200</v>
      </c>
      <c r="AL1431" s="90" t="s">
        <v>30</v>
      </c>
      <c r="AM1431" s="90"/>
      <c r="AN1431" s="90" t="s">
        <v>199</v>
      </c>
      <c r="AO1431" s="90" t="s">
        <v>30</v>
      </c>
      <c r="AP1431" s="90" t="s">
        <v>200</v>
      </c>
      <c r="AQ1431" s="90" t="s">
        <v>200</v>
      </c>
      <c r="AR1431" s="90" t="s">
        <v>200</v>
      </c>
      <c r="AS1431" s="90" t="s">
        <v>30</v>
      </c>
      <c r="AT1431" s="90" t="s">
        <v>200</v>
      </c>
      <c r="AU1431" s="90" t="s">
        <v>200</v>
      </c>
      <c r="AV1431" s="90" t="s">
        <v>200</v>
      </c>
      <c r="AW1431" s="90" t="s">
        <v>200</v>
      </c>
      <c r="AX1431" s="90" t="s">
        <v>30</v>
      </c>
      <c r="AY1431" s="90"/>
      <c r="AZ1431" s="90" t="s">
        <v>199</v>
      </c>
      <c r="BA1431" s="90" t="s">
        <v>199</v>
      </c>
      <c r="BB1431" s="90" t="s">
        <v>30</v>
      </c>
      <c r="BC1431" s="90" t="s">
        <v>30</v>
      </c>
      <c r="BD1431" s="90" t="s">
        <v>30</v>
      </c>
      <c r="BE1431" s="90" t="s">
        <v>202</v>
      </c>
      <c r="BF1431" s="90" t="s">
        <v>202</v>
      </c>
      <c r="BG1431" s="90" t="s">
        <v>30</v>
      </c>
      <c r="BH1431" s="90" t="s">
        <v>202</v>
      </c>
      <c r="BI1431" s="90" t="s">
        <v>202</v>
      </c>
      <c r="BJ1431" s="90" t="s">
        <v>202</v>
      </c>
      <c r="BK1431" s="90" t="s">
        <v>203</v>
      </c>
      <c r="BL1431" s="90" t="s">
        <v>197</v>
      </c>
      <c r="BM1431" s="90" t="s">
        <v>197</v>
      </c>
      <c r="BN1431" s="90" t="s">
        <v>202</v>
      </c>
      <c r="BO1431" s="90" t="s">
        <v>30</v>
      </c>
      <c r="BP1431" s="90" t="s">
        <v>200</v>
      </c>
      <c r="BQ1431" s="90" t="s">
        <v>202</v>
      </c>
      <c r="BR1431" s="90" t="s">
        <v>200</v>
      </c>
      <c r="BS1431" s="90" t="s">
        <v>202</v>
      </c>
      <c r="BT1431" s="90"/>
      <c r="BU1431" s="90" t="s">
        <v>205</v>
      </c>
      <c r="BV1431" s="90" t="s">
        <v>30</v>
      </c>
      <c r="BW1431" s="90" t="s">
        <v>205</v>
      </c>
      <c r="BX1431" s="90" t="s">
        <v>205</v>
      </c>
      <c r="BY1431" s="90" t="s">
        <v>205</v>
      </c>
      <c r="BZ1431" s="90" t="s">
        <v>205</v>
      </c>
      <c r="CA1431" s="90" t="s">
        <v>202</v>
      </c>
      <c r="CB1431" s="90"/>
      <c r="CC1431" s="90" t="s">
        <v>206</v>
      </c>
      <c r="CD1431" s="90"/>
      <c r="CE1431" s="90" t="s">
        <v>199</v>
      </c>
      <c r="CF1431" s="90"/>
      <c r="CG1431" s="90"/>
      <c r="CH1431" s="90"/>
      <c r="CI1431" s="90" t="s">
        <v>199</v>
      </c>
      <c r="CJ1431" s="90" t="s">
        <v>200</v>
      </c>
      <c r="CK1431" s="90" t="s">
        <v>30</v>
      </c>
      <c r="CL1431" s="90" t="s">
        <v>30</v>
      </c>
      <c r="CM1431" s="90" t="s">
        <v>203</v>
      </c>
      <c r="CN1431" s="90" t="s">
        <v>202</v>
      </c>
      <c r="CO1431" s="90" t="s">
        <v>202</v>
      </c>
      <c r="CP1431" s="90" t="s">
        <v>30</v>
      </c>
      <c r="CQ1431" s="90" t="s">
        <v>30</v>
      </c>
      <c r="CR1431" s="90" t="s">
        <v>202</v>
      </c>
      <c r="CS1431" s="90" t="s">
        <v>200</v>
      </c>
      <c r="CT1431" s="90" t="s">
        <v>200</v>
      </c>
      <c r="CU1431" s="90" t="s">
        <v>200</v>
      </c>
      <c r="CV1431" s="90" t="s">
        <v>30</v>
      </c>
      <c r="CW1431" s="90" t="s">
        <v>200</v>
      </c>
      <c r="CX1431" s="90" t="s">
        <v>30</v>
      </c>
      <c r="CY1431" s="90" t="s">
        <v>200</v>
      </c>
      <c r="CZ1431" s="90" t="s">
        <v>200</v>
      </c>
      <c r="DA1431" s="90" t="s">
        <v>30</v>
      </c>
      <c r="DB1431" s="90" t="s">
        <v>200</v>
      </c>
      <c r="DC1431" s="90" t="s">
        <v>200</v>
      </c>
      <c r="DD1431" s="90" t="s">
        <v>202</v>
      </c>
      <c r="DE1431" s="90" t="s">
        <v>202</v>
      </c>
      <c r="DF1431" s="90" t="s">
        <v>30</v>
      </c>
      <c r="DG1431" s="90" t="s">
        <v>200</v>
      </c>
      <c r="DH1431" s="90" t="s">
        <v>200</v>
      </c>
      <c r="DI1431" s="90" t="s">
        <v>200</v>
      </c>
      <c r="DJ1431" s="90" t="s">
        <v>203</v>
      </c>
      <c r="DK1431" s="90"/>
      <c r="DL1431" s="90" t="s">
        <v>194</v>
      </c>
      <c r="DM1431" s="90" t="s">
        <v>195</v>
      </c>
      <c r="DN1431" s="90" t="s">
        <v>195</v>
      </c>
      <c r="DO1431" s="90" t="s">
        <v>195</v>
      </c>
      <c r="DP1431" s="90" t="s">
        <v>195</v>
      </c>
      <c r="DQ1431" s="90" t="s">
        <v>195</v>
      </c>
      <c r="DR1431" s="90" t="s">
        <v>195</v>
      </c>
      <c r="DS1431" s="90" t="s">
        <v>195</v>
      </c>
      <c r="DT1431" s="90" t="s">
        <v>195</v>
      </c>
      <c r="DU1431" s="90" t="s">
        <v>195</v>
      </c>
      <c r="DV1431" s="90" t="s">
        <v>195</v>
      </c>
      <c r="DW1431" s="90" t="s">
        <v>195</v>
      </c>
      <c r="DX1431" s="90" t="s">
        <v>195</v>
      </c>
      <c r="DY1431" s="90" t="s">
        <v>195</v>
      </c>
      <c r="DZ1431" s="90" t="s">
        <v>195</v>
      </c>
      <c r="EA1431" s="90"/>
      <c r="EB1431" s="90" t="s">
        <v>199</v>
      </c>
      <c r="EC1431" s="90" t="s">
        <v>203</v>
      </c>
      <c r="ED1431" s="90" t="s">
        <v>203</v>
      </c>
      <c r="EE1431" s="90" t="s">
        <v>203</v>
      </c>
      <c r="EF1431" s="90" t="s">
        <v>203</v>
      </c>
      <c r="EG1431" s="90" t="s">
        <v>203</v>
      </c>
      <c r="EH1431" s="102" t="s">
        <v>203</v>
      </c>
    </row>
    <row r="1432" spans="1:138" ht="23.25" customHeight="1" x14ac:dyDescent="0.25">
      <c r="A1432" s="98" t="s">
        <v>17</v>
      </c>
      <c r="B1432" s="99" t="s">
        <v>193</v>
      </c>
      <c r="C1432" s="99" t="s">
        <v>199</v>
      </c>
      <c r="D1432" s="99" t="s">
        <v>203</v>
      </c>
      <c r="E1432" s="99" t="s">
        <v>30</v>
      </c>
      <c r="F1432" s="99" t="s">
        <v>204</v>
      </c>
      <c r="G1432" s="99" t="s">
        <v>203</v>
      </c>
      <c r="H1432" s="99" t="s">
        <v>202</v>
      </c>
      <c r="I1432" s="99" t="s">
        <v>202</v>
      </c>
      <c r="J1432" s="99" t="s">
        <v>202</v>
      </c>
      <c r="K1432" s="99" t="s">
        <v>203</v>
      </c>
      <c r="L1432" s="99" t="s">
        <v>203</v>
      </c>
      <c r="M1432" s="99" t="s">
        <v>204</v>
      </c>
      <c r="N1432" s="99" t="s">
        <v>204</v>
      </c>
      <c r="O1432" s="99" t="s">
        <v>30</v>
      </c>
      <c r="P1432" s="99" t="s">
        <v>203</v>
      </c>
      <c r="Q1432" s="99" t="s">
        <v>202</v>
      </c>
      <c r="R1432" s="99" t="s">
        <v>203</v>
      </c>
      <c r="S1432" s="99" t="s">
        <v>202</v>
      </c>
      <c r="T1432" s="99"/>
      <c r="U1432" s="99" t="s">
        <v>194</v>
      </c>
      <c r="V1432" s="99" t="s">
        <v>195</v>
      </c>
      <c r="W1432" s="99" t="s">
        <v>195</v>
      </c>
      <c r="X1432" s="99" t="s">
        <v>195</v>
      </c>
      <c r="Y1432" s="99" t="s">
        <v>195</v>
      </c>
      <c r="Z1432" s="99" t="s">
        <v>17</v>
      </c>
      <c r="AA1432" s="99" t="s">
        <v>195</v>
      </c>
      <c r="AB1432" s="99" t="s">
        <v>195</v>
      </c>
      <c r="AC1432" s="99" t="s">
        <v>195</v>
      </c>
      <c r="AD1432" s="99" t="s">
        <v>195</v>
      </c>
      <c r="AE1432" s="99" t="s">
        <v>195</v>
      </c>
      <c r="AF1432" s="99" t="s">
        <v>195</v>
      </c>
      <c r="AG1432" s="99" t="s">
        <v>195</v>
      </c>
      <c r="AH1432" s="99" t="s">
        <v>195</v>
      </c>
      <c r="AI1432" s="99" t="s">
        <v>194</v>
      </c>
      <c r="AJ1432" s="99" t="s">
        <v>195</v>
      </c>
      <c r="AK1432" s="99" t="s">
        <v>195</v>
      </c>
      <c r="AL1432" s="99" t="s">
        <v>195</v>
      </c>
      <c r="AM1432" s="99"/>
      <c r="AN1432" s="99" t="s">
        <v>194</v>
      </c>
      <c r="AO1432" s="99" t="s">
        <v>195</v>
      </c>
      <c r="AP1432" s="99" t="s">
        <v>195</v>
      </c>
      <c r="AQ1432" s="99" t="s">
        <v>195</v>
      </c>
      <c r="AR1432" s="99" t="s">
        <v>195</v>
      </c>
      <c r="AS1432" s="99" t="s">
        <v>195</v>
      </c>
      <c r="AT1432" s="99" t="s">
        <v>195</v>
      </c>
      <c r="AU1432" s="99" t="s">
        <v>195</v>
      </c>
      <c r="AV1432" s="99" t="s">
        <v>195</v>
      </c>
      <c r="AW1432" s="99" t="s">
        <v>195</v>
      </c>
      <c r="AX1432" s="99" t="s">
        <v>195</v>
      </c>
      <c r="AY1432" s="99"/>
      <c r="AZ1432" s="99" t="s">
        <v>199</v>
      </c>
      <c r="BA1432" s="99" t="s">
        <v>199</v>
      </c>
      <c r="BB1432" s="99" t="s">
        <v>197</v>
      </c>
      <c r="BC1432" s="99" t="s">
        <v>203</v>
      </c>
      <c r="BD1432" s="99" t="s">
        <v>204</v>
      </c>
      <c r="BE1432" s="99" t="s">
        <v>200</v>
      </c>
      <c r="BF1432" s="99" t="s">
        <v>202</v>
      </c>
      <c r="BG1432" s="99" t="s">
        <v>203</v>
      </c>
      <c r="BH1432" s="99" t="s">
        <v>204</v>
      </c>
      <c r="BI1432" s="99" t="s">
        <v>203</v>
      </c>
      <c r="BJ1432" s="99" t="s">
        <v>204</v>
      </c>
      <c r="BK1432" s="99" t="s">
        <v>202</v>
      </c>
      <c r="BL1432" s="99" t="s">
        <v>200</v>
      </c>
      <c r="BM1432" s="99" t="s">
        <v>200</v>
      </c>
      <c r="BN1432" s="99" t="s">
        <v>30</v>
      </c>
      <c r="BO1432" s="99" t="s">
        <v>200</v>
      </c>
      <c r="BP1432" s="99" t="s">
        <v>200</v>
      </c>
      <c r="BQ1432" s="99" t="s">
        <v>202</v>
      </c>
      <c r="BR1432" s="99" t="s">
        <v>200</v>
      </c>
      <c r="BS1432" s="99" t="s">
        <v>30</v>
      </c>
      <c r="BT1432" s="99"/>
      <c r="BU1432" s="99" t="s">
        <v>205</v>
      </c>
      <c r="BV1432" s="99" t="s">
        <v>205</v>
      </c>
      <c r="BW1432" s="99" t="s">
        <v>205</v>
      </c>
      <c r="BX1432" s="99" t="s">
        <v>205</v>
      </c>
      <c r="BY1432" s="99" t="s">
        <v>205</v>
      </c>
      <c r="BZ1432" s="99" t="s">
        <v>205</v>
      </c>
      <c r="CA1432" s="99" t="s">
        <v>205</v>
      </c>
      <c r="CB1432" s="99"/>
      <c r="CC1432" s="99" t="s">
        <v>207</v>
      </c>
      <c r="CD1432" s="99"/>
      <c r="CE1432" s="99" t="s">
        <v>194</v>
      </c>
      <c r="CF1432" s="99"/>
      <c r="CG1432" s="99"/>
      <c r="CH1432" s="99"/>
      <c r="CI1432" s="99" t="s">
        <v>199</v>
      </c>
      <c r="CJ1432" s="99" t="s">
        <v>30</v>
      </c>
      <c r="CK1432" s="99" t="s">
        <v>202</v>
      </c>
      <c r="CL1432" s="99" t="s">
        <v>204</v>
      </c>
      <c r="CM1432" s="99" t="s">
        <v>203</v>
      </c>
      <c r="CN1432" s="99" t="s">
        <v>204</v>
      </c>
      <c r="CO1432" s="99" t="s">
        <v>204</v>
      </c>
      <c r="CP1432" s="99" t="s">
        <v>30</v>
      </c>
      <c r="CQ1432" s="99" t="s">
        <v>30</v>
      </c>
      <c r="CR1432" s="99" t="s">
        <v>204</v>
      </c>
      <c r="CS1432" s="99" t="s">
        <v>30</v>
      </c>
      <c r="CT1432" s="99" t="s">
        <v>30</v>
      </c>
      <c r="CU1432" s="99" t="s">
        <v>203</v>
      </c>
      <c r="CV1432" s="99" t="s">
        <v>30</v>
      </c>
      <c r="CW1432" s="99" t="s">
        <v>200</v>
      </c>
      <c r="CX1432" s="99" t="s">
        <v>200</v>
      </c>
      <c r="CY1432" s="99" t="s">
        <v>30</v>
      </c>
      <c r="CZ1432" s="99" t="s">
        <v>203</v>
      </c>
      <c r="DA1432" s="99" t="s">
        <v>200</v>
      </c>
      <c r="DB1432" s="99" t="s">
        <v>203</v>
      </c>
      <c r="DC1432" s="99" t="s">
        <v>203</v>
      </c>
      <c r="DD1432" s="99" t="s">
        <v>203</v>
      </c>
      <c r="DE1432" s="99" t="s">
        <v>203</v>
      </c>
      <c r="DF1432" s="99" t="s">
        <v>203</v>
      </c>
      <c r="DG1432" s="99" t="s">
        <v>203</v>
      </c>
      <c r="DH1432" s="99" t="s">
        <v>203</v>
      </c>
      <c r="DI1432" s="99" t="s">
        <v>203</v>
      </c>
      <c r="DJ1432" s="99" t="s">
        <v>203</v>
      </c>
      <c r="DK1432" s="99"/>
      <c r="DL1432" s="99" t="s">
        <v>194</v>
      </c>
      <c r="DM1432" s="99" t="s">
        <v>195</v>
      </c>
      <c r="DN1432" s="99" t="s">
        <v>195</v>
      </c>
      <c r="DO1432" s="99" t="s">
        <v>195</v>
      </c>
      <c r="DP1432" s="99" t="s">
        <v>195</v>
      </c>
      <c r="DQ1432" s="99" t="s">
        <v>195</v>
      </c>
      <c r="DR1432" s="99" t="s">
        <v>195</v>
      </c>
      <c r="DS1432" s="99" t="s">
        <v>195</v>
      </c>
      <c r="DT1432" s="99" t="s">
        <v>195</v>
      </c>
      <c r="DU1432" s="99" t="s">
        <v>195</v>
      </c>
      <c r="DV1432" s="99" t="s">
        <v>195</v>
      </c>
      <c r="DW1432" s="99" t="s">
        <v>195</v>
      </c>
      <c r="DX1432" s="99" t="s">
        <v>195</v>
      </c>
      <c r="DY1432" s="99" t="s">
        <v>195</v>
      </c>
      <c r="DZ1432" s="99" t="s">
        <v>195</v>
      </c>
      <c r="EA1432" s="99"/>
      <c r="EB1432" s="99" t="s">
        <v>194</v>
      </c>
      <c r="EC1432" s="99" t="s">
        <v>195</v>
      </c>
      <c r="ED1432" s="99" t="s">
        <v>195</v>
      </c>
      <c r="EE1432" s="99" t="s">
        <v>195</v>
      </c>
      <c r="EF1432" s="99" t="s">
        <v>195</v>
      </c>
      <c r="EG1432" s="99" t="s">
        <v>195</v>
      </c>
      <c r="EH1432" s="100" t="s">
        <v>195</v>
      </c>
    </row>
    <row r="1433" spans="1:138" ht="23.25" customHeight="1" x14ac:dyDescent="0.25">
      <c r="A1433" s="101" t="s">
        <v>17</v>
      </c>
      <c r="B1433" s="90" t="s">
        <v>193</v>
      </c>
      <c r="C1433" s="90" t="s">
        <v>199</v>
      </c>
      <c r="D1433" s="90" t="s">
        <v>197</v>
      </c>
      <c r="E1433" s="90" t="s">
        <v>197</v>
      </c>
      <c r="F1433" s="90" t="s">
        <v>30</v>
      </c>
      <c r="G1433" s="90" t="s">
        <v>202</v>
      </c>
      <c r="H1433" s="90" t="s">
        <v>200</v>
      </c>
      <c r="I1433" s="90" t="s">
        <v>197</v>
      </c>
      <c r="J1433" s="90" t="s">
        <v>203</v>
      </c>
      <c r="K1433" s="90" t="s">
        <v>203</v>
      </c>
      <c r="L1433" s="90" t="s">
        <v>203</v>
      </c>
      <c r="M1433" s="90" t="s">
        <v>197</v>
      </c>
      <c r="N1433" s="90" t="s">
        <v>30</v>
      </c>
      <c r="O1433" s="90" t="s">
        <v>30</v>
      </c>
      <c r="P1433" s="90" t="s">
        <v>197</v>
      </c>
      <c r="Q1433" s="90" t="s">
        <v>203</v>
      </c>
      <c r="R1433" s="90" t="s">
        <v>197</v>
      </c>
      <c r="S1433" s="90" t="s">
        <v>197</v>
      </c>
      <c r="T1433" s="90"/>
      <c r="U1433" s="90" t="s">
        <v>199</v>
      </c>
      <c r="V1433" s="90" t="s">
        <v>197</v>
      </c>
      <c r="W1433" s="90" t="s">
        <v>197</v>
      </c>
      <c r="X1433" s="90" t="s">
        <v>203</v>
      </c>
      <c r="Y1433" s="90" t="s">
        <v>30</v>
      </c>
      <c r="Z1433" s="90" t="s">
        <v>208</v>
      </c>
      <c r="AA1433" s="90" t="s">
        <v>203</v>
      </c>
      <c r="AB1433" s="90" t="s">
        <v>203</v>
      </c>
      <c r="AC1433" s="90" t="s">
        <v>203</v>
      </c>
      <c r="AD1433" s="90" t="s">
        <v>203</v>
      </c>
      <c r="AE1433" s="90" t="s">
        <v>195</v>
      </c>
      <c r="AF1433" s="90" t="s">
        <v>195</v>
      </c>
      <c r="AG1433" s="90" t="s">
        <v>195</v>
      </c>
      <c r="AH1433" s="90" t="s">
        <v>195</v>
      </c>
      <c r="AI1433" s="90" t="s">
        <v>199</v>
      </c>
      <c r="AJ1433" s="90" t="s">
        <v>197</v>
      </c>
      <c r="AK1433" s="90" t="s">
        <v>197</v>
      </c>
      <c r="AL1433" s="90" t="s">
        <v>197</v>
      </c>
      <c r="AM1433" s="90"/>
      <c r="AN1433" s="90" t="s">
        <v>194</v>
      </c>
      <c r="AO1433" s="90" t="s">
        <v>195</v>
      </c>
      <c r="AP1433" s="90" t="s">
        <v>195</v>
      </c>
      <c r="AQ1433" s="90" t="s">
        <v>195</v>
      </c>
      <c r="AR1433" s="90" t="s">
        <v>195</v>
      </c>
      <c r="AS1433" s="90" t="s">
        <v>195</v>
      </c>
      <c r="AT1433" s="90" t="s">
        <v>195</v>
      </c>
      <c r="AU1433" s="90" t="s">
        <v>195</v>
      </c>
      <c r="AV1433" s="90" t="s">
        <v>195</v>
      </c>
      <c r="AW1433" s="90" t="s">
        <v>195</v>
      </c>
      <c r="AX1433" s="90" t="s">
        <v>195</v>
      </c>
      <c r="AY1433" s="90"/>
      <c r="AZ1433" s="90" t="s">
        <v>199</v>
      </c>
      <c r="BA1433" s="90" t="s">
        <v>199</v>
      </c>
      <c r="BB1433" s="90" t="s">
        <v>200</v>
      </c>
      <c r="BC1433" s="90" t="s">
        <v>200</v>
      </c>
      <c r="BD1433" s="90" t="s">
        <v>200</v>
      </c>
      <c r="BE1433" s="90" t="s">
        <v>200</v>
      </c>
      <c r="BF1433" s="90" t="s">
        <v>200</v>
      </c>
      <c r="BG1433" s="90" t="s">
        <v>200</v>
      </c>
      <c r="BH1433" s="90" t="s">
        <v>200</v>
      </c>
      <c r="BI1433" s="90" t="s">
        <v>200</v>
      </c>
      <c r="BJ1433" s="90" t="s">
        <v>200</v>
      </c>
      <c r="BK1433" s="90" t="s">
        <v>200</v>
      </c>
      <c r="BL1433" s="90" t="s">
        <v>197</v>
      </c>
      <c r="BM1433" s="90" t="s">
        <v>197</v>
      </c>
      <c r="BN1433" s="90" t="s">
        <v>197</v>
      </c>
      <c r="BO1433" s="90" t="s">
        <v>30</v>
      </c>
      <c r="BP1433" s="90" t="s">
        <v>197</v>
      </c>
      <c r="BQ1433" s="90" t="s">
        <v>197</v>
      </c>
      <c r="BR1433" s="90" t="s">
        <v>204</v>
      </c>
      <c r="BS1433" s="90" t="s">
        <v>204</v>
      </c>
      <c r="BT1433" s="90"/>
      <c r="BU1433" s="90" t="s">
        <v>197</v>
      </c>
      <c r="BV1433" s="90" t="s">
        <v>195</v>
      </c>
      <c r="BW1433" s="90" t="s">
        <v>195</v>
      </c>
      <c r="BX1433" s="90" t="s">
        <v>200</v>
      </c>
      <c r="BY1433" s="90" t="s">
        <v>195</v>
      </c>
      <c r="BZ1433" s="90" t="s">
        <v>195</v>
      </c>
      <c r="CA1433" s="90" t="s">
        <v>200</v>
      </c>
      <c r="CB1433" s="90"/>
      <c r="CC1433" s="90" t="s">
        <v>201</v>
      </c>
      <c r="CD1433" s="90"/>
      <c r="CE1433" s="90" t="s">
        <v>199</v>
      </c>
      <c r="CF1433" s="90"/>
      <c r="CG1433" s="90"/>
      <c r="CH1433" s="90"/>
      <c r="CI1433" s="90" t="s">
        <v>199</v>
      </c>
      <c r="CJ1433" s="90" t="s">
        <v>30</v>
      </c>
      <c r="CK1433" s="90" t="s">
        <v>200</v>
      </c>
      <c r="CL1433" s="90" t="s">
        <v>203</v>
      </c>
      <c r="CM1433" s="90" t="s">
        <v>203</v>
      </c>
      <c r="CN1433" s="90" t="s">
        <v>203</v>
      </c>
      <c r="CO1433" s="90" t="s">
        <v>203</v>
      </c>
      <c r="CP1433" s="90" t="s">
        <v>200</v>
      </c>
      <c r="CQ1433" s="90" t="s">
        <v>203</v>
      </c>
      <c r="CR1433" s="90" t="s">
        <v>204</v>
      </c>
      <c r="CS1433" s="90" t="s">
        <v>202</v>
      </c>
      <c r="CT1433" s="90" t="s">
        <v>202</v>
      </c>
      <c r="CU1433" s="90" t="s">
        <v>202</v>
      </c>
      <c r="CV1433" s="90" t="s">
        <v>202</v>
      </c>
      <c r="CW1433" s="90" t="s">
        <v>200</v>
      </c>
      <c r="CX1433" s="90" t="s">
        <v>30</v>
      </c>
      <c r="CY1433" s="90" t="s">
        <v>30</v>
      </c>
      <c r="CZ1433" s="90" t="s">
        <v>197</v>
      </c>
      <c r="DA1433" s="90" t="s">
        <v>197</v>
      </c>
      <c r="DB1433" s="90" t="s">
        <v>203</v>
      </c>
      <c r="DC1433" s="90" t="s">
        <v>203</v>
      </c>
      <c r="DD1433" s="90" t="s">
        <v>203</v>
      </c>
      <c r="DE1433" s="90" t="s">
        <v>203</v>
      </c>
      <c r="DF1433" s="90" t="s">
        <v>203</v>
      </c>
      <c r="DG1433" s="90" t="s">
        <v>203</v>
      </c>
      <c r="DH1433" s="90" t="s">
        <v>203</v>
      </c>
      <c r="DI1433" s="90" t="s">
        <v>203</v>
      </c>
      <c r="DJ1433" s="90" t="s">
        <v>203</v>
      </c>
      <c r="DK1433" s="90"/>
      <c r="DL1433" s="90" t="s">
        <v>194</v>
      </c>
      <c r="DM1433" s="90" t="s">
        <v>195</v>
      </c>
      <c r="DN1433" s="90" t="s">
        <v>195</v>
      </c>
      <c r="DO1433" s="90" t="s">
        <v>195</v>
      </c>
      <c r="DP1433" s="90" t="s">
        <v>195</v>
      </c>
      <c r="DQ1433" s="90" t="s">
        <v>195</v>
      </c>
      <c r="DR1433" s="90" t="s">
        <v>195</v>
      </c>
      <c r="DS1433" s="90" t="s">
        <v>195</v>
      </c>
      <c r="DT1433" s="90" t="s">
        <v>195</v>
      </c>
      <c r="DU1433" s="90" t="s">
        <v>195</v>
      </c>
      <c r="DV1433" s="90" t="s">
        <v>195</v>
      </c>
      <c r="DW1433" s="90" t="s">
        <v>195</v>
      </c>
      <c r="DX1433" s="90" t="s">
        <v>195</v>
      </c>
      <c r="DY1433" s="90" t="s">
        <v>195</v>
      </c>
      <c r="DZ1433" s="90" t="s">
        <v>195</v>
      </c>
      <c r="EA1433" s="90"/>
      <c r="EB1433" s="90" t="s">
        <v>199</v>
      </c>
      <c r="EC1433" s="90" t="s">
        <v>202</v>
      </c>
      <c r="ED1433" s="90" t="s">
        <v>30</v>
      </c>
      <c r="EE1433" s="90" t="s">
        <v>203</v>
      </c>
      <c r="EF1433" s="90" t="s">
        <v>202</v>
      </c>
      <c r="EG1433" s="90" t="s">
        <v>30</v>
      </c>
      <c r="EH1433" s="102" t="s">
        <v>204</v>
      </c>
    </row>
    <row r="1434" spans="1:138" ht="23.25" customHeight="1" x14ac:dyDescent="0.25">
      <c r="A1434" s="98" t="s">
        <v>17</v>
      </c>
      <c r="B1434" s="99" t="s">
        <v>193</v>
      </c>
      <c r="C1434" s="99" t="s">
        <v>199</v>
      </c>
      <c r="D1434" s="99" t="s">
        <v>30</v>
      </c>
      <c r="E1434" s="99" t="s">
        <v>200</v>
      </c>
      <c r="F1434" s="99" t="s">
        <v>200</v>
      </c>
      <c r="G1434" s="99" t="s">
        <v>202</v>
      </c>
      <c r="H1434" s="99" t="s">
        <v>202</v>
      </c>
      <c r="I1434" s="99" t="s">
        <v>30</v>
      </c>
      <c r="J1434" s="99" t="s">
        <v>30</v>
      </c>
      <c r="K1434" s="99" t="s">
        <v>200</v>
      </c>
      <c r="L1434" s="99" t="s">
        <v>30</v>
      </c>
      <c r="M1434" s="99" t="s">
        <v>30</v>
      </c>
      <c r="N1434" s="99" t="s">
        <v>200</v>
      </c>
      <c r="O1434" s="99" t="s">
        <v>30</v>
      </c>
      <c r="P1434" s="99" t="s">
        <v>197</v>
      </c>
      <c r="Q1434" s="99" t="s">
        <v>30</v>
      </c>
      <c r="R1434" s="99" t="s">
        <v>30</v>
      </c>
      <c r="S1434" s="99" t="s">
        <v>30</v>
      </c>
      <c r="T1434" s="99"/>
      <c r="U1434" s="99" t="s">
        <v>194</v>
      </c>
      <c r="V1434" s="99" t="s">
        <v>195</v>
      </c>
      <c r="W1434" s="99" t="s">
        <v>195</v>
      </c>
      <c r="X1434" s="99" t="s">
        <v>195</v>
      </c>
      <c r="Y1434" s="99" t="s">
        <v>195</v>
      </c>
      <c r="Z1434" s="99" t="s">
        <v>17</v>
      </c>
      <c r="AA1434" s="99" t="s">
        <v>195</v>
      </c>
      <c r="AB1434" s="99" t="s">
        <v>195</v>
      </c>
      <c r="AC1434" s="99" t="s">
        <v>195</v>
      </c>
      <c r="AD1434" s="99" t="s">
        <v>195</v>
      </c>
      <c r="AE1434" s="99" t="s">
        <v>195</v>
      </c>
      <c r="AF1434" s="99" t="s">
        <v>195</v>
      </c>
      <c r="AG1434" s="99" t="s">
        <v>195</v>
      </c>
      <c r="AH1434" s="99" t="s">
        <v>195</v>
      </c>
      <c r="AI1434" s="99" t="s">
        <v>194</v>
      </c>
      <c r="AJ1434" s="99" t="s">
        <v>195</v>
      </c>
      <c r="AK1434" s="99" t="s">
        <v>195</v>
      </c>
      <c r="AL1434" s="99" t="s">
        <v>195</v>
      </c>
      <c r="AM1434" s="99"/>
      <c r="AN1434" s="99" t="s">
        <v>194</v>
      </c>
      <c r="AO1434" s="99" t="s">
        <v>195</v>
      </c>
      <c r="AP1434" s="99" t="s">
        <v>195</v>
      </c>
      <c r="AQ1434" s="99" t="s">
        <v>195</v>
      </c>
      <c r="AR1434" s="99" t="s">
        <v>195</v>
      </c>
      <c r="AS1434" s="99" t="s">
        <v>195</v>
      </c>
      <c r="AT1434" s="99" t="s">
        <v>195</v>
      </c>
      <c r="AU1434" s="99" t="s">
        <v>195</v>
      </c>
      <c r="AV1434" s="99" t="s">
        <v>195</v>
      </c>
      <c r="AW1434" s="99" t="s">
        <v>195</v>
      </c>
      <c r="AX1434" s="99" t="s">
        <v>195</v>
      </c>
      <c r="AY1434" s="99"/>
      <c r="AZ1434" s="99" t="s">
        <v>194</v>
      </c>
      <c r="BA1434" s="99" t="s">
        <v>194</v>
      </c>
      <c r="BB1434" s="99" t="s">
        <v>195</v>
      </c>
      <c r="BC1434" s="99" t="s">
        <v>195</v>
      </c>
      <c r="BD1434" s="99" t="s">
        <v>195</v>
      </c>
      <c r="BE1434" s="99" t="s">
        <v>195</v>
      </c>
      <c r="BF1434" s="99" t="s">
        <v>195</v>
      </c>
      <c r="BG1434" s="99" t="s">
        <v>195</v>
      </c>
      <c r="BH1434" s="99" t="s">
        <v>195</v>
      </c>
      <c r="BI1434" s="99" t="s">
        <v>195</v>
      </c>
      <c r="BJ1434" s="99" t="s">
        <v>195</v>
      </c>
      <c r="BK1434" s="99" t="s">
        <v>195</v>
      </c>
      <c r="BL1434" s="99" t="s">
        <v>195</v>
      </c>
      <c r="BM1434" s="99" t="s">
        <v>195</v>
      </c>
      <c r="BN1434" s="99" t="s">
        <v>195</v>
      </c>
      <c r="BO1434" s="99" t="s">
        <v>195</v>
      </c>
      <c r="BP1434" s="99" t="s">
        <v>195</v>
      </c>
      <c r="BQ1434" s="99" t="s">
        <v>195</v>
      </c>
      <c r="BR1434" s="99" t="s">
        <v>195</v>
      </c>
      <c r="BS1434" s="99" t="s">
        <v>195</v>
      </c>
      <c r="BT1434" s="99"/>
      <c r="BU1434" s="99" t="s">
        <v>30</v>
      </c>
      <c r="BV1434" s="99" t="s">
        <v>202</v>
      </c>
      <c r="BW1434" s="99" t="s">
        <v>202</v>
      </c>
      <c r="BX1434" s="99" t="s">
        <v>202</v>
      </c>
      <c r="BY1434" s="99" t="s">
        <v>202</v>
      </c>
      <c r="BZ1434" s="99" t="s">
        <v>202</v>
      </c>
      <c r="CA1434" s="99" t="s">
        <v>30</v>
      </c>
      <c r="CB1434" s="99"/>
      <c r="CC1434" s="99" t="s">
        <v>206</v>
      </c>
      <c r="CD1434" s="99"/>
      <c r="CE1434" s="99" t="s">
        <v>199</v>
      </c>
      <c r="CF1434" s="99"/>
      <c r="CG1434" s="99"/>
      <c r="CH1434" s="99"/>
      <c r="CI1434" s="99" t="s">
        <v>194</v>
      </c>
      <c r="CJ1434" s="99" t="s">
        <v>195</v>
      </c>
      <c r="CK1434" s="99" t="s">
        <v>195</v>
      </c>
      <c r="CL1434" s="99" t="s">
        <v>195</v>
      </c>
      <c r="CM1434" s="99" t="s">
        <v>195</v>
      </c>
      <c r="CN1434" s="99" t="s">
        <v>195</v>
      </c>
      <c r="CO1434" s="99" t="s">
        <v>195</v>
      </c>
      <c r="CP1434" s="99" t="s">
        <v>195</v>
      </c>
      <c r="CQ1434" s="99" t="s">
        <v>195</v>
      </c>
      <c r="CR1434" s="99" t="s">
        <v>195</v>
      </c>
      <c r="CS1434" s="99" t="s">
        <v>195</v>
      </c>
      <c r="CT1434" s="99" t="s">
        <v>195</v>
      </c>
      <c r="CU1434" s="99" t="s">
        <v>195</v>
      </c>
      <c r="CV1434" s="99" t="s">
        <v>195</v>
      </c>
      <c r="CW1434" s="99" t="s">
        <v>195</v>
      </c>
      <c r="CX1434" s="99" t="s">
        <v>195</v>
      </c>
      <c r="CY1434" s="99" t="s">
        <v>195</v>
      </c>
      <c r="CZ1434" s="99" t="s">
        <v>195</v>
      </c>
      <c r="DA1434" s="99" t="s">
        <v>195</v>
      </c>
      <c r="DB1434" s="99" t="s">
        <v>195</v>
      </c>
      <c r="DC1434" s="99" t="s">
        <v>195</v>
      </c>
      <c r="DD1434" s="99" t="s">
        <v>195</v>
      </c>
      <c r="DE1434" s="99" t="s">
        <v>195</v>
      </c>
      <c r="DF1434" s="99" t="s">
        <v>195</v>
      </c>
      <c r="DG1434" s="99" t="s">
        <v>195</v>
      </c>
      <c r="DH1434" s="99" t="s">
        <v>195</v>
      </c>
      <c r="DI1434" s="99" t="s">
        <v>195</v>
      </c>
      <c r="DJ1434" s="99" t="s">
        <v>195</v>
      </c>
      <c r="DK1434" s="99"/>
      <c r="DL1434" s="99" t="s">
        <v>194</v>
      </c>
      <c r="DM1434" s="99" t="s">
        <v>195</v>
      </c>
      <c r="DN1434" s="99" t="s">
        <v>195</v>
      </c>
      <c r="DO1434" s="99" t="s">
        <v>195</v>
      </c>
      <c r="DP1434" s="99" t="s">
        <v>195</v>
      </c>
      <c r="DQ1434" s="99" t="s">
        <v>195</v>
      </c>
      <c r="DR1434" s="99" t="s">
        <v>195</v>
      </c>
      <c r="DS1434" s="99" t="s">
        <v>195</v>
      </c>
      <c r="DT1434" s="99" t="s">
        <v>195</v>
      </c>
      <c r="DU1434" s="99" t="s">
        <v>195</v>
      </c>
      <c r="DV1434" s="99" t="s">
        <v>195</v>
      </c>
      <c r="DW1434" s="99" t="s">
        <v>195</v>
      </c>
      <c r="DX1434" s="99" t="s">
        <v>195</v>
      </c>
      <c r="DY1434" s="99" t="s">
        <v>195</v>
      </c>
      <c r="DZ1434" s="99" t="s">
        <v>195</v>
      </c>
      <c r="EA1434" s="99"/>
      <c r="EB1434" s="99" t="s">
        <v>194</v>
      </c>
      <c r="EC1434" s="99" t="s">
        <v>195</v>
      </c>
      <c r="ED1434" s="99" t="s">
        <v>195</v>
      </c>
      <c r="EE1434" s="99" t="s">
        <v>195</v>
      </c>
      <c r="EF1434" s="99" t="s">
        <v>195</v>
      </c>
      <c r="EG1434" s="99" t="s">
        <v>195</v>
      </c>
      <c r="EH1434" s="100" t="s">
        <v>195</v>
      </c>
    </row>
    <row r="1435" spans="1:138" ht="23.25" customHeight="1" x14ac:dyDescent="0.25">
      <c r="A1435" s="101" t="s">
        <v>16</v>
      </c>
      <c r="B1435" s="90" t="s">
        <v>193</v>
      </c>
      <c r="C1435" s="90" t="s">
        <v>194</v>
      </c>
      <c r="D1435" s="90" t="s">
        <v>195</v>
      </c>
      <c r="E1435" s="90" t="s">
        <v>195</v>
      </c>
      <c r="F1435" s="90" t="s">
        <v>195</v>
      </c>
      <c r="G1435" s="90" t="s">
        <v>195</v>
      </c>
      <c r="H1435" s="90" t="s">
        <v>195</v>
      </c>
      <c r="I1435" s="90" t="s">
        <v>195</v>
      </c>
      <c r="J1435" s="90" t="s">
        <v>195</v>
      </c>
      <c r="K1435" s="90" t="s">
        <v>195</v>
      </c>
      <c r="L1435" s="90" t="s">
        <v>195</v>
      </c>
      <c r="M1435" s="90" t="s">
        <v>195</v>
      </c>
      <c r="N1435" s="90" t="s">
        <v>195</v>
      </c>
      <c r="O1435" s="90" t="s">
        <v>195</v>
      </c>
      <c r="P1435" s="90" t="s">
        <v>195</v>
      </c>
      <c r="Q1435" s="90" t="s">
        <v>195</v>
      </c>
      <c r="R1435" s="90" t="s">
        <v>195</v>
      </c>
      <c r="S1435" s="90" t="s">
        <v>195</v>
      </c>
      <c r="T1435" s="90"/>
      <c r="U1435" s="90" t="s">
        <v>194</v>
      </c>
      <c r="V1435" s="90" t="s">
        <v>195</v>
      </c>
      <c r="W1435" s="90" t="s">
        <v>195</v>
      </c>
      <c r="X1435" s="90" t="s">
        <v>195</v>
      </c>
      <c r="Y1435" s="90" t="s">
        <v>195</v>
      </c>
      <c r="Z1435" s="90" t="s">
        <v>196</v>
      </c>
      <c r="AA1435" s="90" t="s">
        <v>195</v>
      </c>
      <c r="AB1435" s="90" t="s">
        <v>195</v>
      </c>
      <c r="AC1435" s="90" t="s">
        <v>195</v>
      </c>
      <c r="AD1435" s="90" t="s">
        <v>195</v>
      </c>
      <c r="AE1435" s="90" t="s">
        <v>195</v>
      </c>
      <c r="AF1435" s="90" t="s">
        <v>195</v>
      </c>
      <c r="AG1435" s="90" t="s">
        <v>195</v>
      </c>
      <c r="AH1435" s="90" t="s">
        <v>195</v>
      </c>
      <c r="AI1435" s="90" t="s">
        <v>194</v>
      </c>
      <c r="AJ1435" s="90" t="s">
        <v>195</v>
      </c>
      <c r="AK1435" s="90" t="s">
        <v>195</v>
      </c>
      <c r="AL1435" s="90" t="s">
        <v>195</v>
      </c>
      <c r="AM1435" s="90"/>
      <c r="AN1435" s="90" t="s">
        <v>194</v>
      </c>
      <c r="AO1435" s="90" t="s">
        <v>195</v>
      </c>
      <c r="AP1435" s="90" t="s">
        <v>195</v>
      </c>
      <c r="AQ1435" s="90" t="s">
        <v>195</v>
      </c>
      <c r="AR1435" s="90" t="s">
        <v>195</v>
      </c>
      <c r="AS1435" s="90" t="s">
        <v>195</v>
      </c>
      <c r="AT1435" s="90" t="s">
        <v>195</v>
      </c>
      <c r="AU1435" s="90" t="s">
        <v>195</v>
      </c>
      <c r="AV1435" s="90" t="s">
        <v>195</v>
      </c>
      <c r="AW1435" s="90" t="s">
        <v>195</v>
      </c>
      <c r="AX1435" s="90" t="s">
        <v>195</v>
      </c>
      <c r="AY1435" s="90"/>
      <c r="AZ1435" s="90" t="s">
        <v>199</v>
      </c>
      <c r="BA1435" s="90" t="s">
        <v>199</v>
      </c>
      <c r="BB1435" s="90" t="s">
        <v>197</v>
      </c>
      <c r="BC1435" s="90" t="s">
        <v>197</v>
      </c>
      <c r="BD1435" s="90" t="s">
        <v>197</v>
      </c>
      <c r="BE1435" s="90" t="s">
        <v>197</v>
      </c>
      <c r="BF1435" s="90" t="s">
        <v>197</v>
      </c>
      <c r="BG1435" s="90" t="s">
        <v>197</v>
      </c>
      <c r="BH1435" s="90" t="s">
        <v>197</v>
      </c>
      <c r="BI1435" s="90" t="s">
        <v>197</v>
      </c>
      <c r="BJ1435" s="90" t="s">
        <v>197</v>
      </c>
      <c r="BK1435" s="90" t="s">
        <v>197</v>
      </c>
      <c r="BL1435" s="90" t="s">
        <v>197</v>
      </c>
      <c r="BM1435" s="90" t="s">
        <v>197</v>
      </c>
      <c r="BN1435" s="90" t="s">
        <v>197</v>
      </c>
      <c r="BO1435" s="90" t="s">
        <v>197</v>
      </c>
      <c r="BP1435" s="90" t="s">
        <v>197</v>
      </c>
      <c r="BQ1435" s="90" t="s">
        <v>197</v>
      </c>
      <c r="BR1435" s="90" t="s">
        <v>197</v>
      </c>
      <c r="BS1435" s="90" t="s">
        <v>197</v>
      </c>
      <c r="BT1435" s="90"/>
      <c r="BU1435" s="90" t="s">
        <v>197</v>
      </c>
      <c r="BV1435" s="90" t="s">
        <v>195</v>
      </c>
      <c r="BW1435" s="90" t="s">
        <v>197</v>
      </c>
      <c r="BX1435" s="90" t="s">
        <v>197</v>
      </c>
      <c r="BY1435" s="90" t="s">
        <v>197</v>
      </c>
      <c r="BZ1435" s="90" t="s">
        <v>197</v>
      </c>
      <c r="CA1435" s="90" t="s">
        <v>197</v>
      </c>
      <c r="CB1435" s="90"/>
      <c r="CC1435" s="90" t="s">
        <v>198</v>
      </c>
      <c r="CD1435" s="90"/>
      <c r="CE1435" s="90" t="s">
        <v>199</v>
      </c>
      <c r="CF1435" s="90"/>
      <c r="CG1435" s="90"/>
      <c r="CH1435" s="90"/>
      <c r="CI1435" s="90" t="s">
        <v>194</v>
      </c>
      <c r="CJ1435" s="90" t="s">
        <v>195</v>
      </c>
      <c r="CK1435" s="90" t="s">
        <v>195</v>
      </c>
      <c r="CL1435" s="90" t="s">
        <v>195</v>
      </c>
      <c r="CM1435" s="90" t="s">
        <v>195</v>
      </c>
      <c r="CN1435" s="90" t="s">
        <v>195</v>
      </c>
      <c r="CO1435" s="90" t="s">
        <v>195</v>
      </c>
      <c r="CP1435" s="90" t="s">
        <v>195</v>
      </c>
      <c r="CQ1435" s="90" t="s">
        <v>195</v>
      </c>
      <c r="CR1435" s="90" t="s">
        <v>195</v>
      </c>
      <c r="CS1435" s="90" t="s">
        <v>195</v>
      </c>
      <c r="CT1435" s="90" t="s">
        <v>195</v>
      </c>
      <c r="CU1435" s="90" t="s">
        <v>195</v>
      </c>
      <c r="CV1435" s="90" t="s">
        <v>195</v>
      </c>
      <c r="CW1435" s="90" t="s">
        <v>195</v>
      </c>
      <c r="CX1435" s="90" t="s">
        <v>195</v>
      </c>
      <c r="CY1435" s="90" t="s">
        <v>195</v>
      </c>
      <c r="CZ1435" s="90" t="s">
        <v>195</v>
      </c>
      <c r="DA1435" s="90" t="s">
        <v>195</v>
      </c>
      <c r="DB1435" s="90" t="s">
        <v>195</v>
      </c>
      <c r="DC1435" s="90" t="s">
        <v>195</v>
      </c>
      <c r="DD1435" s="90" t="s">
        <v>195</v>
      </c>
      <c r="DE1435" s="90" t="s">
        <v>195</v>
      </c>
      <c r="DF1435" s="90" t="s">
        <v>195</v>
      </c>
      <c r="DG1435" s="90" t="s">
        <v>195</v>
      </c>
      <c r="DH1435" s="90" t="s">
        <v>195</v>
      </c>
      <c r="DI1435" s="90" t="s">
        <v>195</v>
      </c>
      <c r="DJ1435" s="90" t="s">
        <v>195</v>
      </c>
      <c r="DK1435" s="90"/>
      <c r="DL1435" s="90" t="s">
        <v>194</v>
      </c>
      <c r="DM1435" s="90" t="s">
        <v>195</v>
      </c>
      <c r="DN1435" s="90" t="s">
        <v>195</v>
      </c>
      <c r="DO1435" s="90" t="s">
        <v>195</v>
      </c>
      <c r="DP1435" s="90" t="s">
        <v>195</v>
      </c>
      <c r="DQ1435" s="90" t="s">
        <v>195</v>
      </c>
      <c r="DR1435" s="90" t="s">
        <v>195</v>
      </c>
      <c r="DS1435" s="90" t="s">
        <v>195</v>
      </c>
      <c r="DT1435" s="90" t="s">
        <v>195</v>
      </c>
      <c r="DU1435" s="90" t="s">
        <v>195</v>
      </c>
      <c r="DV1435" s="90" t="s">
        <v>195</v>
      </c>
      <c r="DW1435" s="90" t="s">
        <v>195</v>
      </c>
      <c r="DX1435" s="90" t="s">
        <v>195</v>
      </c>
      <c r="DY1435" s="90" t="s">
        <v>195</v>
      </c>
      <c r="DZ1435" s="90" t="s">
        <v>195</v>
      </c>
      <c r="EA1435" s="90"/>
      <c r="EB1435" s="90" t="s">
        <v>194</v>
      </c>
      <c r="EC1435" s="90" t="s">
        <v>195</v>
      </c>
      <c r="ED1435" s="90" t="s">
        <v>195</v>
      </c>
      <c r="EE1435" s="90" t="s">
        <v>195</v>
      </c>
      <c r="EF1435" s="90" t="s">
        <v>195</v>
      </c>
      <c r="EG1435" s="90" t="s">
        <v>195</v>
      </c>
      <c r="EH1435" s="102" t="s">
        <v>195</v>
      </c>
    </row>
    <row r="1436" spans="1:138" ht="23.25" customHeight="1" x14ac:dyDescent="0.25">
      <c r="A1436" s="98" t="s">
        <v>16</v>
      </c>
      <c r="B1436" s="99" t="s">
        <v>193</v>
      </c>
      <c r="C1436" s="99" t="s">
        <v>194</v>
      </c>
      <c r="D1436" s="99" t="s">
        <v>195</v>
      </c>
      <c r="E1436" s="99" t="s">
        <v>195</v>
      </c>
      <c r="F1436" s="99" t="s">
        <v>195</v>
      </c>
      <c r="G1436" s="99" t="s">
        <v>195</v>
      </c>
      <c r="H1436" s="99" t="s">
        <v>195</v>
      </c>
      <c r="I1436" s="99" t="s">
        <v>195</v>
      </c>
      <c r="J1436" s="99" t="s">
        <v>195</v>
      </c>
      <c r="K1436" s="99" t="s">
        <v>195</v>
      </c>
      <c r="L1436" s="99" t="s">
        <v>195</v>
      </c>
      <c r="M1436" s="99" t="s">
        <v>195</v>
      </c>
      <c r="N1436" s="99" t="s">
        <v>195</v>
      </c>
      <c r="O1436" s="99" t="s">
        <v>195</v>
      </c>
      <c r="P1436" s="99" t="s">
        <v>195</v>
      </c>
      <c r="Q1436" s="99" t="s">
        <v>195</v>
      </c>
      <c r="R1436" s="99" t="s">
        <v>195</v>
      </c>
      <c r="S1436" s="99" t="s">
        <v>195</v>
      </c>
      <c r="T1436" s="99"/>
      <c r="U1436" s="99" t="s">
        <v>194</v>
      </c>
      <c r="V1436" s="99" t="s">
        <v>195</v>
      </c>
      <c r="W1436" s="99" t="s">
        <v>195</v>
      </c>
      <c r="X1436" s="99" t="s">
        <v>195</v>
      </c>
      <c r="Y1436" s="99" t="s">
        <v>195</v>
      </c>
      <c r="Z1436" s="99" t="s">
        <v>196</v>
      </c>
      <c r="AA1436" s="99" t="s">
        <v>195</v>
      </c>
      <c r="AB1436" s="99" t="s">
        <v>195</v>
      </c>
      <c r="AC1436" s="99" t="s">
        <v>195</v>
      </c>
      <c r="AD1436" s="99" t="s">
        <v>195</v>
      </c>
      <c r="AE1436" s="99" t="s">
        <v>195</v>
      </c>
      <c r="AF1436" s="99" t="s">
        <v>195</v>
      </c>
      <c r="AG1436" s="99" t="s">
        <v>195</v>
      </c>
      <c r="AH1436" s="99" t="s">
        <v>195</v>
      </c>
      <c r="AI1436" s="99" t="s">
        <v>194</v>
      </c>
      <c r="AJ1436" s="99" t="s">
        <v>195</v>
      </c>
      <c r="AK1436" s="99" t="s">
        <v>195</v>
      </c>
      <c r="AL1436" s="99" t="s">
        <v>195</v>
      </c>
      <c r="AM1436" s="99"/>
      <c r="AN1436" s="99" t="s">
        <v>194</v>
      </c>
      <c r="AO1436" s="99" t="s">
        <v>195</v>
      </c>
      <c r="AP1436" s="99" t="s">
        <v>195</v>
      </c>
      <c r="AQ1436" s="99" t="s">
        <v>195</v>
      </c>
      <c r="AR1436" s="99" t="s">
        <v>195</v>
      </c>
      <c r="AS1436" s="99" t="s">
        <v>195</v>
      </c>
      <c r="AT1436" s="99" t="s">
        <v>195</v>
      </c>
      <c r="AU1436" s="99" t="s">
        <v>195</v>
      </c>
      <c r="AV1436" s="99" t="s">
        <v>195</v>
      </c>
      <c r="AW1436" s="99" t="s">
        <v>195</v>
      </c>
      <c r="AX1436" s="99" t="s">
        <v>195</v>
      </c>
      <c r="AY1436" s="99"/>
      <c r="AZ1436" s="99" t="s">
        <v>199</v>
      </c>
      <c r="BA1436" s="99" t="s">
        <v>199</v>
      </c>
      <c r="BB1436" s="99" t="s">
        <v>203</v>
      </c>
      <c r="BC1436" s="99" t="s">
        <v>203</v>
      </c>
      <c r="BD1436" s="99" t="s">
        <v>203</v>
      </c>
      <c r="BE1436" s="99" t="s">
        <v>203</v>
      </c>
      <c r="BF1436" s="99" t="s">
        <v>203</v>
      </c>
      <c r="BG1436" s="99" t="s">
        <v>203</v>
      </c>
      <c r="BH1436" s="99" t="s">
        <v>203</v>
      </c>
      <c r="BI1436" s="99" t="s">
        <v>203</v>
      </c>
      <c r="BJ1436" s="99" t="s">
        <v>203</v>
      </c>
      <c r="BK1436" s="99" t="s">
        <v>203</v>
      </c>
      <c r="BL1436" s="99" t="s">
        <v>200</v>
      </c>
      <c r="BM1436" s="99" t="s">
        <v>200</v>
      </c>
      <c r="BN1436" s="99" t="s">
        <v>203</v>
      </c>
      <c r="BO1436" s="99" t="s">
        <v>203</v>
      </c>
      <c r="BP1436" s="99" t="s">
        <v>203</v>
      </c>
      <c r="BQ1436" s="99" t="s">
        <v>203</v>
      </c>
      <c r="BR1436" s="99" t="s">
        <v>203</v>
      </c>
      <c r="BS1436" s="99" t="s">
        <v>203</v>
      </c>
      <c r="BT1436" s="99"/>
      <c r="BU1436" s="99" t="s">
        <v>205</v>
      </c>
      <c r="BV1436" s="99" t="s">
        <v>205</v>
      </c>
      <c r="BW1436" s="99" t="s">
        <v>205</v>
      </c>
      <c r="BX1436" s="99" t="s">
        <v>205</v>
      </c>
      <c r="BY1436" s="99" t="s">
        <v>205</v>
      </c>
      <c r="BZ1436" s="99" t="s">
        <v>205</v>
      </c>
      <c r="CA1436" s="99" t="s">
        <v>205</v>
      </c>
      <c r="CB1436" s="99"/>
      <c r="CC1436" s="99" t="s">
        <v>206</v>
      </c>
      <c r="CD1436" s="99"/>
      <c r="CE1436" s="99" t="s">
        <v>199</v>
      </c>
      <c r="CF1436" s="99"/>
      <c r="CG1436" s="99"/>
      <c r="CH1436" s="99"/>
      <c r="CI1436" s="99" t="s">
        <v>194</v>
      </c>
      <c r="CJ1436" s="99" t="s">
        <v>195</v>
      </c>
      <c r="CK1436" s="99" t="s">
        <v>195</v>
      </c>
      <c r="CL1436" s="99" t="s">
        <v>195</v>
      </c>
      <c r="CM1436" s="99" t="s">
        <v>195</v>
      </c>
      <c r="CN1436" s="99" t="s">
        <v>195</v>
      </c>
      <c r="CO1436" s="99" t="s">
        <v>195</v>
      </c>
      <c r="CP1436" s="99" t="s">
        <v>195</v>
      </c>
      <c r="CQ1436" s="99" t="s">
        <v>195</v>
      </c>
      <c r="CR1436" s="99" t="s">
        <v>195</v>
      </c>
      <c r="CS1436" s="99" t="s">
        <v>195</v>
      </c>
      <c r="CT1436" s="99" t="s">
        <v>195</v>
      </c>
      <c r="CU1436" s="99" t="s">
        <v>195</v>
      </c>
      <c r="CV1436" s="99" t="s">
        <v>195</v>
      </c>
      <c r="CW1436" s="99" t="s">
        <v>195</v>
      </c>
      <c r="CX1436" s="99" t="s">
        <v>195</v>
      </c>
      <c r="CY1436" s="99" t="s">
        <v>195</v>
      </c>
      <c r="CZ1436" s="99" t="s">
        <v>195</v>
      </c>
      <c r="DA1436" s="99" t="s">
        <v>195</v>
      </c>
      <c r="DB1436" s="99" t="s">
        <v>195</v>
      </c>
      <c r="DC1436" s="99" t="s">
        <v>195</v>
      </c>
      <c r="DD1436" s="99" t="s">
        <v>195</v>
      </c>
      <c r="DE1436" s="99" t="s">
        <v>195</v>
      </c>
      <c r="DF1436" s="99" t="s">
        <v>195</v>
      </c>
      <c r="DG1436" s="99" t="s">
        <v>195</v>
      </c>
      <c r="DH1436" s="99" t="s">
        <v>195</v>
      </c>
      <c r="DI1436" s="99" t="s">
        <v>195</v>
      </c>
      <c r="DJ1436" s="99" t="s">
        <v>195</v>
      </c>
      <c r="DK1436" s="99"/>
      <c r="DL1436" s="99" t="s">
        <v>194</v>
      </c>
      <c r="DM1436" s="99" t="s">
        <v>195</v>
      </c>
      <c r="DN1436" s="99" t="s">
        <v>195</v>
      </c>
      <c r="DO1436" s="99" t="s">
        <v>195</v>
      </c>
      <c r="DP1436" s="99" t="s">
        <v>195</v>
      </c>
      <c r="DQ1436" s="99" t="s">
        <v>195</v>
      </c>
      <c r="DR1436" s="99" t="s">
        <v>195</v>
      </c>
      <c r="DS1436" s="99" t="s">
        <v>195</v>
      </c>
      <c r="DT1436" s="99" t="s">
        <v>195</v>
      </c>
      <c r="DU1436" s="99" t="s">
        <v>195</v>
      </c>
      <c r="DV1436" s="99" t="s">
        <v>195</v>
      </c>
      <c r="DW1436" s="99" t="s">
        <v>195</v>
      </c>
      <c r="DX1436" s="99" t="s">
        <v>195</v>
      </c>
      <c r="DY1436" s="99" t="s">
        <v>195</v>
      </c>
      <c r="DZ1436" s="99" t="s">
        <v>195</v>
      </c>
      <c r="EA1436" s="99"/>
      <c r="EB1436" s="99" t="s">
        <v>194</v>
      </c>
      <c r="EC1436" s="99" t="s">
        <v>195</v>
      </c>
      <c r="ED1436" s="99" t="s">
        <v>195</v>
      </c>
      <c r="EE1436" s="99" t="s">
        <v>195</v>
      </c>
      <c r="EF1436" s="99" t="s">
        <v>195</v>
      </c>
      <c r="EG1436" s="99" t="s">
        <v>195</v>
      </c>
      <c r="EH1436" s="100" t="s">
        <v>195</v>
      </c>
    </row>
    <row r="1437" spans="1:138" ht="23.25" customHeight="1" x14ac:dyDescent="0.25">
      <c r="A1437" s="101" t="s">
        <v>17</v>
      </c>
      <c r="B1437" s="90" t="s">
        <v>193</v>
      </c>
      <c r="C1437" s="90" t="s">
        <v>199</v>
      </c>
      <c r="D1437" s="90" t="s">
        <v>200</v>
      </c>
      <c r="E1437" s="90" t="s">
        <v>200</v>
      </c>
      <c r="F1437" s="90" t="s">
        <v>30</v>
      </c>
      <c r="G1437" s="90" t="s">
        <v>30</v>
      </c>
      <c r="H1437" s="90" t="s">
        <v>200</v>
      </c>
      <c r="I1437" s="90" t="s">
        <v>200</v>
      </c>
      <c r="J1437" s="90" t="s">
        <v>200</v>
      </c>
      <c r="K1437" s="90" t="s">
        <v>202</v>
      </c>
      <c r="L1437" s="90" t="s">
        <v>30</v>
      </c>
      <c r="M1437" s="90" t="s">
        <v>30</v>
      </c>
      <c r="N1437" s="90" t="s">
        <v>202</v>
      </c>
      <c r="O1437" s="90" t="s">
        <v>200</v>
      </c>
      <c r="P1437" s="90" t="s">
        <v>200</v>
      </c>
      <c r="Q1437" s="90" t="s">
        <v>30</v>
      </c>
      <c r="R1437" s="90" t="s">
        <v>30</v>
      </c>
      <c r="S1437" s="90" t="s">
        <v>200</v>
      </c>
      <c r="T1437" s="90"/>
      <c r="U1437" s="90" t="s">
        <v>199</v>
      </c>
      <c r="V1437" s="90" t="s">
        <v>203</v>
      </c>
      <c r="W1437" s="90" t="s">
        <v>203</v>
      </c>
      <c r="X1437" s="90" t="s">
        <v>203</v>
      </c>
      <c r="Y1437" s="90" t="s">
        <v>203</v>
      </c>
      <c r="Z1437" s="90" t="s">
        <v>208</v>
      </c>
      <c r="AA1437" s="90" t="s">
        <v>30</v>
      </c>
      <c r="AB1437" s="90" t="s">
        <v>202</v>
      </c>
      <c r="AC1437" s="90" t="s">
        <v>202</v>
      </c>
      <c r="AD1437" s="90" t="s">
        <v>202</v>
      </c>
      <c r="AE1437" s="90" t="s">
        <v>195</v>
      </c>
      <c r="AF1437" s="90" t="s">
        <v>195</v>
      </c>
      <c r="AG1437" s="90" t="s">
        <v>195</v>
      </c>
      <c r="AH1437" s="90" t="s">
        <v>195</v>
      </c>
      <c r="AI1437" s="90" t="s">
        <v>199</v>
      </c>
      <c r="AJ1437" s="90" t="s">
        <v>200</v>
      </c>
      <c r="AK1437" s="90" t="s">
        <v>30</v>
      </c>
      <c r="AL1437" s="90" t="s">
        <v>200</v>
      </c>
      <c r="AM1437" s="90"/>
      <c r="AN1437" s="90" t="s">
        <v>199</v>
      </c>
      <c r="AO1437" s="90" t="s">
        <v>200</v>
      </c>
      <c r="AP1437" s="90" t="s">
        <v>200</v>
      </c>
      <c r="AQ1437" s="90" t="s">
        <v>200</v>
      </c>
      <c r="AR1437" s="90" t="s">
        <v>200</v>
      </c>
      <c r="AS1437" s="90" t="s">
        <v>202</v>
      </c>
      <c r="AT1437" s="90" t="s">
        <v>200</v>
      </c>
      <c r="AU1437" s="90" t="s">
        <v>30</v>
      </c>
      <c r="AV1437" s="90" t="s">
        <v>200</v>
      </c>
      <c r="AW1437" s="90" t="s">
        <v>200</v>
      </c>
      <c r="AX1437" s="90" t="s">
        <v>200</v>
      </c>
      <c r="AY1437" s="90"/>
      <c r="AZ1437" s="90" t="s">
        <v>199</v>
      </c>
      <c r="BA1437" s="90" t="s">
        <v>199</v>
      </c>
      <c r="BB1437" s="90" t="s">
        <v>203</v>
      </c>
      <c r="BC1437" s="90" t="s">
        <v>30</v>
      </c>
      <c r="BD1437" s="90" t="s">
        <v>30</v>
      </c>
      <c r="BE1437" s="90" t="s">
        <v>30</v>
      </c>
      <c r="BF1437" s="90" t="s">
        <v>30</v>
      </c>
      <c r="BG1437" s="90" t="s">
        <v>30</v>
      </c>
      <c r="BH1437" s="90" t="s">
        <v>30</v>
      </c>
      <c r="BI1437" s="90" t="s">
        <v>30</v>
      </c>
      <c r="BJ1437" s="90" t="s">
        <v>30</v>
      </c>
      <c r="BK1437" s="90" t="s">
        <v>203</v>
      </c>
      <c r="BL1437" s="90" t="s">
        <v>200</v>
      </c>
      <c r="BM1437" s="90" t="s">
        <v>200</v>
      </c>
      <c r="BN1437" s="90" t="s">
        <v>200</v>
      </c>
      <c r="BO1437" s="90" t="s">
        <v>30</v>
      </c>
      <c r="BP1437" s="90" t="s">
        <v>30</v>
      </c>
      <c r="BQ1437" s="90" t="s">
        <v>203</v>
      </c>
      <c r="BR1437" s="90" t="s">
        <v>203</v>
      </c>
      <c r="BS1437" s="90" t="s">
        <v>200</v>
      </c>
      <c r="BT1437" s="90"/>
      <c r="BU1437" s="90" t="s">
        <v>205</v>
      </c>
      <c r="BV1437" s="90" t="s">
        <v>205</v>
      </c>
      <c r="BW1437" s="90" t="s">
        <v>205</v>
      </c>
      <c r="BX1437" s="90" t="s">
        <v>205</v>
      </c>
      <c r="BY1437" s="90" t="s">
        <v>205</v>
      </c>
      <c r="BZ1437" s="90" t="s">
        <v>205</v>
      </c>
      <c r="CA1437" s="90" t="s">
        <v>205</v>
      </c>
      <c r="CB1437" s="90"/>
      <c r="CC1437" s="90" t="s">
        <v>201</v>
      </c>
      <c r="CD1437" s="90"/>
      <c r="CE1437" s="90" t="s">
        <v>199</v>
      </c>
      <c r="CF1437" s="90"/>
      <c r="CG1437" s="90"/>
      <c r="CH1437" s="90"/>
      <c r="CI1437" s="90" t="s">
        <v>194</v>
      </c>
      <c r="CJ1437" s="90" t="s">
        <v>195</v>
      </c>
      <c r="CK1437" s="90" t="s">
        <v>195</v>
      </c>
      <c r="CL1437" s="90" t="s">
        <v>195</v>
      </c>
      <c r="CM1437" s="90" t="s">
        <v>195</v>
      </c>
      <c r="CN1437" s="90" t="s">
        <v>195</v>
      </c>
      <c r="CO1437" s="90" t="s">
        <v>195</v>
      </c>
      <c r="CP1437" s="90" t="s">
        <v>195</v>
      </c>
      <c r="CQ1437" s="90" t="s">
        <v>195</v>
      </c>
      <c r="CR1437" s="90" t="s">
        <v>195</v>
      </c>
      <c r="CS1437" s="90" t="s">
        <v>195</v>
      </c>
      <c r="CT1437" s="90" t="s">
        <v>195</v>
      </c>
      <c r="CU1437" s="90" t="s">
        <v>195</v>
      </c>
      <c r="CV1437" s="90" t="s">
        <v>195</v>
      </c>
      <c r="CW1437" s="90" t="s">
        <v>195</v>
      </c>
      <c r="CX1437" s="90" t="s">
        <v>195</v>
      </c>
      <c r="CY1437" s="90" t="s">
        <v>195</v>
      </c>
      <c r="CZ1437" s="90" t="s">
        <v>195</v>
      </c>
      <c r="DA1437" s="90" t="s">
        <v>195</v>
      </c>
      <c r="DB1437" s="90" t="s">
        <v>195</v>
      </c>
      <c r="DC1437" s="90" t="s">
        <v>195</v>
      </c>
      <c r="DD1437" s="90" t="s">
        <v>195</v>
      </c>
      <c r="DE1437" s="90" t="s">
        <v>195</v>
      </c>
      <c r="DF1437" s="90" t="s">
        <v>195</v>
      </c>
      <c r="DG1437" s="90" t="s">
        <v>195</v>
      </c>
      <c r="DH1437" s="90" t="s">
        <v>195</v>
      </c>
      <c r="DI1437" s="90" t="s">
        <v>195</v>
      </c>
      <c r="DJ1437" s="90" t="s">
        <v>195</v>
      </c>
      <c r="DK1437" s="90"/>
      <c r="DL1437" s="90" t="s">
        <v>194</v>
      </c>
      <c r="DM1437" s="90" t="s">
        <v>195</v>
      </c>
      <c r="DN1437" s="90" t="s">
        <v>195</v>
      </c>
      <c r="DO1437" s="90" t="s">
        <v>195</v>
      </c>
      <c r="DP1437" s="90" t="s">
        <v>195</v>
      </c>
      <c r="DQ1437" s="90" t="s">
        <v>195</v>
      </c>
      <c r="DR1437" s="90" t="s">
        <v>195</v>
      </c>
      <c r="DS1437" s="90" t="s">
        <v>195</v>
      </c>
      <c r="DT1437" s="90" t="s">
        <v>195</v>
      </c>
      <c r="DU1437" s="90" t="s">
        <v>195</v>
      </c>
      <c r="DV1437" s="90" t="s">
        <v>195</v>
      </c>
      <c r="DW1437" s="90" t="s">
        <v>195</v>
      </c>
      <c r="DX1437" s="90" t="s">
        <v>195</v>
      </c>
      <c r="DY1437" s="90" t="s">
        <v>195</v>
      </c>
      <c r="DZ1437" s="90" t="s">
        <v>195</v>
      </c>
      <c r="EA1437" s="90"/>
      <c r="EB1437" s="90" t="s">
        <v>194</v>
      </c>
      <c r="EC1437" s="90" t="s">
        <v>195</v>
      </c>
      <c r="ED1437" s="90" t="s">
        <v>195</v>
      </c>
      <c r="EE1437" s="90" t="s">
        <v>195</v>
      </c>
      <c r="EF1437" s="90" t="s">
        <v>195</v>
      </c>
      <c r="EG1437" s="90" t="s">
        <v>195</v>
      </c>
      <c r="EH1437" s="102" t="s">
        <v>195</v>
      </c>
    </row>
  </sheetData>
  <pageMargins left="0.7" right="0.7" top="0.75" bottom="0.75" header="0.3" footer="0.3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4.140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70</v>
      </c>
    </row>
    <row r="2" spans="1:7" x14ac:dyDescent="0.25">
      <c r="A2" s="2" t="str">
        <f>TEXT(A1,"0.00")</f>
        <v>4.14</v>
      </c>
      <c r="B2" s="2" t="str">
        <f>VLOOKUP(A$2,Eixo4[],3,FALSE)</f>
        <v>Com relação ao ensino da graduação, avalie: [A atuação do coordenador do curso com o qual você tem mais contato]</v>
      </c>
    </row>
    <row r="3" spans="1:7" x14ac:dyDescent="0.25">
      <c r="A3" s="2" t="s">
        <v>494</v>
      </c>
      <c r="B3" s="2" t="str">
        <f>VLOOKUP(A$2,Eixo4[],4,FALSE)</f>
        <v>Eixo 4: Questão 14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0</v>
      </c>
      <c r="E6" s="4">
        <f>E13-SUM(E7:E12)</f>
        <v>9</v>
      </c>
      <c r="F6" s="4">
        <f>ROUND($E6/E$13*100,2)</f>
        <v>37.5</v>
      </c>
    </row>
    <row r="7" spans="1:7" x14ac:dyDescent="0.25">
      <c r="B7" s="2" t="s">
        <v>203</v>
      </c>
      <c r="C7" s="4">
        <f>COUNTIFS(Resp4[Vínculo],"tecnico",Resp4[4.14],B7)</f>
        <v>0</v>
      </c>
      <c r="D7" s="4">
        <f>COUNTIFS(Resp4[Vínculo],"docente",Resp4[4.14],B7)</f>
        <v>2</v>
      </c>
      <c r="E7" s="4">
        <f>COUNTIF(Resp4[4.14],B7)</f>
        <v>2</v>
      </c>
      <c r="F7" s="4">
        <f t="shared" ref="F7:F13" si="0">ROUND($E7/E$13*100,2)</f>
        <v>8.33</v>
      </c>
      <c r="G7" s="3">
        <f t="shared" ref="G7:G12" si="1">ROUND($E7/SUM($E$7:$E$12)*100,3)</f>
        <v>13.333</v>
      </c>
    </row>
    <row r="8" spans="1:7" x14ac:dyDescent="0.25">
      <c r="B8" s="2" t="s">
        <v>204</v>
      </c>
      <c r="C8" s="4">
        <f>COUNTIFS(Resp4[Vínculo],"tecnico",Resp4[4.14],B8)</f>
        <v>0</v>
      </c>
      <c r="D8" s="4">
        <f>COUNTIFS(Resp4[Vínculo],"docente",Resp4[4.14],B8)</f>
        <v>0</v>
      </c>
      <c r="E8" s="4">
        <f>COUNTIF(Resp4[4.14],B8)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COUNTIFS(Resp4[Vínculo],"tecnico",Resp4[4.14],B9)</f>
        <v>1</v>
      </c>
      <c r="D9" s="4">
        <f>COUNTIFS(Resp4[Vínculo],"docente",Resp4[4.14],B9)</f>
        <v>1</v>
      </c>
      <c r="E9" s="4">
        <f>COUNTIF(Resp4[4.14],B9)</f>
        <v>2</v>
      </c>
      <c r="F9" s="4">
        <f t="shared" si="0"/>
        <v>8.33</v>
      </c>
      <c r="G9" s="3">
        <f t="shared" si="1"/>
        <v>13.333</v>
      </c>
    </row>
    <row r="10" spans="1:7" x14ac:dyDescent="0.25">
      <c r="B10" s="2" t="s">
        <v>30</v>
      </c>
      <c r="C10" s="4">
        <f>COUNTIFS(Resp4[Vínculo],"tecnico",Resp4[4.14],B10)</f>
        <v>0</v>
      </c>
      <c r="D10" s="4">
        <f>COUNTIFS(Resp4[Vínculo],"docente",Resp4[4.14],B10)</f>
        <v>1</v>
      </c>
      <c r="E10" s="4">
        <f>COUNTIF(Resp4[4.14],B10)</f>
        <v>1</v>
      </c>
      <c r="F10" s="4">
        <f t="shared" si="0"/>
        <v>4.17</v>
      </c>
      <c r="G10" s="3">
        <f t="shared" si="1"/>
        <v>6.6669999999999998</v>
      </c>
    </row>
    <row r="11" spans="1:7" x14ac:dyDescent="0.25">
      <c r="B11" s="2" t="s">
        <v>200</v>
      </c>
      <c r="C11" s="4">
        <f>COUNTIFS(Resp4[Vínculo],"tecnico",Resp4[4.14],B11)</f>
        <v>1</v>
      </c>
      <c r="D11" s="4">
        <f>COUNTIFS(Resp4[Vínculo],"docente",Resp4[4.14],B11)</f>
        <v>5</v>
      </c>
      <c r="E11" s="4">
        <f>COUNTIF(Resp4[4.14],B11)</f>
        <v>6</v>
      </c>
      <c r="F11" s="4">
        <f t="shared" si="0"/>
        <v>25</v>
      </c>
      <c r="G11" s="3">
        <f t="shared" si="1"/>
        <v>40</v>
      </c>
    </row>
    <row r="12" spans="1:7" x14ac:dyDescent="0.25">
      <c r="B12" s="7" t="s">
        <v>197</v>
      </c>
      <c r="C12" s="4">
        <f>COUNTIFS(Resp4[Vínculo],"tecnico",Resp4[4.14],B12)</f>
        <v>0</v>
      </c>
      <c r="D12" s="4">
        <f>COUNTIFS(Resp4[Vínculo],"docente",Resp4[4.14],B12)</f>
        <v>4</v>
      </c>
      <c r="E12" s="4">
        <f>COUNTIF(Resp4[4.14],B12)</f>
        <v>4</v>
      </c>
      <c r="F12" s="22">
        <f t="shared" si="0"/>
        <v>16.670000000000002</v>
      </c>
      <c r="G12" s="3">
        <f t="shared" si="1"/>
        <v>26.667000000000002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50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7.6920000000000002</v>
      </c>
    </row>
    <row r="26" spans="2:7" x14ac:dyDescent="0.25">
      <c r="B26" s="16" t="s">
        <v>505</v>
      </c>
      <c r="C26" s="16" t="s">
        <v>23</v>
      </c>
      <c r="D26" s="14">
        <f>D7</f>
        <v>2</v>
      </c>
      <c r="E26" s="15">
        <f>ROUND(D26/SUM(D$25:D$28)*100,3)</f>
        <v>15.385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7.6920000000000002</v>
      </c>
    </row>
    <row r="28" spans="2:7" x14ac:dyDescent="0.25">
      <c r="B28" s="32" t="s">
        <v>33</v>
      </c>
      <c r="C28" s="32" t="s">
        <v>32</v>
      </c>
      <c r="D28" s="18">
        <f>SUM(D11:D12)</f>
        <v>9</v>
      </c>
      <c r="E28" s="19">
        <f>ROUND(D28/SUM(D$25:D$28)*100,3)</f>
        <v>69.230999999999995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140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71</v>
      </c>
    </row>
    <row r="2" spans="1:7" x14ac:dyDescent="0.25">
      <c r="A2" s="2" t="str">
        <f>TEXT(A1,"0.00")</f>
        <v>4.15</v>
      </c>
      <c r="B2" s="2" t="str">
        <f>VLOOKUP(A$2,Eixo4[],3,FALSE)</f>
        <v>Com relação ao ensino da graduação, avalie: [A articulação da gestão do curso com a gestão institucional]</v>
      </c>
    </row>
    <row r="3" spans="1:7" x14ac:dyDescent="0.25">
      <c r="A3" s="2" t="s">
        <v>494</v>
      </c>
      <c r="B3" s="2" t="str">
        <f>VLOOKUP(A$2,Eixo4[],4,FALSE)</f>
        <v>Eixo 4: Questão 15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0</v>
      </c>
      <c r="E6" s="4">
        <f>E13-SUM(E7:E12)</f>
        <v>9</v>
      </c>
      <c r="F6" s="4">
        <f>ROUND($E6/E$13*100,2)</f>
        <v>37.5</v>
      </c>
    </row>
    <row r="7" spans="1:7" x14ac:dyDescent="0.25">
      <c r="B7" s="2" t="s">
        <v>203</v>
      </c>
      <c r="C7" s="4">
        <f>COUNTIFS(Resp4[Vínculo],"tecnico",Resp4[4.15],B7)</f>
        <v>0</v>
      </c>
      <c r="D7" s="4">
        <f>COUNTIFS(Resp4[Vínculo],"docente",Resp4[4.15],B7)</f>
        <v>2</v>
      </c>
      <c r="E7" s="4">
        <f>COUNTIF(Resp4[4.15],B7)</f>
        <v>2</v>
      </c>
      <c r="F7" s="4">
        <f t="shared" ref="F7:F13" si="0">ROUND($E7/E$13*100,2)</f>
        <v>8.33</v>
      </c>
      <c r="G7" s="3">
        <f t="shared" ref="G7:G12" si="1">ROUND($E7/SUM($E$7:$E$12)*100,3)</f>
        <v>13.333</v>
      </c>
    </row>
    <row r="8" spans="1:7" x14ac:dyDescent="0.25">
      <c r="B8" s="2" t="s">
        <v>204</v>
      </c>
      <c r="C8" s="4">
        <f>COUNTIFS(Resp4[Vínculo],"tecnico",Resp4[4.15],B8)</f>
        <v>0</v>
      </c>
      <c r="D8" s="4">
        <f>COUNTIFS(Resp4[Vínculo],"docente",Resp4[4.15],B8)</f>
        <v>1</v>
      </c>
      <c r="E8" s="4">
        <f>COUNTIF(Resp4[4.15],B8)</f>
        <v>1</v>
      </c>
      <c r="F8" s="4">
        <f t="shared" si="0"/>
        <v>4.17</v>
      </c>
      <c r="G8" s="3">
        <f t="shared" si="1"/>
        <v>6.6669999999999998</v>
      </c>
    </row>
    <row r="9" spans="1:7" x14ac:dyDescent="0.25">
      <c r="B9" s="2" t="s">
        <v>202</v>
      </c>
      <c r="C9" s="4">
        <f>COUNTIFS(Resp4[Vínculo],"tecnico",Resp4[4.15],B9)</f>
        <v>2</v>
      </c>
      <c r="D9" s="4">
        <f>COUNTIFS(Resp4[Vínculo],"docente",Resp4[4.15],B9)</f>
        <v>2</v>
      </c>
      <c r="E9" s="4">
        <f>COUNTIF(Resp4[4.15],B9)</f>
        <v>4</v>
      </c>
      <c r="F9" s="4">
        <f t="shared" si="0"/>
        <v>16.670000000000002</v>
      </c>
      <c r="G9" s="3">
        <f t="shared" si="1"/>
        <v>26.667000000000002</v>
      </c>
    </row>
    <row r="10" spans="1:7" x14ac:dyDescent="0.25">
      <c r="B10" s="2" t="s">
        <v>30</v>
      </c>
      <c r="C10" s="4">
        <f>COUNTIFS(Resp4[Vínculo],"tecnico",Resp4[4.15],B10)</f>
        <v>0</v>
      </c>
      <c r="D10" s="4">
        <f>COUNTIFS(Resp4[Vínculo],"docente",Resp4[4.15],B10)</f>
        <v>3</v>
      </c>
      <c r="E10" s="4">
        <f>COUNTIF(Resp4[4.15],B10)</f>
        <v>3</v>
      </c>
      <c r="F10" s="4">
        <f t="shared" si="0"/>
        <v>12.5</v>
      </c>
      <c r="G10" s="3">
        <f t="shared" si="1"/>
        <v>20</v>
      </c>
    </row>
    <row r="11" spans="1:7" x14ac:dyDescent="0.25">
      <c r="B11" s="2" t="s">
        <v>200</v>
      </c>
      <c r="C11" s="4">
        <f>COUNTIFS(Resp4[Vínculo],"tecnico",Resp4[4.15],B11)</f>
        <v>0</v>
      </c>
      <c r="D11" s="4">
        <f>COUNTIFS(Resp4[Vínculo],"docente",Resp4[4.15],B11)</f>
        <v>4</v>
      </c>
      <c r="E11" s="4">
        <f>COUNTIF(Resp4[4.15],B11)</f>
        <v>4</v>
      </c>
      <c r="F11" s="4">
        <f t="shared" si="0"/>
        <v>16.670000000000002</v>
      </c>
      <c r="G11" s="3">
        <f t="shared" si="1"/>
        <v>26.667000000000002</v>
      </c>
    </row>
    <row r="12" spans="1:7" x14ac:dyDescent="0.25">
      <c r="B12" s="7" t="s">
        <v>197</v>
      </c>
      <c r="C12" s="4">
        <f>COUNTIFS(Resp4[Vínculo],"tecnico",Resp4[4.15],B12)</f>
        <v>0</v>
      </c>
      <c r="D12" s="4">
        <f>COUNTIFS(Resp4[Vínculo],"docente",Resp4[4.15],B12)</f>
        <v>1</v>
      </c>
      <c r="E12" s="4">
        <f>COUNTIF(Resp4[4.15],B12)</f>
        <v>1</v>
      </c>
      <c r="F12" s="22">
        <f t="shared" si="0"/>
        <v>4.17</v>
      </c>
      <c r="G12" s="3">
        <f t="shared" si="1"/>
        <v>6.6669999999999998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2</v>
      </c>
      <c r="E18" s="15">
        <f>ROUND(D18/SUM(D$18:D$21)*100,3)</f>
        <v>100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23.077000000000002</v>
      </c>
    </row>
    <row r="26" spans="2:7" x14ac:dyDescent="0.25">
      <c r="B26" s="16" t="s">
        <v>505</v>
      </c>
      <c r="C26" s="16" t="s">
        <v>23</v>
      </c>
      <c r="D26" s="14">
        <f>D7</f>
        <v>2</v>
      </c>
      <c r="E26" s="15">
        <f>ROUND(D26/SUM(D$25:D$28)*100,3)</f>
        <v>15.385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23.077000000000002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38.462000000000003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1.8554687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72</v>
      </c>
    </row>
    <row r="2" spans="1:7" x14ac:dyDescent="0.25">
      <c r="A2" s="2" t="str">
        <f>TEXT(A1,"0.00")</f>
        <v>4.16</v>
      </c>
      <c r="B2" s="2" t="str">
        <f>VLOOKUP(A$2,Eixo4[],3,FALSE)</f>
        <v>Com relação ao ensino da graduação, avalie: [A implementação das políticas institucionais constantes no PPI e no PDI, no âmbito do curso]</v>
      </c>
    </row>
    <row r="3" spans="1:7" x14ac:dyDescent="0.25">
      <c r="A3" s="2" t="s">
        <v>494</v>
      </c>
      <c r="B3" s="2" t="str">
        <f>VLOOKUP(A$2,Eixo4[],4,FALSE)</f>
        <v>Eixo 4: Questão 16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0</v>
      </c>
      <c r="E6" s="4">
        <f>E13-SUM(E7:E12)</f>
        <v>9</v>
      </c>
      <c r="F6" s="4">
        <f>ROUND($E6/E$13*100,2)</f>
        <v>37.5</v>
      </c>
    </row>
    <row r="7" spans="1:7" x14ac:dyDescent="0.25">
      <c r="B7" s="2" t="s">
        <v>203</v>
      </c>
      <c r="C7" s="4">
        <f>COUNTIFS(Resp4[Vínculo],"tecnico",Resp4[4.16],B7)</f>
        <v>0</v>
      </c>
      <c r="D7" s="4">
        <f>COUNTIFS(Resp4[Vínculo],"docente",Resp4[4.16],B7)</f>
        <v>5</v>
      </c>
      <c r="E7" s="4">
        <f>COUNTIF(Resp4[4.16],B7)</f>
        <v>5</v>
      </c>
      <c r="F7" s="4">
        <f t="shared" ref="F7:F13" si="0">ROUND($E7/E$13*100,2)</f>
        <v>20.83</v>
      </c>
      <c r="G7" s="3">
        <f t="shared" ref="G7:G12" si="1">ROUND($E7/SUM($E$7:$E$12)*100,3)</f>
        <v>33.332999999999998</v>
      </c>
    </row>
    <row r="8" spans="1:7" x14ac:dyDescent="0.25">
      <c r="B8" s="2" t="s">
        <v>204</v>
      </c>
      <c r="C8" s="4">
        <f>COUNTIFS(Resp4[Vínculo],"tecnico",Resp4[4.16],B8)</f>
        <v>0</v>
      </c>
      <c r="D8" s="4">
        <f>COUNTIFS(Resp4[Vínculo],"docente",Resp4[4.16],B8)</f>
        <v>1</v>
      </c>
      <c r="E8" s="4">
        <f>COUNTIF(Resp4[4.16],B8)</f>
        <v>1</v>
      </c>
      <c r="F8" s="4">
        <f t="shared" si="0"/>
        <v>4.17</v>
      </c>
      <c r="G8" s="3">
        <f t="shared" si="1"/>
        <v>6.6669999999999998</v>
      </c>
    </row>
    <row r="9" spans="1:7" x14ac:dyDescent="0.25">
      <c r="B9" s="2" t="s">
        <v>202</v>
      </c>
      <c r="C9" s="4">
        <f>COUNTIFS(Resp4[Vínculo],"tecnico",Resp4[4.16],B9)</f>
        <v>2</v>
      </c>
      <c r="D9" s="4">
        <f>COUNTIFS(Resp4[Vínculo],"docente",Resp4[4.16],B9)</f>
        <v>0</v>
      </c>
      <c r="E9" s="4">
        <f>COUNTIF(Resp4[4.16],B9)</f>
        <v>2</v>
      </c>
      <c r="F9" s="4">
        <f t="shared" si="0"/>
        <v>8.33</v>
      </c>
      <c r="G9" s="3">
        <f t="shared" si="1"/>
        <v>13.333</v>
      </c>
    </row>
    <row r="10" spans="1:7" x14ac:dyDescent="0.25">
      <c r="B10" s="2" t="s">
        <v>30</v>
      </c>
      <c r="C10" s="4">
        <f>COUNTIFS(Resp4[Vínculo],"tecnico",Resp4[4.16],B10)</f>
        <v>0</v>
      </c>
      <c r="D10" s="4">
        <f>COUNTIFS(Resp4[Vínculo],"docente",Resp4[4.16],B10)</f>
        <v>3</v>
      </c>
      <c r="E10" s="4">
        <f>COUNTIF(Resp4[4.16],B10)</f>
        <v>3</v>
      </c>
      <c r="F10" s="4">
        <f t="shared" si="0"/>
        <v>12.5</v>
      </c>
      <c r="G10" s="3">
        <f t="shared" si="1"/>
        <v>20</v>
      </c>
    </row>
    <row r="11" spans="1:7" x14ac:dyDescent="0.25">
      <c r="B11" s="2" t="s">
        <v>200</v>
      </c>
      <c r="C11" s="4">
        <f>COUNTIFS(Resp4[Vínculo],"tecnico",Resp4[4.16],B11)</f>
        <v>0</v>
      </c>
      <c r="D11" s="4">
        <f>COUNTIFS(Resp4[Vínculo],"docente",Resp4[4.16],B11)</f>
        <v>2</v>
      </c>
      <c r="E11" s="4">
        <f>COUNTIF(Resp4[4.16],B11)</f>
        <v>2</v>
      </c>
      <c r="F11" s="4">
        <f t="shared" si="0"/>
        <v>8.33</v>
      </c>
      <c r="G11" s="3">
        <f t="shared" si="1"/>
        <v>13.333</v>
      </c>
    </row>
    <row r="12" spans="1:7" x14ac:dyDescent="0.25">
      <c r="B12" s="7" t="s">
        <v>197</v>
      </c>
      <c r="C12" s="4">
        <f>COUNTIFS(Resp4[Vínculo],"tecnico",Resp4[4.16],B12)</f>
        <v>0</v>
      </c>
      <c r="D12" s="4">
        <f>COUNTIFS(Resp4[Vínculo],"docente",Resp4[4.16],B12)</f>
        <v>2</v>
      </c>
      <c r="E12" s="4">
        <f>COUNTIF(Resp4[4.16],B12)</f>
        <v>2</v>
      </c>
      <c r="F12" s="22">
        <f t="shared" si="0"/>
        <v>8.33</v>
      </c>
      <c r="G12" s="3">
        <f t="shared" si="1"/>
        <v>13.333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2</v>
      </c>
      <c r="E18" s="15">
        <f>ROUND(D18/SUM(D$18:D$21)*100,3)</f>
        <v>100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7.6920000000000002</v>
      </c>
    </row>
    <row r="26" spans="2:7" x14ac:dyDescent="0.25">
      <c r="B26" s="16" t="s">
        <v>505</v>
      </c>
      <c r="C26" s="16" t="s">
        <v>23</v>
      </c>
      <c r="D26" s="14">
        <f>D7</f>
        <v>5</v>
      </c>
      <c r="E26" s="15">
        <f>ROUND(D26/SUM(D$25:D$28)*100,3)</f>
        <v>38.462000000000003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23.077000000000002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30.768999999999998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73</v>
      </c>
    </row>
    <row r="2" spans="1:7" x14ac:dyDescent="0.25">
      <c r="A2" s="2" t="str">
        <f>TEXT(A1,"0.00")</f>
        <v>4.17</v>
      </c>
      <c r="B2" s="2" t="str">
        <f>VLOOKUP(A$2,Eixo4[],3,FALSE)</f>
        <v>Com relação ao ensino da graduação, avalie: [A orientação e os procedimentos para a formalização de Estágios]</v>
      </c>
    </row>
    <row r="3" spans="1:7" x14ac:dyDescent="0.25">
      <c r="A3" s="2" t="s">
        <v>494</v>
      </c>
      <c r="B3" s="2" t="str">
        <f>VLOOKUP(A$2,Eixo4[],4,FALSE)</f>
        <v>Eixo 4: Questão 17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0</v>
      </c>
      <c r="E6" s="4">
        <f>E13-SUM(E7:E12)</f>
        <v>9</v>
      </c>
      <c r="F6" s="4">
        <f>ROUND($E6/E$13*100,2)</f>
        <v>37.5</v>
      </c>
    </row>
    <row r="7" spans="1:7" x14ac:dyDescent="0.25">
      <c r="B7" s="2" t="s">
        <v>203</v>
      </c>
      <c r="C7" s="4">
        <f>COUNTIFS(Resp4[Vínculo],"tecnico",Resp4[4.17],B7)</f>
        <v>0</v>
      </c>
      <c r="D7" s="4">
        <f>COUNTIFS(Resp4[Vínculo],"docente",Resp4[4.17],B7)</f>
        <v>1</v>
      </c>
      <c r="E7" s="4">
        <f>COUNTIF(Resp4[4.17],B7)</f>
        <v>1</v>
      </c>
      <c r="F7" s="4">
        <f t="shared" ref="F7:F13" si="0">ROUND($E7/E$13*100,2)</f>
        <v>4.17</v>
      </c>
      <c r="G7" s="3">
        <f t="shared" ref="G7:G12" si="1">ROUND($E7/SUM($E$7:$E$12)*100,3)</f>
        <v>6.6669999999999998</v>
      </c>
    </row>
    <row r="8" spans="1:7" x14ac:dyDescent="0.25">
      <c r="B8" s="2" t="s">
        <v>204</v>
      </c>
      <c r="C8" s="4">
        <f>COUNTIFS(Resp4[Vínculo],"tecnico",Resp4[4.17],B8)</f>
        <v>1</v>
      </c>
      <c r="D8" s="4">
        <f>COUNTIFS(Resp4[Vínculo],"docente",Resp4[4.17],B8)</f>
        <v>0</v>
      </c>
      <c r="E8" s="4">
        <f>COUNTIF(Resp4[4.17],B8)</f>
        <v>1</v>
      </c>
      <c r="F8" s="4">
        <f t="shared" si="0"/>
        <v>4.17</v>
      </c>
      <c r="G8" s="3">
        <f t="shared" si="1"/>
        <v>6.6669999999999998</v>
      </c>
    </row>
    <row r="9" spans="1:7" x14ac:dyDescent="0.25">
      <c r="B9" s="2" t="s">
        <v>202</v>
      </c>
      <c r="C9" s="4">
        <f>COUNTIFS(Resp4[Vínculo],"tecnico",Resp4[4.17],B9)</f>
        <v>0</v>
      </c>
      <c r="D9" s="4">
        <f>COUNTIFS(Resp4[Vínculo],"docente",Resp4[4.17],B9)</f>
        <v>2</v>
      </c>
      <c r="E9" s="4">
        <f>COUNTIF(Resp4[4.17],B9)</f>
        <v>2</v>
      </c>
      <c r="F9" s="4">
        <f t="shared" si="0"/>
        <v>8.33</v>
      </c>
      <c r="G9" s="3">
        <f t="shared" si="1"/>
        <v>13.333</v>
      </c>
    </row>
    <row r="10" spans="1:7" x14ac:dyDescent="0.25">
      <c r="B10" s="2" t="s">
        <v>30</v>
      </c>
      <c r="C10" s="4">
        <f>COUNTIFS(Resp4[Vínculo],"tecnico",Resp4[4.17],B10)</f>
        <v>1</v>
      </c>
      <c r="D10" s="4">
        <f>COUNTIFS(Resp4[Vínculo],"docente",Resp4[4.17],B10)</f>
        <v>4</v>
      </c>
      <c r="E10" s="4">
        <f>COUNTIF(Resp4[4.17],B10)</f>
        <v>5</v>
      </c>
      <c r="F10" s="4">
        <f t="shared" si="0"/>
        <v>20.83</v>
      </c>
      <c r="G10" s="3">
        <f t="shared" si="1"/>
        <v>33.332999999999998</v>
      </c>
    </row>
    <row r="11" spans="1:7" x14ac:dyDescent="0.25">
      <c r="B11" s="2" t="s">
        <v>200</v>
      </c>
      <c r="C11" s="4">
        <f>COUNTIFS(Resp4[Vínculo],"tecnico",Resp4[4.17],B11)</f>
        <v>0</v>
      </c>
      <c r="D11" s="4">
        <f>COUNTIFS(Resp4[Vínculo],"docente",Resp4[4.17],B11)</f>
        <v>4</v>
      </c>
      <c r="E11" s="4">
        <f>COUNTIF(Resp4[4.17],B11)</f>
        <v>4</v>
      </c>
      <c r="F11" s="4">
        <f t="shared" si="0"/>
        <v>16.670000000000002</v>
      </c>
      <c r="G11" s="3">
        <f t="shared" si="1"/>
        <v>26.667000000000002</v>
      </c>
    </row>
    <row r="12" spans="1:7" x14ac:dyDescent="0.25">
      <c r="B12" s="7" t="s">
        <v>197</v>
      </c>
      <c r="C12" s="4">
        <f>COUNTIFS(Resp4[Vínculo],"tecnico",Resp4[4.17],B12)</f>
        <v>0</v>
      </c>
      <c r="D12" s="4">
        <f>COUNTIFS(Resp4[Vínculo],"docente",Resp4[4.17],B12)</f>
        <v>2</v>
      </c>
      <c r="E12" s="4">
        <f>COUNTIF(Resp4[4.17],B12)</f>
        <v>2</v>
      </c>
      <c r="F12" s="22">
        <f t="shared" si="0"/>
        <v>8.33</v>
      </c>
      <c r="G12" s="3">
        <f t="shared" si="1"/>
        <v>13.333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50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15.385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7.6920000000000002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30.768999999999998</v>
      </c>
    </row>
    <row r="28" spans="2:7" x14ac:dyDescent="0.25">
      <c r="B28" s="32" t="s">
        <v>33</v>
      </c>
      <c r="C28" s="32" t="s">
        <v>32</v>
      </c>
      <c r="D28" s="18">
        <f>SUM(D11:D12)</f>
        <v>6</v>
      </c>
      <c r="E28" s="19">
        <f>ROUND(D28/SUM(D$25:D$28)*100,3)</f>
        <v>46.154000000000003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75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4.19</v>
      </c>
      <c r="B2" s="2" t="str">
        <f>VLOOKUP(A$2, Eixo4[], 3, FALSE)</f>
        <v>As próximas questões abordam temas da pesquisa científica e tecnológica. Por gentileza, escolha Sim para avaliar; se quiser prosseguir, escolha Não: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19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196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COUNTIFS(Resp4[Vínculo],"tecnico",Resp4[4.19],B7)</f>
        <v>1</v>
      </c>
      <c r="D7" s="4">
        <f>COUNTIFS(Resp4[Vínculo],"docente",Resp4[4.19],B7)</f>
        <v>9</v>
      </c>
      <c r="E7" s="2">
        <f>COUNTIF(Resp4[4.19],B7)</f>
        <v>10</v>
      </c>
      <c r="F7" s="4">
        <f t="shared" ref="F7:F9" si="0">ROUND($E7/E$9*100,2)</f>
        <v>41.67</v>
      </c>
      <c r="G7" s="4">
        <f>ROUND($E7/SUM($E$7:$E$8)*100,2)</f>
        <v>41.67</v>
      </c>
      <c r="H7" s="2"/>
    </row>
    <row r="8" spans="1:8" x14ac:dyDescent="0.25">
      <c r="A8" s="2"/>
      <c r="B8" s="2" t="s">
        <v>194</v>
      </c>
      <c r="C8" s="4">
        <f>COUNTIFS(Resp4[Vínculo],"tecnico",Resp4[4.19],B8)</f>
        <v>10</v>
      </c>
      <c r="D8" s="4">
        <f>COUNTIFS(Resp4[Vínculo],"docente",Resp4[4.19],B8)</f>
        <v>4</v>
      </c>
      <c r="E8" s="2">
        <f>COUNTIF(Resp4[4.19],B8)</f>
        <v>14</v>
      </c>
      <c r="F8" s="22">
        <f t="shared" si="0"/>
        <v>58.33</v>
      </c>
      <c r="G8" s="4">
        <f>ROUND($E8/SUM($E$7:$E$8)*100,2)</f>
        <v>58.33</v>
      </c>
      <c r="H8" s="2"/>
    </row>
    <row r="9" spans="1:8" x14ac:dyDescent="0.25">
      <c r="A9" s="2"/>
      <c r="B9" s="8" t="s">
        <v>502</v>
      </c>
      <c r="C9" s="8">
        <f>SUM(C6:C8)</f>
        <v>11</v>
      </c>
      <c r="D9" s="8">
        <f>SUM(D6:D8)</f>
        <v>13</v>
      </c>
      <c r="E9" s="8">
        <f>SUM(C9:D9)</f>
        <v>24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4" style="2" customWidth="1"/>
    <col min="3" max="3" width="25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76</v>
      </c>
    </row>
    <row r="2" spans="1:7" x14ac:dyDescent="0.25">
      <c r="A2" s="2" t="str">
        <f>TEXT(A1,"0.00")</f>
        <v>4.20</v>
      </c>
      <c r="B2" s="2" t="str">
        <f>VLOOKUP(A$2,Eixo4[],3,FALSE)</f>
        <v>Sobre as políticas e ações que envolvem o desenvolvimento da pesquisa científica e tecnológica, avalie: [O banco de projetos de pesquisa científica e desenvolvimento tecnológico (BPP/UFPR)]</v>
      </c>
    </row>
    <row r="3" spans="1:7" x14ac:dyDescent="0.25">
      <c r="A3" s="2" t="s">
        <v>494</v>
      </c>
      <c r="B3" s="2" t="str">
        <f>VLOOKUP(A$2,Eixo4[],4,FALSE)</f>
        <v>Eixo 4: Questão 20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4</v>
      </c>
      <c r="E6" s="4">
        <f>E13-SUM(E7:E12)</f>
        <v>14</v>
      </c>
      <c r="F6" s="4">
        <f>ROUND($E6/E$13*100,2)</f>
        <v>58.33</v>
      </c>
    </row>
    <row r="7" spans="1:7" x14ac:dyDescent="0.25">
      <c r="B7" s="2" t="s">
        <v>203</v>
      </c>
      <c r="C7" s="4">
        <f>COUNTIFS(Resp4[Vínculo],"tecnico",Resp4[4.20],B7)</f>
        <v>0</v>
      </c>
      <c r="D7" s="4">
        <f>COUNTIFS(Resp4[Vínculo],"docente",Resp4[4.20],B7)</f>
        <v>2</v>
      </c>
      <c r="E7" s="4">
        <f>COUNTIF(Resp4[4.20],B7)</f>
        <v>2</v>
      </c>
      <c r="F7" s="4">
        <f t="shared" ref="F7:F13" si="0">ROUND($E7/E$13*100,2)</f>
        <v>8.33</v>
      </c>
      <c r="G7" s="3">
        <f t="shared" ref="G7:G12" si="1">ROUND($E7/SUM($E$7:$E$12)*100,3)</f>
        <v>20</v>
      </c>
    </row>
    <row r="8" spans="1:7" x14ac:dyDescent="0.25">
      <c r="B8" s="2" t="s">
        <v>204</v>
      </c>
      <c r="C8" s="4">
        <f>COUNTIFS(Resp4[Vínculo],"tecnico",Resp4[4.20],B8)</f>
        <v>0</v>
      </c>
      <c r="D8" s="4">
        <f>COUNTIFS(Resp4[Vínculo],"docente",Resp4[4.20],B8)</f>
        <v>0</v>
      </c>
      <c r="E8" s="4">
        <f>COUNTIF(Resp4[4.20],B8)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COUNTIFS(Resp4[Vínculo],"tecnico",Resp4[4.20],B9)</f>
        <v>0</v>
      </c>
      <c r="D9" s="4">
        <f>COUNTIFS(Resp4[Vínculo],"docente",Resp4[4.20],B9)</f>
        <v>0</v>
      </c>
      <c r="E9" s="4">
        <f>COUNTIF(Resp4[4.20],B9)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COUNTIFS(Resp4[Vínculo],"tecnico",Resp4[4.20],B10)</f>
        <v>1</v>
      </c>
      <c r="D10" s="4">
        <f>COUNTIFS(Resp4[Vínculo],"docente",Resp4[4.20],B10)</f>
        <v>3</v>
      </c>
      <c r="E10" s="4">
        <f>COUNTIF(Resp4[4.20],B10)</f>
        <v>4</v>
      </c>
      <c r="F10" s="4">
        <f t="shared" si="0"/>
        <v>16.670000000000002</v>
      </c>
      <c r="G10" s="3">
        <f t="shared" si="1"/>
        <v>40</v>
      </c>
    </row>
    <row r="11" spans="1:7" x14ac:dyDescent="0.25">
      <c r="B11" s="2" t="s">
        <v>200</v>
      </c>
      <c r="C11" s="4">
        <f>COUNTIFS(Resp4[Vínculo],"tecnico",Resp4[4.20],B11)</f>
        <v>0</v>
      </c>
      <c r="D11" s="4">
        <f>COUNTIFS(Resp4[Vínculo],"docente",Resp4[4.20],B11)</f>
        <v>2</v>
      </c>
      <c r="E11" s="4">
        <f>COUNTIF(Resp4[4.20],B11)</f>
        <v>2</v>
      </c>
      <c r="F11" s="4">
        <f t="shared" si="0"/>
        <v>8.33</v>
      </c>
      <c r="G11" s="3">
        <f t="shared" si="1"/>
        <v>20</v>
      </c>
    </row>
    <row r="12" spans="1:7" x14ac:dyDescent="0.25">
      <c r="B12" s="7" t="s">
        <v>197</v>
      </c>
      <c r="C12" s="4">
        <f>COUNTIFS(Resp4[Vínculo],"tecnico",Resp4[4.20],B12)</f>
        <v>0</v>
      </c>
      <c r="D12" s="4">
        <f>COUNTIFS(Resp4[Vínculo],"docente",Resp4[4.20],B12)</f>
        <v>2</v>
      </c>
      <c r="E12" s="4">
        <f>COUNTIF(Resp4[4.20],B12)</f>
        <v>2</v>
      </c>
      <c r="F12" s="22">
        <f t="shared" si="0"/>
        <v>8.33</v>
      </c>
      <c r="G12" s="3">
        <f t="shared" si="1"/>
        <v>20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100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203</v>
      </c>
      <c r="C26" s="16" t="s">
        <v>23</v>
      </c>
      <c r="D26" s="14">
        <f>D7</f>
        <v>2</v>
      </c>
      <c r="E26" s="15">
        <f>ROUND(D26/SUM(D$25:D$28)*100,3)</f>
        <v>22.222000000000001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33.332999999999998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44.444000000000003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7.28515625" style="2" customWidth="1"/>
    <col min="3" max="3" width="20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77</v>
      </c>
    </row>
    <row r="2" spans="1:7" x14ac:dyDescent="0.25">
      <c r="A2" s="2" t="str">
        <f>TEXT(A1,"0.00")</f>
        <v>4.21</v>
      </c>
      <c r="B2" s="2" t="str">
        <f>VLOOKUP(A$2,Eixo4[],3,FALSE)</f>
        <v>Sobre as políticas e ações que envolvem o desenvolvimento da pesquisa científica e tecnológica, avalie: [A atuação do Comitê Setorial de Pesquisa – CSPq]</v>
      </c>
    </row>
    <row r="3" spans="1:7" x14ac:dyDescent="0.25">
      <c r="A3" s="2" t="s">
        <v>494</v>
      </c>
      <c r="B3" s="2" t="str">
        <f>VLOOKUP(A$2,Eixo4[],4,FALSE)</f>
        <v>Eixo 4: Questão 21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4</v>
      </c>
      <c r="E6" s="4">
        <f>E13-SUM(E7:E12)</f>
        <v>14</v>
      </c>
      <c r="F6" s="4">
        <f>ROUND($E6/E$13*100,2)</f>
        <v>58.33</v>
      </c>
    </row>
    <row r="7" spans="1:7" x14ac:dyDescent="0.25">
      <c r="B7" s="2" t="s">
        <v>203</v>
      </c>
      <c r="C7" s="4">
        <f>COUNTIFS(Resp4[Vínculo],"tecnico",Resp4[4.21],B7)</f>
        <v>0</v>
      </c>
      <c r="D7" s="4">
        <f>COUNTIFS(Resp4[Vínculo],"docente",Resp4[4.21],B7)</f>
        <v>1</v>
      </c>
      <c r="E7" s="4">
        <f>COUNTIF(Resp4[4.21],B7)</f>
        <v>1</v>
      </c>
      <c r="F7" s="4">
        <f t="shared" ref="F7:F13" si="0">ROUND($E7/E$13*100,2)</f>
        <v>4.17</v>
      </c>
      <c r="G7" s="3">
        <f t="shared" ref="G7:G12" si="1">ROUND($E7/SUM($E$7:$E$12)*100,3)</f>
        <v>10</v>
      </c>
    </row>
    <row r="8" spans="1:7" x14ac:dyDescent="0.25">
      <c r="B8" s="2" t="s">
        <v>204</v>
      </c>
      <c r="C8" s="4">
        <f>COUNTIFS(Resp4[Vínculo],"tecnico",Resp4[4.21],B8)</f>
        <v>0</v>
      </c>
      <c r="D8" s="4">
        <f>COUNTIFS(Resp4[Vínculo],"docente",Resp4[4.21],B8)</f>
        <v>0</v>
      </c>
      <c r="E8" s="4">
        <f>COUNTIF(Resp4[4.21],B8)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COUNTIFS(Resp4[Vínculo],"tecnico",Resp4[4.21],B9)</f>
        <v>1</v>
      </c>
      <c r="D9" s="4">
        <f>COUNTIFS(Resp4[Vínculo],"docente",Resp4[4.21],B9)</f>
        <v>0</v>
      </c>
      <c r="E9" s="4">
        <f>COUNTIF(Resp4[4.21],B9)</f>
        <v>1</v>
      </c>
      <c r="F9" s="4">
        <f t="shared" si="0"/>
        <v>4.17</v>
      </c>
      <c r="G9" s="3">
        <f t="shared" si="1"/>
        <v>10</v>
      </c>
    </row>
    <row r="10" spans="1:7" x14ac:dyDescent="0.25">
      <c r="B10" s="2" t="s">
        <v>30</v>
      </c>
      <c r="C10" s="4">
        <f>COUNTIFS(Resp4[Vínculo],"tecnico",Resp4[4.21],B10)</f>
        <v>0</v>
      </c>
      <c r="D10" s="4">
        <f>COUNTIFS(Resp4[Vínculo],"docente",Resp4[4.21],B10)</f>
        <v>1</v>
      </c>
      <c r="E10" s="4">
        <f>COUNTIF(Resp4[4.21],B10)</f>
        <v>1</v>
      </c>
      <c r="F10" s="4">
        <f t="shared" si="0"/>
        <v>4.17</v>
      </c>
      <c r="G10" s="3">
        <f t="shared" si="1"/>
        <v>10</v>
      </c>
    </row>
    <row r="11" spans="1:7" x14ac:dyDescent="0.25">
      <c r="B11" s="2" t="s">
        <v>200</v>
      </c>
      <c r="C11" s="4">
        <f>COUNTIFS(Resp4[Vínculo],"tecnico",Resp4[4.21],B11)</f>
        <v>0</v>
      </c>
      <c r="D11" s="4">
        <f>COUNTIFS(Resp4[Vínculo],"docente",Resp4[4.21],B11)</f>
        <v>4</v>
      </c>
      <c r="E11" s="4">
        <f>COUNTIF(Resp4[4.21],B11)</f>
        <v>4</v>
      </c>
      <c r="F11" s="4">
        <f t="shared" si="0"/>
        <v>16.670000000000002</v>
      </c>
      <c r="G11" s="3">
        <f t="shared" si="1"/>
        <v>40</v>
      </c>
    </row>
    <row r="12" spans="1:7" x14ac:dyDescent="0.25">
      <c r="B12" s="7" t="s">
        <v>197</v>
      </c>
      <c r="C12" s="4">
        <f>COUNTIFS(Resp4[Vínculo],"tecnico",Resp4[4.21],B12)</f>
        <v>0</v>
      </c>
      <c r="D12" s="4">
        <f>COUNTIFS(Resp4[Vínculo],"docente",Resp4[4.21],B12)</f>
        <v>3</v>
      </c>
      <c r="E12" s="4">
        <f>COUNTIF(Resp4[4.21],B12)</f>
        <v>3</v>
      </c>
      <c r="F12" s="22">
        <f t="shared" si="0"/>
        <v>12.5</v>
      </c>
      <c r="G12" s="3">
        <f t="shared" si="1"/>
        <v>30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100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11.111000000000001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11.111000000000001</v>
      </c>
    </row>
    <row r="28" spans="2:7" x14ac:dyDescent="0.25">
      <c r="B28" s="32" t="s">
        <v>33</v>
      </c>
      <c r="C28" s="32" t="s">
        <v>32</v>
      </c>
      <c r="D28" s="18">
        <f>SUM(D11:D12)</f>
        <v>7</v>
      </c>
      <c r="E28" s="19">
        <f>ROUND(D28/SUM(D$25:D$28)*100,3)</f>
        <v>77.778000000000006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3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78</v>
      </c>
    </row>
    <row r="2" spans="1:7" x14ac:dyDescent="0.25">
      <c r="A2" s="2" t="str">
        <f>TEXT(A1,"0.00")</f>
        <v>4.22</v>
      </c>
      <c r="B2" s="2" t="str">
        <f>VLOOKUP(A$2,Eixo4[],3,FALSE)</f>
        <v>Sobre as políticas e ações que envolvem o desenvolvimento da pesquisa científica e tecnológica, avalie: [As políticas de acompanhamento de projetos de pesquisa científica e tecnológica]</v>
      </c>
    </row>
    <row r="3" spans="1:7" x14ac:dyDescent="0.25">
      <c r="A3" s="2" t="s">
        <v>494</v>
      </c>
      <c r="B3" s="2" t="str">
        <f>VLOOKUP(A$2,Eixo4[],4,FALSE)</f>
        <v>Eixo 4: Questão 22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4</v>
      </c>
      <c r="E6" s="4">
        <f>E13-SUM(E7:E12)</f>
        <v>14</v>
      </c>
      <c r="F6" s="4">
        <f>ROUND($E6/E$13*100,2)</f>
        <v>58.33</v>
      </c>
    </row>
    <row r="7" spans="1:7" x14ac:dyDescent="0.25">
      <c r="B7" s="2" t="s">
        <v>203</v>
      </c>
      <c r="C7" s="4">
        <f>COUNTIFS(Resp4[Vínculo],"tecnico",Resp4[4.22],B7)</f>
        <v>0</v>
      </c>
      <c r="D7" s="4">
        <f>COUNTIFS(Resp4[Vínculo],"docente",Resp4[4.22],B7)</f>
        <v>3</v>
      </c>
      <c r="E7" s="4">
        <f>COUNTIF(Resp4[4.22],B7)</f>
        <v>3</v>
      </c>
      <c r="F7" s="4">
        <f t="shared" ref="F7:F13" si="0">ROUND($E7/E$13*100,2)</f>
        <v>12.5</v>
      </c>
      <c r="G7" s="3">
        <f t="shared" ref="G7:G12" si="1">ROUND($E7/SUM($E$7:$E$12)*100,3)</f>
        <v>30</v>
      </c>
    </row>
    <row r="8" spans="1:7" x14ac:dyDescent="0.25">
      <c r="B8" s="2" t="s">
        <v>204</v>
      </c>
      <c r="C8" s="4">
        <f>COUNTIFS(Resp4[Vínculo],"tecnico",Resp4[4.22],B8)</f>
        <v>0</v>
      </c>
      <c r="D8" s="4">
        <f>COUNTIFS(Resp4[Vínculo],"docente",Resp4[4.22],B8)</f>
        <v>0</v>
      </c>
      <c r="E8" s="4">
        <f>COUNTIF(Resp4[4.22],B8)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COUNTIFS(Resp4[Vínculo],"tecnico",Resp4[4.22],B9)</f>
        <v>1</v>
      </c>
      <c r="D9" s="4">
        <f>COUNTIFS(Resp4[Vínculo],"docente",Resp4[4.22],B9)</f>
        <v>1</v>
      </c>
      <c r="E9" s="4">
        <f>COUNTIF(Resp4[4.22],B9)</f>
        <v>2</v>
      </c>
      <c r="F9" s="4">
        <f t="shared" si="0"/>
        <v>8.33</v>
      </c>
      <c r="G9" s="3">
        <f t="shared" si="1"/>
        <v>20</v>
      </c>
    </row>
    <row r="10" spans="1:7" x14ac:dyDescent="0.25">
      <c r="B10" s="2" t="s">
        <v>30</v>
      </c>
      <c r="C10" s="4">
        <f>COUNTIFS(Resp4[Vínculo],"tecnico",Resp4[4.22],B10)</f>
        <v>0</v>
      </c>
      <c r="D10" s="4">
        <f>COUNTIFS(Resp4[Vínculo],"docente",Resp4[4.22],B10)</f>
        <v>3</v>
      </c>
      <c r="E10" s="4">
        <f>COUNTIF(Resp4[4.22],B10)</f>
        <v>3</v>
      </c>
      <c r="F10" s="4">
        <f t="shared" si="0"/>
        <v>12.5</v>
      </c>
      <c r="G10" s="3">
        <f t="shared" si="1"/>
        <v>30</v>
      </c>
    </row>
    <row r="11" spans="1:7" x14ac:dyDescent="0.25">
      <c r="B11" s="2" t="s">
        <v>200</v>
      </c>
      <c r="C11" s="4">
        <f>COUNTIFS(Resp4[Vínculo],"tecnico",Resp4[4.22],B11)</f>
        <v>0</v>
      </c>
      <c r="D11" s="4">
        <f>COUNTIFS(Resp4[Vínculo],"docente",Resp4[4.22],B11)</f>
        <v>1</v>
      </c>
      <c r="E11" s="4">
        <f>COUNTIF(Resp4[4.22],B11)</f>
        <v>1</v>
      </c>
      <c r="F11" s="4">
        <f t="shared" si="0"/>
        <v>4.17</v>
      </c>
      <c r="G11" s="3">
        <f t="shared" si="1"/>
        <v>10</v>
      </c>
    </row>
    <row r="12" spans="1:7" x14ac:dyDescent="0.25">
      <c r="B12" s="7" t="s">
        <v>197</v>
      </c>
      <c r="C12" s="4">
        <f>COUNTIFS(Resp4[Vínculo],"tecnico",Resp4[4.22],B12)</f>
        <v>0</v>
      </c>
      <c r="D12" s="4">
        <f>COUNTIFS(Resp4[Vínculo],"docente",Resp4[4.22],B12)</f>
        <v>1</v>
      </c>
      <c r="E12" s="4">
        <f>COUNTIF(Resp4[4.22],B12)</f>
        <v>1</v>
      </c>
      <c r="F12" s="22">
        <f t="shared" si="0"/>
        <v>4.17</v>
      </c>
      <c r="G12" s="3">
        <f t="shared" si="1"/>
        <v>10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4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100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11.111000000000001</v>
      </c>
    </row>
    <row r="26" spans="2:7" x14ac:dyDescent="0.25">
      <c r="B26" s="16" t="s">
        <v>505</v>
      </c>
      <c r="C26" s="16" t="s">
        <v>23</v>
      </c>
      <c r="D26" s="14">
        <f>D7</f>
        <v>3</v>
      </c>
      <c r="E26" s="15">
        <f>ROUND(D26/SUM(D$25:D$28)*100,3)</f>
        <v>33.332999999999998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33.332999999999998</v>
      </c>
    </row>
    <row r="28" spans="2:7" x14ac:dyDescent="0.25">
      <c r="B28" s="32" t="s">
        <v>33</v>
      </c>
      <c r="C28" s="32" t="s">
        <v>32</v>
      </c>
      <c r="D28" s="18">
        <f>SUM(D11:D12)</f>
        <v>2</v>
      </c>
      <c r="E28" s="19">
        <f>ROUND(D28/SUM(D$25:D$28)*100,3)</f>
        <v>22.222000000000001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0.140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79</v>
      </c>
    </row>
    <row r="2" spans="1:7" x14ac:dyDescent="0.25">
      <c r="A2" s="2" t="str">
        <f>TEXT(A1,"0.00")</f>
        <v>4.23</v>
      </c>
      <c r="B2" s="2" t="str">
        <f>VLOOKUP(A$2,Eixo4[],3,FALSE)</f>
        <v>Sobre as políticas e ações que envolvem o desenvolvimento da pesquisa científica e tecnológica, avalie: [O acesso a bases de indexação pela UFPR]</v>
      </c>
    </row>
    <row r="3" spans="1:7" x14ac:dyDescent="0.25">
      <c r="A3" s="2" t="s">
        <v>494</v>
      </c>
      <c r="B3" s="2" t="str">
        <f>VLOOKUP(A$2,Eixo4[],4,FALSE)</f>
        <v>Eixo 4: Questão 23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4</v>
      </c>
      <c r="E6" s="4">
        <f>E13-SUM(E7:E12)</f>
        <v>14</v>
      </c>
      <c r="F6" s="4">
        <f>ROUND($E6/E$13*100,2)</f>
        <v>58.33</v>
      </c>
    </row>
    <row r="7" spans="1:7" x14ac:dyDescent="0.25">
      <c r="B7" s="2" t="s">
        <v>203</v>
      </c>
      <c r="C7" s="4">
        <f>COUNTIFS(Resp4[Vínculo],"tecnico",Resp4[4.23],B7)</f>
        <v>0</v>
      </c>
      <c r="D7" s="4">
        <f>COUNTIFS(Resp4[Vínculo],"docente",Resp4[4.23],B7)</f>
        <v>1</v>
      </c>
      <c r="E7" s="4">
        <f>COUNTIF(Resp4[4.23],B7)</f>
        <v>1</v>
      </c>
      <c r="F7" s="4">
        <f t="shared" ref="F7:F13" si="0">ROUND($E7/E$13*100,2)</f>
        <v>4.17</v>
      </c>
      <c r="G7" s="3">
        <f t="shared" ref="G7:G12" si="1">ROUND($E7/SUM($E$7:$E$12)*100,3)</f>
        <v>10</v>
      </c>
    </row>
    <row r="8" spans="1:7" x14ac:dyDescent="0.25">
      <c r="B8" s="2" t="s">
        <v>204</v>
      </c>
      <c r="C8" s="4">
        <f>COUNTIFS(Resp4[Vínculo],"tecnico",Resp4[4.23],B8)</f>
        <v>0</v>
      </c>
      <c r="D8" s="4">
        <f>COUNTIFS(Resp4[Vínculo],"docente",Resp4[4.23],B8)</f>
        <v>0</v>
      </c>
      <c r="E8" s="4">
        <f>COUNTIF(Resp4[4.23],B8)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COUNTIFS(Resp4[Vínculo],"tecnico",Resp4[4.23],B9)</f>
        <v>1</v>
      </c>
      <c r="D9" s="4">
        <f>COUNTIFS(Resp4[Vínculo],"docente",Resp4[4.23],B9)</f>
        <v>1</v>
      </c>
      <c r="E9" s="4">
        <f>COUNTIF(Resp4[4.23],B9)</f>
        <v>2</v>
      </c>
      <c r="F9" s="4">
        <f t="shared" si="0"/>
        <v>8.33</v>
      </c>
      <c r="G9" s="3">
        <f t="shared" si="1"/>
        <v>20</v>
      </c>
    </row>
    <row r="10" spans="1:7" x14ac:dyDescent="0.25">
      <c r="B10" s="2" t="s">
        <v>30</v>
      </c>
      <c r="C10" s="4">
        <f>COUNTIFS(Resp4[Vínculo],"tecnico",Resp4[4.23],B10)</f>
        <v>0</v>
      </c>
      <c r="D10" s="4">
        <f>COUNTIFS(Resp4[Vínculo],"docente",Resp4[4.23],B10)</f>
        <v>2</v>
      </c>
      <c r="E10" s="4">
        <f>COUNTIF(Resp4[4.23],B10)</f>
        <v>2</v>
      </c>
      <c r="F10" s="4">
        <f t="shared" si="0"/>
        <v>8.33</v>
      </c>
      <c r="G10" s="3">
        <f t="shared" si="1"/>
        <v>20</v>
      </c>
    </row>
    <row r="11" spans="1:7" x14ac:dyDescent="0.25">
      <c r="B11" s="2" t="s">
        <v>200</v>
      </c>
      <c r="C11" s="4">
        <f>COUNTIFS(Resp4[Vínculo],"tecnico",Resp4[4.23],B11)</f>
        <v>0</v>
      </c>
      <c r="D11" s="4">
        <f>COUNTIFS(Resp4[Vínculo],"docente",Resp4[4.23],B11)</f>
        <v>2</v>
      </c>
      <c r="E11" s="4">
        <f>COUNTIF(Resp4[4.23],B11)</f>
        <v>2</v>
      </c>
      <c r="F11" s="4">
        <f t="shared" si="0"/>
        <v>8.33</v>
      </c>
      <c r="G11" s="3">
        <f t="shared" si="1"/>
        <v>20</v>
      </c>
    </row>
    <row r="12" spans="1:7" x14ac:dyDescent="0.25">
      <c r="B12" s="7" t="s">
        <v>197</v>
      </c>
      <c r="C12" s="4">
        <f>COUNTIFS(Resp4[Vínculo],"tecnico",Resp4[4.23],B12)</f>
        <v>0</v>
      </c>
      <c r="D12" s="4">
        <f>COUNTIFS(Resp4[Vínculo],"docente",Resp4[4.23],B12)</f>
        <v>3</v>
      </c>
      <c r="E12" s="4">
        <f>COUNTIF(Resp4[4.23],B12)</f>
        <v>3</v>
      </c>
      <c r="F12" s="22">
        <f t="shared" si="0"/>
        <v>12.5</v>
      </c>
      <c r="G12" s="3">
        <f t="shared" si="1"/>
        <v>30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100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11.111000000000001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11.111000000000001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22.222000000000001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55.555999999999997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"/>
  <sheetViews>
    <sheetView workbookViewId="0">
      <selection activeCell="F9" sqref="F9"/>
    </sheetView>
  </sheetViews>
  <sheetFormatPr defaultRowHeight="15" x14ac:dyDescent="0.25"/>
  <cols>
    <col min="1" max="1" width="5.7109375" customWidth="1"/>
    <col min="2" max="2" width="17.140625" customWidth="1"/>
    <col min="14" max="14" width="11" customWidth="1"/>
  </cols>
  <sheetData>
    <row r="1" spans="1:7" x14ac:dyDescent="0.25">
      <c r="A1" s="2" t="s">
        <v>80</v>
      </c>
      <c r="B1" s="2"/>
    </row>
    <row r="2" spans="1:7" x14ac:dyDescent="0.25">
      <c r="A2" s="2" t="str">
        <f>TEXT(A1,"0.00")</f>
        <v>4.24</v>
      </c>
      <c r="B2" s="2" t="str">
        <f>VLOOKUP(A$2,Eixo4[],3,FALSE)</f>
        <v>A pergunta a seguir é sobre os editais anuais de apoio à pesquisa ofertados pela UFPR. Antes de responder, por gentileza, escolha seu perfil</v>
      </c>
    </row>
    <row r="3" spans="1:7" x14ac:dyDescent="0.25">
      <c r="A3" s="2" t="s">
        <v>494</v>
      </c>
      <c r="B3" s="2" t="str">
        <f>VLOOKUP(A$2,Eixo4[],4,FALSE)</f>
        <v>Eixo 4: Questão 24</v>
      </c>
    </row>
    <row r="5" spans="1:7" x14ac:dyDescent="0.25">
      <c r="B5" s="5" t="s">
        <v>495</v>
      </c>
      <c r="C5" s="5" t="s">
        <v>196</v>
      </c>
      <c r="D5" s="5" t="s">
        <v>497</v>
      </c>
      <c r="E5" s="5" t="s">
        <v>498</v>
      </c>
      <c r="F5" s="6" t="s">
        <v>499</v>
      </c>
      <c r="G5" s="5" t="s">
        <v>500</v>
      </c>
    </row>
    <row r="6" spans="1:7" x14ac:dyDescent="0.25"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</row>
    <row r="7" spans="1:7" x14ac:dyDescent="0.25">
      <c r="B7" s="2" t="s">
        <v>196</v>
      </c>
      <c r="C7" s="4">
        <f>COUNTIFS(Resp4[Vínculo],"tecnico",Resp4[4.24],B7)</f>
        <v>11</v>
      </c>
      <c r="D7" s="4">
        <f>COUNTIFS(Resp4[Vínculo],"docente",Resp4[4.24],B7)</f>
        <v>5</v>
      </c>
      <c r="E7" s="2">
        <f>COUNTIF(Resp4[4.24],B7)</f>
        <v>16</v>
      </c>
      <c r="F7" s="4">
        <f t="shared" ref="F7:F9" si="0">ROUND($E7/E$9*100,2)</f>
        <v>66.67</v>
      </c>
      <c r="G7" s="4">
        <f>ROUND($E7/SUM($E$7:$E$8)*100,2)</f>
        <v>66.67</v>
      </c>
    </row>
    <row r="8" spans="1:7" x14ac:dyDescent="0.25">
      <c r="B8" s="7" t="s">
        <v>208</v>
      </c>
      <c r="C8" s="22">
        <f>COUNTIFS(Resp4[Vínculo],"tecnico",Resp4[4.24],B8)</f>
        <v>0</v>
      </c>
      <c r="D8" s="22">
        <f>COUNTIFS(Resp4[Vínculo],"docente",Resp4[4.24],B8)</f>
        <v>8</v>
      </c>
      <c r="E8" s="7">
        <f>COUNTIF(Resp4[4.24],B8)</f>
        <v>8</v>
      </c>
      <c r="F8" s="22">
        <f t="shared" si="0"/>
        <v>33.33</v>
      </c>
      <c r="G8" s="22">
        <f>ROUND($E8/SUM($E$7:$E$8)*100,2)</f>
        <v>33.33</v>
      </c>
    </row>
    <row r="9" spans="1:7" x14ac:dyDescent="0.25">
      <c r="B9" t="s">
        <v>502</v>
      </c>
      <c r="C9">
        <f>SUM(C6:C8)</f>
        <v>11</v>
      </c>
      <c r="D9">
        <f>SUM(D6:D8)</f>
        <v>13</v>
      </c>
      <c r="E9">
        <f>C9+D9</f>
        <v>24</v>
      </c>
      <c r="F9" s="15">
        <f t="shared" si="0"/>
        <v>100</v>
      </c>
      <c r="G9">
        <f t="shared" ref="G9" si="1">SUM(G6:G8)</f>
        <v>100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8"/>
  <sheetViews>
    <sheetView topLeftCell="A72" workbookViewId="0">
      <selection activeCell="B81" sqref="B81"/>
    </sheetView>
  </sheetViews>
  <sheetFormatPr defaultColWidth="10" defaultRowHeight="15" x14ac:dyDescent="0.25"/>
  <cols>
    <col min="1" max="2" width="10" style="94"/>
    <col min="3" max="3" width="161.42578125" style="94" customWidth="1"/>
    <col min="4" max="4" width="17.85546875" style="94" customWidth="1"/>
    <col min="5" max="16384" width="10" style="94"/>
  </cols>
  <sheetData>
    <row r="1" spans="1:5" x14ac:dyDescent="0.25">
      <c r="A1" s="91" t="s">
        <v>209</v>
      </c>
      <c r="B1" s="92" t="s">
        <v>210</v>
      </c>
      <c r="C1" s="92" t="s">
        <v>211</v>
      </c>
      <c r="D1" s="92" t="s">
        <v>212</v>
      </c>
      <c r="E1" s="93" t="s">
        <v>213</v>
      </c>
    </row>
    <row r="2" spans="1:5" customFormat="1" x14ac:dyDescent="0.25">
      <c r="A2" t="s">
        <v>57</v>
      </c>
      <c r="B2" t="s">
        <v>5</v>
      </c>
      <c r="C2" s="1" t="s">
        <v>214</v>
      </c>
      <c r="D2" s="95" t="s">
        <v>215</v>
      </c>
    </row>
    <row r="3" spans="1:5" x14ac:dyDescent="0.25">
      <c r="A3" s="94" t="s">
        <v>58</v>
      </c>
      <c r="B3" s="94" t="s">
        <v>3</v>
      </c>
      <c r="C3" s="96" t="s">
        <v>216</v>
      </c>
      <c r="D3" s="97" t="s">
        <v>217</v>
      </c>
    </row>
    <row r="4" spans="1:5" x14ac:dyDescent="0.25">
      <c r="A4" s="94" t="s">
        <v>59</v>
      </c>
      <c r="B4" s="94" t="s">
        <v>3</v>
      </c>
      <c r="C4" s="96" t="s">
        <v>218</v>
      </c>
      <c r="D4" s="97" t="s">
        <v>219</v>
      </c>
    </row>
    <row r="5" spans="1:5" x14ac:dyDescent="0.25">
      <c r="A5" s="94" t="s">
        <v>60</v>
      </c>
      <c r="B5" s="94" t="s">
        <v>3</v>
      </c>
      <c r="C5" s="96" t="s">
        <v>220</v>
      </c>
      <c r="D5" s="97" t="s">
        <v>221</v>
      </c>
    </row>
    <row r="6" spans="1:5" x14ac:dyDescent="0.25">
      <c r="A6" s="94" t="s">
        <v>61</v>
      </c>
      <c r="B6" s="94" t="s">
        <v>3</v>
      </c>
      <c r="C6" s="96" t="s">
        <v>222</v>
      </c>
      <c r="D6" s="97" t="s">
        <v>223</v>
      </c>
    </row>
    <row r="7" spans="1:5" x14ac:dyDescent="0.25">
      <c r="A7" s="94" t="s">
        <v>62</v>
      </c>
      <c r="B7" s="94" t="s">
        <v>3</v>
      </c>
      <c r="C7" s="96" t="s">
        <v>224</v>
      </c>
      <c r="D7" s="97" t="s">
        <v>225</v>
      </c>
    </row>
    <row r="8" spans="1:5" x14ac:dyDescent="0.25">
      <c r="A8" s="94" t="s">
        <v>63</v>
      </c>
      <c r="B8" s="94" t="s">
        <v>3</v>
      </c>
      <c r="C8" s="96" t="s">
        <v>226</v>
      </c>
      <c r="D8" s="97" t="s">
        <v>227</v>
      </c>
    </row>
    <row r="9" spans="1:5" x14ac:dyDescent="0.25">
      <c r="A9" s="94" t="s">
        <v>64</v>
      </c>
      <c r="B9" s="94" t="s">
        <v>3</v>
      </c>
      <c r="C9" s="96" t="s">
        <v>228</v>
      </c>
      <c r="D9" s="97" t="s">
        <v>229</v>
      </c>
    </row>
    <row r="10" spans="1:5" x14ac:dyDescent="0.25">
      <c r="A10" s="94" t="s">
        <v>65</v>
      </c>
      <c r="B10" s="94" t="s">
        <v>3</v>
      </c>
      <c r="C10" s="96" t="s">
        <v>230</v>
      </c>
      <c r="D10" s="97" t="s">
        <v>231</v>
      </c>
    </row>
    <row r="11" spans="1:5" x14ac:dyDescent="0.25">
      <c r="A11" s="94" t="s">
        <v>66</v>
      </c>
      <c r="B11" s="94" t="s">
        <v>3</v>
      </c>
      <c r="C11" s="96" t="s">
        <v>232</v>
      </c>
      <c r="D11" s="97" t="s">
        <v>233</v>
      </c>
    </row>
    <row r="12" spans="1:5" x14ac:dyDescent="0.25">
      <c r="A12" s="94" t="s">
        <v>67</v>
      </c>
      <c r="B12" s="94" t="s">
        <v>3</v>
      </c>
      <c r="C12" s="96" t="s">
        <v>234</v>
      </c>
      <c r="D12" s="97" t="s">
        <v>235</v>
      </c>
    </row>
    <row r="13" spans="1:5" x14ac:dyDescent="0.25">
      <c r="A13" s="94" t="s">
        <v>68</v>
      </c>
      <c r="B13" s="94" t="s">
        <v>3</v>
      </c>
      <c r="C13" s="96" t="s">
        <v>236</v>
      </c>
      <c r="D13" s="97" t="s">
        <v>237</v>
      </c>
    </row>
    <row r="14" spans="1:5" x14ac:dyDescent="0.25">
      <c r="A14" s="94" t="s">
        <v>69</v>
      </c>
      <c r="B14" s="94" t="s">
        <v>3</v>
      </c>
      <c r="C14" s="96" t="s">
        <v>238</v>
      </c>
      <c r="D14" s="97" t="s">
        <v>239</v>
      </c>
    </row>
    <row r="15" spans="1:5" x14ac:dyDescent="0.25">
      <c r="A15" s="94" t="s">
        <v>70</v>
      </c>
      <c r="B15" s="94" t="s">
        <v>3</v>
      </c>
      <c r="C15" s="96" t="s">
        <v>240</v>
      </c>
      <c r="D15" s="97" t="s">
        <v>241</v>
      </c>
    </row>
    <row r="16" spans="1:5" x14ac:dyDescent="0.25">
      <c r="A16" s="94" t="s">
        <v>71</v>
      </c>
      <c r="B16" s="94" t="s">
        <v>3</v>
      </c>
      <c r="C16" s="96" t="s">
        <v>242</v>
      </c>
      <c r="D16" s="97" t="s">
        <v>243</v>
      </c>
    </row>
    <row r="17" spans="1:5" x14ac:dyDescent="0.25">
      <c r="A17" s="94" t="s">
        <v>72</v>
      </c>
      <c r="B17" s="94" t="s">
        <v>3</v>
      </c>
      <c r="C17" s="96" t="s">
        <v>244</v>
      </c>
      <c r="D17" s="97" t="s">
        <v>245</v>
      </c>
    </row>
    <row r="18" spans="1:5" x14ac:dyDescent="0.25">
      <c r="A18" s="94" t="s">
        <v>73</v>
      </c>
      <c r="B18" s="94" t="s">
        <v>3</v>
      </c>
      <c r="C18" s="96" t="s">
        <v>246</v>
      </c>
      <c r="D18" s="97" t="s">
        <v>247</v>
      </c>
    </row>
    <row r="19" spans="1:5" customFormat="1" x14ac:dyDescent="0.25">
      <c r="A19" t="s">
        <v>74</v>
      </c>
      <c r="B19" t="s">
        <v>248</v>
      </c>
      <c r="C19" s="1" t="s">
        <v>249</v>
      </c>
      <c r="D19" s="95" t="s">
        <v>250</v>
      </c>
      <c r="E19" t="s">
        <v>251</v>
      </c>
    </row>
    <row r="20" spans="1:5" customFormat="1" x14ac:dyDescent="0.25">
      <c r="A20" t="s">
        <v>75</v>
      </c>
      <c r="B20" t="s">
        <v>5</v>
      </c>
      <c r="C20" s="1" t="s">
        <v>252</v>
      </c>
      <c r="D20" s="95" t="s">
        <v>253</v>
      </c>
    </row>
    <row r="21" spans="1:5" x14ac:dyDescent="0.25">
      <c r="A21" s="94" t="s">
        <v>76</v>
      </c>
      <c r="B21" s="94" t="s">
        <v>3</v>
      </c>
      <c r="C21" s="96" t="s">
        <v>254</v>
      </c>
      <c r="D21" s="97" t="s">
        <v>255</v>
      </c>
    </row>
    <row r="22" spans="1:5" x14ac:dyDescent="0.25">
      <c r="A22" s="94" t="s">
        <v>77</v>
      </c>
      <c r="B22" s="94" t="s">
        <v>3</v>
      </c>
      <c r="C22" s="96" t="s">
        <v>256</v>
      </c>
      <c r="D22" s="97" t="s">
        <v>257</v>
      </c>
    </row>
    <row r="23" spans="1:5" x14ac:dyDescent="0.25">
      <c r="A23" s="94" t="s">
        <v>78</v>
      </c>
      <c r="B23" s="94" t="s">
        <v>3</v>
      </c>
      <c r="C23" s="96" t="s">
        <v>258</v>
      </c>
      <c r="D23" s="97" t="s">
        <v>259</v>
      </c>
    </row>
    <row r="24" spans="1:5" x14ac:dyDescent="0.25">
      <c r="A24" s="94" t="s">
        <v>79</v>
      </c>
      <c r="B24" s="94" t="s">
        <v>3</v>
      </c>
      <c r="C24" s="96" t="s">
        <v>260</v>
      </c>
      <c r="D24" s="97" t="s">
        <v>261</v>
      </c>
    </row>
    <row r="25" spans="1:5" customFormat="1" x14ac:dyDescent="0.25">
      <c r="A25" t="s">
        <v>80</v>
      </c>
      <c r="B25" t="s">
        <v>42</v>
      </c>
      <c r="C25" s="1" t="s">
        <v>262</v>
      </c>
      <c r="D25" s="95" t="s">
        <v>263</v>
      </c>
      <c r="E25" t="s">
        <v>264</v>
      </c>
    </row>
    <row r="26" spans="1:5" x14ac:dyDescent="0.25">
      <c r="A26" s="94" t="s">
        <v>81</v>
      </c>
      <c r="B26" s="94" t="s">
        <v>3</v>
      </c>
      <c r="C26" s="96" t="s">
        <v>265</v>
      </c>
      <c r="D26" s="97" t="s">
        <v>266</v>
      </c>
    </row>
    <row r="27" spans="1:5" x14ac:dyDescent="0.25">
      <c r="A27" s="94" t="s">
        <v>82</v>
      </c>
      <c r="B27" s="94" t="s">
        <v>3</v>
      </c>
      <c r="C27" s="96" t="s">
        <v>267</v>
      </c>
      <c r="D27" s="97" t="s">
        <v>268</v>
      </c>
    </row>
    <row r="28" spans="1:5" x14ac:dyDescent="0.25">
      <c r="A28" s="94" t="s">
        <v>83</v>
      </c>
      <c r="B28" s="94" t="s">
        <v>3</v>
      </c>
      <c r="C28" s="96" t="s">
        <v>269</v>
      </c>
      <c r="D28" s="97" t="s">
        <v>270</v>
      </c>
    </row>
    <row r="29" spans="1:5" x14ac:dyDescent="0.25">
      <c r="A29" s="94" t="s">
        <v>84</v>
      </c>
      <c r="B29" s="94" t="s">
        <v>3</v>
      </c>
      <c r="C29" s="96" t="s">
        <v>271</v>
      </c>
      <c r="D29" s="97" t="s">
        <v>272</v>
      </c>
    </row>
    <row r="30" spans="1:5" x14ac:dyDescent="0.25">
      <c r="A30" s="94" t="s">
        <v>85</v>
      </c>
      <c r="B30" s="94" t="s">
        <v>3</v>
      </c>
      <c r="C30" s="96" t="s">
        <v>273</v>
      </c>
      <c r="D30" s="97" t="s">
        <v>274</v>
      </c>
    </row>
    <row r="31" spans="1:5" x14ac:dyDescent="0.25">
      <c r="A31" s="94" t="s">
        <v>86</v>
      </c>
      <c r="B31" s="94" t="s">
        <v>3</v>
      </c>
      <c r="C31" s="96" t="s">
        <v>275</v>
      </c>
      <c r="D31" s="97" t="s">
        <v>276</v>
      </c>
    </row>
    <row r="32" spans="1:5" x14ac:dyDescent="0.25">
      <c r="A32" s="94" t="s">
        <v>87</v>
      </c>
      <c r="B32" s="94" t="s">
        <v>3</v>
      </c>
      <c r="C32" s="96" t="s">
        <v>277</v>
      </c>
      <c r="D32" s="97" t="s">
        <v>278</v>
      </c>
    </row>
    <row r="33" spans="1:5" x14ac:dyDescent="0.25">
      <c r="A33" s="94" t="s">
        <v>88</v>
      </c>
      <c r="B33" s="94" t="s">
        <v>3</v>
      </c>
      <c r="C33" s="96" t="s">
        <v>279</v>
      </c>
      <c r="D33" s="97" t="s">
        <v>280</v>
      </c>
    </row>
    <row r="34" spans="1:5" customFormat="1" x14ac:dyDescent="0.25">
      <c r="A34" t="s">
        <v>89</v>
      </c>
      <c r="B34" t="s">
        <v>5</v>
      </c>
      <c r="C34" s="1" t="s">
        <v>281</v>
      </c>
      <c r="D34" s="95" t="s">
        <v>282</v>
      </c>
    </row>
    <row r="35" spans="1:5" x14ac:dyDescent="0.25">
      <c r="A35" s="94" t="s">
        <v>90</v>
      </c>
      <c r="B35" s="94" t="s">
        <v>3</v>
      </c>
      <c r="C35" s="96" t="s">
        <v>283</v>
      </c>
      <c r="D35" s="97" t="s">
        <v>284</v>
      </c>
    </row>
    <row r="36" spans="1:5" x14ac:dyDescent="0.25">
      <c r="A36" s="94" t="s">
        <v>91</v>
      </c>
      <c r="B36" s="94" t="s">
        <v>3</v>
      </c>
      <c r="C36" s="96" t="s">
        <v>285</v>
      </c>
      <c r="D36" s="97" t="s">
        <v>286</v>
      </c>
    </row>
    <row r="37" spans="1:5" x14ac:dyDescent="0.25">
      <c r="A37" s="94" t="s">
        <v>92</v>
      </c>
      <c r="B37" s="94" t="s">
        <v>3</v>
      </c>
      <c r="C37" s="96" t="s">
        <v>287</v>
      </c>
      <c r="D37" s="97" t="s">
        <v>288</v>
      </c>
    </row>
    <row r="38" spans="1:5" customFormat="1" x14ac:dyDescent="0.25">
      <c r="A38" t="s">
        <v>93</v>
      </c>
      <c r="B38" t="s">
        <v>248</v>
      </c>
      <c r="C38" s="1" t="s">
        <v>289</v>
      </c>
      <c r="D38" s="95" t="s">
        <v>290</v>
      </c>
      <c r="E38" t="s">
        <v>251</v>
      </c>
    </row>
    <row r="39" spans="1:5" customFormat="1" x14ac:dyDescent="0.25">
      <c r="A39" t="s">
        <v>94</v>
      </c>
      <c r="B39" t="s">
        <v>5</v>
      </c>
      <c r="C39" s="1" t="s">
        <v>291</v>
      </c>
      <c r="D39" s="95" t="s">
        <v>292</v>
      </c>
    </row>
    <row r="40" spans="1:5" x14ac:dyDescent="0.25">
      <c r="A40" s="94" t="s">
        <v>95</v>
      </c>
      <c r="B40" s="94" t="s">
        <v>293</v>
      </c>
      <c r="C40" s="96" t="s">
        <v>294</v>
      </c>
      <c r="D40" s="97" t="s">
        <v>295</v>
      </c>
    </row>
    <row r="41" spans="1:5" x14ac:dyDescent="0.25">
      <c r="A41" s="94" t="s">
        <v>96</v>
      </c>
      <c r="B41" s="94" t="s">
        <v>293</v>
      </c>
      <c r="C41" s="96" t="s">
        <v>296</v>
      </c>
      <c r="D41" s="97" t="s">
        <v>297</v>
      </c>
    </row>
    <row r="42" spans="1:5" x14ac:dyDescent="0.25">
      <c r="A42" s="94" t="s">
        <v>97</v>
      </c>
      <c r="B42" s="94" t="s">
        <v>293</v>
      </c>
      <c r="C42" s="96" t="s">
        <v>298</v>
      </c>
      <c r="D42" s="97" t="s">
        <v>299</v>
      </c>
    </row>
    <row r="43" spans="1:5" x14ac:dyDescent="0.25">
      <c r="A43" s="94" t="s">
        <v>98</v>
      </c>
      <c r="B43" s="94" t="s">
        <v>293</v>
      </c>
      <c r="C43" s="96" t="s">
        <v>300</v>
      </c>
      <c r="D43" s="97" t="s">
        <v>301</v>
      </c>
    </row>
    <row r="44" spans="1:5" x14ac:dyDescent="0.25">
      <c r="A44" s="94" t="s">
        <v>99</v>
      </c>
      <c r="B44" s="94" t="s">
        <v>293</v>
      </c>
      <c r="C44" s="96" t="s">
        <v>302</v>
      </c>
      <c r="D44" s="97" t="s">
        <v>303</v>
      </c>
    </row>
    <row r="45" spans="1:5" x14ac:dyDescent="0.25">
      <c r="A45" s="94" t="s">
        <v>100</v>
      </c>
      <c r="B45" s="94" t="s">
        <v>293</v>
      </c>
      <c r="C45" s="96" t="s">
        <v>304</v>
      </c>
      <c r="D45" s="97" t="s">
        <v>305</v>
      </c>
    </row>
    <row r="46" spans="1:5" x14ac:dyDescent="0.25">
      <c r="A46" s="94" t="s">
        <v>101</v>
      </c>
      <c r="B46" s="94" t="s">
        <v>293</v>
      </c>
      <c r="C46" s="96" t="s">
        <v>306</v>
      </c>
      <c r="D46" s="97" t="s">
        <v>307</v>
      </c>
    </row>
    <row r="47" spans="1:5" x14ac:dyDescent="0.25">
      <c r="A47" s="94" t="s">
        <v>102</v>
      </c>
      <c r="B47" s="94" t="s">
        <v>293</v>
      </c>
      <c r="C47" s="96" t="s">
        <v>308</v>
      </c>
      <c r="D47" s="97" t="s">
        <v>309</v>
      </c>
    </row>
    <row r="48" spans="1:5" x14ac:dyDescent="0.25">
      <c r="A48" s="94" t="s">
        <v>103</v>
      </c>
      <c r="B48" s="94" t="s">
        <v>293</v>
      </c>
      <c r="C48" s="96" t="s">
        <v>310</v>
      </c>
      <c r="D48" s="97" t="s">
        <v>311</v>
      </c>
    </row>
    <row r="49" spans="1:5" x14ac:dyDescent="0.25">
      <c r="A49" s="94" t="s">
        <v>104</v>
      </c>
      <c r="B49" s="94" t="s">
        <v>293</v>
      </c>
      <c r="C49" s="96" t="s">
        <v>312</v>
      </c>
      <c r="D49" s="97" t="s">
        <v>313</v>
      </c>
    </row>
    <row r="50" spans="1:5" customFormat="1" x14ac:dyDescent="0.25">
      <c r="A50" t="s">
        <v>105</v>
      </c>
      <c r="B50" t="s">
        <v>248</v>
      </c>
      <c r="C50" s="1" t="s">
        <v>314</v>
      </c>
      <c r="D50" s="95" t="s">
        <v>315</v>
      </c>
      <c r="E50" t="s">
        <v>251</v>
      </c>
    </row>
    <row r="51" spans="1:5" customFormat="1" x14ac:dyDescent="0.25">
      <c r="A51" t="s">
        <v>106</v>
      </c>
      <c r="B51" t="s">
        <v>5</v>
      </c>
      <c r="C51" s="1" t="s">
        <v>316</v>
      </c>
      <c r="D51" s="95" t="s">
        <v>317</v>
      </c>
    </row>
    <row r="52" spans="1:5" customFormat="1" x14ac:dyDescent="0.25">
      <c r="A52" t="s">
        <v>107</v>
      </c>
      <c r="B52" t="s">
        <v>5</v>
      </c>
      <c r="C52" s="1" t="s">
        <v>318</v>
      </c>
      <c r="D52" s="95" t="s">
        <v>319</v>
      </c>
    </row>
    <row r="53" spans="1:5" x14ac:dyDescent="0.25">
      <c r="A53" s="94" t="s">
        <v>108</v>
      </c>
      <c r="B53" s="94" t="s">
        <v>293</v>
      </c>
      <c r="C53" s="96" t="s">
        <v>320</v>
      </c>
      <c r="D53" s="97" t="s">
        <v>321</v>
      </c>
    </row>
    <row r="54" spans="1:5" x14ac:dyDescent="0.25">
      <c r="A54" s="94" t="s">
        <v>109</v>
      </c>
      <c r="B54" s="94" t="s">
        <v>293</v>
      </c>
      <c r="C54" s="96" t="s">
        <v>322</v>
      </c>
      <c r="D54" s="97" t="s">
        <v>323</v>
      </c>
    </row>
    <row r="55" spans="1:5" x14ac:dyDescent="0.25">
      <c r="A55" s="94" t="s">
        <v>110</v>
      </c>
      <c r="B55" s="94" t="s">
        <v>293</v>
      </c>
      <c r="C55" s="96" t="s">
        <v>324</v>
      </c>
      <c r="D55" s="97" t="s">
        <v>325</v>
      </c>
    </row>
    <row r="56" spans="1:5" x14ac:dyDescent="0.25">
      <c r="A56" s="94" t="s">
        <v>111</v>
      </c>
      <c r="B56" s="94" t="s">
        <v>293</v>
      </c>
      <c r="C56" s="96" t="s">
        <v>326</v>
      </c>
      <c r="D56" s="97" t="s">
        <v>327</v>
      </c>
    </row>
    <row r="57" spans="1:5" x14ac:dyDescent="0.25">
      <c r="A57" s="94" t="s">
        <v>112</v>
      </c>
      <c r="B57" s="94" t="s">
        <v>293</v>
      </c>
      <c r="C57" s="96" t="s">
        <v>328</v>
      </c>
      <c r="D57" s="97" t="s">
        <v>329</v>
      </c>
    </row>
    <row r="58" spans="1:5" x14ac:dyDescent="0.25">
      <c r="A58" s="94" t="s">
        <v>113</v>
      </c>
      <c r="B58" s="94" t="s">
        <v>293</v>
      </c>
      <c r="C58" s="96" t="s">
        <v>330</v>
      </c>
      <c r="D58" s="97" t="s">
        <v>331</v>
      </c>
    </row>
    <row r="59" spans="1:5" x14ac:dyDescent="0.25">
      <c r="A59" s="94" t="s">
        <v>114</v>
      </c>
      <c r="B59" s="94" t="s">
        <v>293</v>
      </c>
      <c r="C59" s="96" t="s">
        <v>332</v>
      </c>
      <c r="D59" s="97" t="s">
        <v>333</v>
      </c>
    </row>
    <row r="60" spans="1:5" x14ac:dyDescent="0.25">
      <c r="A60" s="94" t="s">
        <v>115</v>
      </c>
      <c r="B60" s="94" t="s">
        <v>293</v>
      </c>
      <c r="C60" s="96" t="s">
        <v>334</v>
      </c>
      <c r="D60" s="97" t="s">
        <v>335</v>
      </c>
    </row>
    <row r="61" spans="1:5" x14ac:dyDescent="0.25">
      <c r="A61" s="94" t="s">
        <v>116</v>
      </c>
      <c r="B61" s="94" t="s">
        <v>293</v>
      </c>
      <c r="C61" s="96" t="s">
        <v>336</v>
      </c>
      <c r="D61" s="97" t="s">
        <v>337</v>
      </c>
    </row>
    <row r="62" spans="1:5" x14ac:dyDescent="0.25">
      <c r="A62" s="94" t="s">
        <v>117</v>
      </c>
      <c r="B62" s="94" t="s">
        <v>293</v>
      </c>
      <c r="C62" s="96" t="s">
        <v>338</v>
      </c>
      <c r="D62" s="97" t="s">
        <v>339</v>
      </c>
    </row>
    <row r="63" spans="1:5" x14ac:dyDescent="0.25">
      <c r="A63" s="94" t="s">
        <v>118</v>
      </c>
      <c r="B63" s="94" t="s">
        <v>293</v>
      </c>
      <c r="C63" s="96" t="s">
        <v>340</v>
      </c>
      <c r="D63" s="97" t="s">
        <v>341</v>
      </c>
    </row>
    <row r="64" spans="1:5" x14ac:dyDescent="0.25">
      <c r="A64" s="94" t="s">
        <v>119</v>
      </c>
      <c r="B64" s="94" t="s">
        <v>293</v>
      </c>
      <c r="C64" s="96" t="s">
        <v>342</v>
      </c>
      <c r="D64" s="97" t="s">
        <v>343</v>
      </c>
    </row>
    <row r="65" spans="1:5" x14ac:dyDescent="0.25">
      <c r="A65" s="94" t="s">
        <v>120</v>
      </c>
      <c r="B65" s="94" t="s">
        <v>293</v>
      </c>
      <c r="C65" s="96" t="s">
        <v>344</v>
      </c>
      <c r="D65" s="97" t="s">
        <v>345</v>
      </c>
    </row>
    <row r="66" spans="1:5" x14ac:dyDescent="0.25">
      <c r="A66" s="94" t="s">
        <v>121</v>
      </c>
      <c r="B66" s="94" t="s">
        <v>293</v>
      </c>
      <c r="C66" s="96" t="s">
        <v>346</v>
      </c>
      <c r="D66" s="97" t="s">
        <v>347</v>
      </c>
    </row>
    <row r="67" spans="1:5" x14ac:dyDescent="0.25">
      <c r="A67" s="94" t="s">
        <v>122</v>
      </c>
      <c r="B67" s="94" t="s">
        <v>293</v>
      </c>
      <c r="C67" s="96" t="s">
        <v>348</v>
      </c>
      <c r="D67" s="97" t="s">
        <v>349</v>
      </c>
    </row>
    <row r="68" spans="1:5" x14ac:dyDescent="0.25">
      <c r="A68" s="94" t="s">
        <v>123</v>
      </c>
      <c r="B68" s="94" t="s">
        <v>293</v>
      </c>
      <c r="C68" s="96" t="s">
        <v>350</v>
      </c>
      <c r="D68" s="97" t="s">
        <v>351</v>
      </c>
    </row>
    <row r="69" spans="1:5" x14ac:dyDescent="0.25">
      <c r="A69" s="94" t="s">
        <v>124</v>
      </c>
      <c r="B69" s="94" t="s">
        <v>293</v>
      </c>
      <c r="C69" s="96" t="s">
        <v>352</v>
      </c>
      <c r="D69" s="97" t="s">
        <v>353</v>
      </c>
    </row>
    <row r="70" spans="1:5" x14ac:dyDescent="0.25">
      <c r="A70" s="94" t="s">
        <v>125</v>
      </c>
      <c r="B70" s="94" t="s">
        <v>293</v>
      </c>
      <c r="C70" s="96" t="s">
        <v>354</v>
      </c>
      <c r="D70" s="97" t="s">
        <v>355</v>
      </c>
    </row>
    <row r="71" spans="1:5" customFormat="1" x14ac:dyDescent="0.25">
      <c r="A71" t="s">
        <v>126</v>
      </c>
      <c r="B71" t="s">
        <v>248</v>
      </c>
      <c r="C71" s="1" t="s">
        <v>356</v>
      </c>
      <c r="D71" s="95" t="s">
        <v>357</v>
      </c>
      <c r="E71" t="s">
        <v>251</v>
      </c>
    </row>
    <row r="72" spans="1:5" x14ac:dyDescent="0.25">
      <c r="A72" s="94" t="s">
        <v>127</v>
      </c>
      <c r="B72" s="94" t="s">
        <v>7</v>
      </c>
      <c r="C72" s="96" t="s">
        <v>358</v>
      </c>
      <c r="D72" s="97" t="s">
        <v>359</v>
      </c>
    </row>
    <row r="73" spans="1:5" x14ac:dyDescent="0.25">
      <c r="A73" s="94" t="s">
        <v>128</v>
      </c>
      <c r="B73" s="94" t="s">
        <v>7</v>
      </c>
      <c r="C73" s="96" t="s">
        <v>360</v>
      </c>
      <c r="D73" s="97" t="s">
        <v>361</v>
      </c>
    </row>
    <row r="74" spans="1:5" x14ac:dyDescent="0.25">
      <c r="A74" s="94" t="s">
        <v>129</v>
      </c>
      <c r="B74" s="94" t="s">
        <v>7</v>
      </c>
      <c r="C74" s="96" t="s">
        <v>362</v>
      </c>
      <c r="D74" s="97" t="s">
        <v>363</v>
      </c>
    </row>
    <row r="75" spans="1:5" x14ac:dyDescent="0.25">
      <c r="A75" s="94" t="s">
        <v>130</v>
      </c>
      <c r="B75" s="94" t="s">
        <v>7</v>
      </c>
      <c r="C75" s="96" t="s">
        <v>364</v>
      </c>
      <c r="D75" s="97" t="s">
        <v>365</v>
      </c>
    </row>
    <row r="76" spans="1:5" x14ac:dyDescent="0.25">
      <c r="A76" s="94" t="s">
        <v>131</v>
      </c>
      <c r="B76" s="94" t="s">
        <v>7</v>
      </c>
      <c r="C76" s="96" t="s">
        <v>366</v>
      </c>
      <c r="D76" s="97" t="s">
        <v>367</v>
      </c>
    </row>
    <row r="77" spans="1:5" x14ac:dyDescent="0.25">
      <c r="A77" s="94" t="s">
        <v>132</v>
      </c>
      <c r="B77" s="94" t="s">
        <v>7</v>
      </c>
      <c r="C77" s="96" t="s">
        <v>368</v>
      </c>
      <c r="D77" s="97" t="s">
        <v>369</v>
      </c>
    </row>
    <row r="78" spans="1:5" x14ac:dyDescent="0.25">
      <c r="A78" s="94" t="s">
        <v>133</v>
      </c>
      <c r="B78" s="94" t="s">
        <v>7</v>
      </c>
      <c r="C78" s="96" t="s">
        <v>370</v>
      </c>
      <c r="D78" s="97" t="s">
        <v>371</v>
      </c>
    </row>
    <row r="79" spans="1:5" customFormat="1" x14ac:dyDescent="0.25">
      <c r="A79" t="s">
        <v>134</v>
      </c>
      <c r="B79" t="s">
        <v>248</v>
      </c>
      <c r="C79" s="1" t="s">
        <v>372</v>
      </c>
      <c r="D79" s="95" t="s">
        <v>373</v>
      </c>
      <c r="E79" t="s">
        <v>251</v>
      </c>
    </row>
    <row r="80" spans="1:5" customFormat="1" x14ac:dyDescent="0.25">
      <c r="A80" t="s">
        <v>135</v>
      </c>
      <c r="B80" t="s">
        <v>9</v>
      </c>
      <c r="C80" s="1" t="s">
        <v>374</v>
      </c>
      <c r="D80" s="95" t="s">
        <v>375</v>
      </c>
      <c r="E80" t="s">
        <v>376</v>
      </c>
    </row>
    <row r="81" spans="1:5" customFormat="1" x14ac:dyDescent="0.25">
      <c r="A81" t="s">
        <v>136</v>
      </c>
      <c r="B81" t="s">
        <v>248</v>
      </c>
      <c r="C81" s="1" t="s">
        <v>377</v>
      </c>
      <c r="D81" s="95" t="s">
        <v>378</v>
      </c>
      <c r="E81" t="s">
        <v>251</v>
      </c>
    </row>
    <row r="82" spans="1:5" customFormat="1" x14ac:dyDescent="0.25">
      <c r="A82" t="s">
        <v>137</v>
      </c>
      <c r="B82" t="s">
        <v>5</v>
      </c>
      <c r="C82" s="1" t="s">
        <v>379</v>
      </c>
      <c r="D82" s="95" t="s">
        <v>380</v>
      </c>
    </row>
    <row r="83" spans="1:5" customFormat="1" x14ac:dyDescent="0.25">
      <c r="A83" t="s">
        <v>138</v>
      </c>
      <c r="B83" t="s">
        <v>248</v>
      </c>
      <c r="C83" s="1" t="s">
        <v>381</v>
      </c>
      <c r="D83" s="95" t="s">
        <v>382</v>
      </c>
      <c r="E83" t="s">
        <v>251</v>
      </c>
    </row>
    <row r="84" spans="1:5" customFormat="1" x14ac:dyDescent="0.25">
      <c r="A84" t="s">
        <v>139</v>
      </c>
      <c r="B84" t="s">
        <v>248</v>
      </c>
      <c r="C84" s="1" t="s">
        <v>383</v>
      </c>
      <c r="D84" s="95" t="s">
        <v>384</v>
      </c>
      <c r="E84" t="s">
        <v>251</v>
      </c>
    </row>
    <row r="85" spans="1:5" customFormat="1" x14ac:dyDescent="0.25">
      <c r="A85" t="s">
        <v>140</v>
      </c>
      <c r="B85" t="s">
        <v>248</v>
      </c>
      <c r="C85" s="1" t="s">
        <v>385</v>
      </c>
      <c r="D85" s="95" t="s">
        <v>386</v>
      </c>
      <c r="E85" t="s">
        <v>251</v>
      </c>
    </row>
    <row r="86" spans="1:5" customFormat="1" x14ac:dyDescent="0.25">
      <c r="A86" t="s">
        <v>141</v>
      </c>
      <c r="B86" t="s">
        <v>5</v>
      </c>
      <c r="C86" s="1" t="s">
        <v>387</v>
      </c>
      <c r="D86" s="95" t="s">
        <v>388</v>
      </c>
    </row>
    <row r="87" spans="1:5" x14ac:dyDescent="0.25">
      <c r="A87" s="94" t="s">
        <v>142</v>
      </c>
      <c r="B87" s="94" t="s">
        <v>3</v>
      </c>
      <c r="C87" s="96" t="s">
        <v>389</v>
      </c>
      <c r="D87" s="97" t="s">
        <v>390</v>
      </c>
    </row>
    <row r="88" spans="1:5" x14ac:dyDescent="0.25">
      <c r="A88" s="94" t="s">
        <v>143</v>
      </c>
      <c r="B88" s="94" t="s">
        <v>3</v>
      </c>
      <c r="C88" s="96" t="s">
        <v>391</v>
      </c>
      <c r="D88" s="97" t="s">
        <v>392</v>
      </c>
    </row>
    <row r="89" spans="1:5" x14ac:dyDescent="0.25">
      <c r="A89" s="94" t="s">
        <v>144</v>
      </c>
      <c r="B89" s="94" t="s">
        <v>3</v>
      </c>
      <c r="C89" s="96" t="s">
        <v>393</v>
      </c>
      <c r="D89" s="97" t="s">
        <v>394</v>
      </c>
    </row>
    <row r="90" spans="1:5" x14ac:dyDescent="0.25">
      <c r="A90" s="94" t="s">
        <v>145</v>
      </c>
      <c r="B90" s="94" t="s">
        <v>3</v>
      </c>
      <c r="C90" s="96" t="s">
        <v>395</v>
      </c>
      <c r="D90" s="97" t="s">
        <v>396</v>
      </c>
    </row>
    <row r="91" spans="1:5" x14ac:dyDescent="0.25">
      <c r="A91" s="94" t="s">
        <v>146</v>
      </c>
      <c r="B91" s="94" t="s">
        <v>3</v>
      </c>
      <c r="C91" s="96" t="s">
        <v>397</v>
      </c>
      <c r="D91" s="97" t="s">
        <v>398</v>
      </c>
    </row>
    <row r="92" spans="1:5" x14ac:dyDescent="0.25">
      <c r="A92" s="94" t="s">
        <v>147</v>
      </c>
      <c r="B92" s="94" t="s">
        <v>3</v>
      </c>
      <c r="C92" s="96" t="s">
        <v>399</v>
      </c>
      <c r="D92" s="97" t="s">
        <v>400</v>
      </c>
    </row>
    <row r="93" spans="1:5" x14ac:dyDescent="0.25">
      <c r="A93" s="94" t="s">
        <v>148</v>
      </c>
      <c r="B93" s="94" t="s">
        <v>3</v>
      </c>
      <c r="C93" s="96" t="s">
        <v>401</v>
      </c>
      <c r="D93" s="97" t="s">
        <v>402</v>
      </c>
    </row>
    <row r="94" spans="1:5" x14ac:dyDescent="0.25">
      <c r="A94" s="94" t="s">
        <v>149</v>
      </c>
      <c r="B94" s="94" t="s">
        <v>3</v>
      </c>
      <c r="C94" s="96" t="s">
        <v>403</v>
      </c>
      <c r="D94" s="97" t="s">
        <v>404</v>
      </c>
    </row>
    <row r="95" spans="1:5" x14ac:dyDescent="0.25">
      <c r="A95" s="94" t="s">
        <v>150</v>
      </c>
      <c r="B95" s="94" t="s">
        <v>3</v>
      </c>
      <c r="C95" s="96" t="s">
        <v>405</v>
      </c>
      <c r="D95" s="97" t="s">
        <v>406</v>
      </c>
    </row>
    <row r="96" spans="1:5" x14ac:dyDescent="0.25">
      <c r="A96" s="94" t="s">
        <v>151</v>
      </c>
      <c r="B96" s="94" t="s">
        <v>3</v>
      </c>
      <c r="C96" s="96" t="s">
        <v>407</v>
      </c>
      <c r="D96" s="97" t="s">
        <v>408</v>
      </c>
    </row>
    <row r="97" spans="1:4" x14ac:dyDescent="0.25">
      <c r="A97" s="94" t="s">
        <v>152</v>
      </c>
      <c r="B97" s="94" t="s">
        <v>3</v>
      </c>
      <c r="C97" s="96" t="s">
        <v>409</v>
      </c>
      <c r="D97" s="97" t="s">
        <v>410</v>
      </c>
    </row>
    <row r="98" spans="1:4" x14ac:dyDescent="0.25">
      <c r="A98" s="94" t="s">
        <v>153</v>
      </c>
      <c r="B98" s="94" t="s">
        <v>3</v>
      </c>
      <c r="C98" s="96" t="s">
        <v>411</v>
      </c>
      <c r="D98" s="97" t="s">
        <v>412</v>
      </c>
    </row>
    <row r="99" spans="1:4" x14ac:dyDescent="0.25">
      <c r="A99" s="94" t="s">
        <v>154</v>
      </c>
      <c r="B99" s="94" t="s">
        <v>3</v>
      </c>
      <c r="C99" s="96" t="s">
        <v>413</v>
      </c>
      <c r="D99" s="97" t="s">
        <v>414</v>
      </c>
    </row>
    <row r="100" spans="1:4" x14ac:dyDescent="0.25">
      <c r="A100" s="94" t="s">
        <v>155</v>
      </c>
      <c r="B100" s="94" t="s">
        <v>3</v>
      </c>
      <c r="C100" s="96" t="s">
        <v>415</v>
      </c>
      <c r="D100" s="97" t="s">
        <v>416</v>
      </c>
    </row>
    <row r="101" spans="1:4" x14ac:dyDescent="0.25">
      <c r="A101" s="94" t="s">
        <v>156</v>
      </c>
      <c r="B101" s="94" t="s">
        <v>3</v>
      </c>
      <c r="C101" s="96" t="s">
        <v>417</v>
      </c>
      <c r="D101" s="97" t="s">
        <v>418</v>
      </c>
    </row>
    <row r="102" spans="1:4" x14ac:dyDescent="0.25">
      <c r="A102" s="94" t="s">
        <v>157</v>
      </c>
      <c r="B102" s="94" t="s">
        <v>3</v>
      </c>
      <c r="C102" s="96" t="s">
        <v>419</v>
      </c>
      <c r="D102" s="97" t="s">
        <v>420</v>
      </c>
    </row>
    <row r="103" spans="1:4" x14ac:dyDescent="0.25">
      <c r="A103" s="94" t="s">
        <v>158</v>
      </c>
      <c r="B103" s="94" t="s">
        <v>3</v>
      </c>
      <c r="C103" s="96" t="s">
        <v>421</v>
      </c>
      <c r="D103" s="97" t="s">
        <v>422</v>
      </c>
    </row>
    <row r="104" spans="1:4" x14ac:dyDescent="0.25">
      <c r="A104" s="94" t="s">
        <v>159</v>
      </c>
      <c r="B104" s="94" t="s">
        <v>3</v>
      </c>
      <c r="C104" s="96" t="s">
        <v>423</v>
      </c>
      <c r="D104" s="97" t="s">
        <v>424</v>
      </c>
    </row>
    <row r="105" spans="1:4" x14ac:dyDescent="0.25">
      <c r="A105" s="94" t="s">
        <v>160</v>
      </c>
      <c r="B105" s="94" t="s">
        <v>3</v>
      </c>
      <c r="C105" s="96" t="s">
        <v>425</v>
      </c>
      <c r="D105" s="97" t="s">
        <v>426</v>
      </c>
    </row>
    <row r="106" spans="1:4" x14ac:dyDescent="0.25">
      <c r="A106" s="94" t="s">
        <v>161</v>
      </c>
      <c r="B106" s="94" t="s">
        <v>3</v>
      </c>
      <c r="C106" s="96" t="s">
        <v>427</v>
      </c>
      <c r="D106" s="97" t="s">
        <v>428</v>
      </c>
    </row>
    <row r="107" spans="1:4" x14ac:dyDescent="0.25">
      <c r="A107" s="94" t="s">
        <v>162</v>
      </c>
      <c r="B107" s="94" t="s">
        <v>3</v>
      </c>
      <c r="C107" s="96" t="s">
        <v>429</v>
      </c>
      <c r="D107" s="97" t="s">
        <v>430</v>
      </c>
    </row>
    <row r="108" spans="1:4" x14ac:dyDescent="0.25">
      <c r="A108" s="94" t="s">
        <v>163</v>
      </c>
      <c r="B108" s="94" t="s">
        <v>3</v>
      </c>
      <c r="C108" s="96" t="s">
        <v>431</v>
      </c>
      <c r="D108" s="97" t="s">
        <v>432</v>
      </c>
    </row>
    <row r="109" spans="1:4" x14ac:dyDescent="0.25">
      <c r="A109" s="94" t="s">
        <v>164</v>
      </c>
      <c r="B109" s="94" t="s">
        <v>3</v>
      </c>
      <c r="C109" s="96" t="s">
        <v>433</v>
      </c>
      <c r="D109" s="97" t="s">
        <v>434</v>
      </c>
    </row>
    <row r="110" spans="1:4" x14ac:dyDescent="0.25">
      <c r="A110" s="94" t="s">
        <v>165</v>
      </c>
      <c r="B110" s="94" t="s">
        <v>3</v>
      </c>
      <c r="C110" s="96" t="s">
        <v>435</v>
      </c>
      <c r="D110" s="97" t="s">
        <v>436</v>
      </c>
    </row>
    <row r="111" spans="1:4" x14ac:dyDescent="0.25">
      <c r="A111" s="94" t="s">
        <v>166</v>
      </c>
      <c r="B111" s="94" t="s">
        <v>3</v>
      </c>
      <c r="C111" s="96" t="s">
        <v>437</v>
      </c>
      <c r="D111" s="97" t="s">
        <v>438</v>
      </c>
    </row>
    <row r="112" spans="1:4" x14ac:dyDescent="0.25">
      <c r="A112" s="94" t="s">
        <v>167</v>
      </c>
      <c r="B112" s="94" t="s">
        <v>3</v>
      </c>
      <c r="C112" s="96" t="s">
        <v>439</v>
      </c>
      <c r="D112" s="97" t="s">
        <v>440</v>
      </c>
    </row>
    <row r="113" spans="1:5" x14ac:dyDescent="0.25">
      <c r="A113" s="94" t="s">
        <v>168</v>
      </c>
      <c r="B113" s="94" t="s">
        <v>3</v>
      </c>
      <c r="C113" s="96" t="s">
        <v>441</v>
      </c>
      <c r="D113" s="97" t="s">
        <v>442</v>
      </c>
    </row>
    <row r="114" spans="1:5" customFormat="1" x14ac:dyDescent="0.25">
      <c r="A114" t="s">
        <v>169</v>
      </c>
      <c r="B114" t="s">
        <v>248</v>
      </c>
      <c r="C114" s="1" t="s">
        <v>443</v>
      </c>
      <c r="D114" s="95" t="s">
        <v>444</v>
      </c>
      <c r="E114" t="s">
        <v>251</v>
      </c>
    </row>
    <row r="115" spans="1:5" customFormat="1" x14ac:dyDescent="0.25">
      <c r="A115" t="s">
        <v>170</v>
      </c>
      <c r="B115" t="s">
        <v>5</v>
      </c>
      <c r="C115" s="1" t="s">
        <v>445</v>
      </c>
      <c r="D115" s="95" t="s">
        <v>446</v>
      </c>
    </row>
    <row r="116" spans="1:5" x14ac:dyDescent="0.25">
      <c r="A116" s="94" t="s">
        <v>171</v>
      </c>
      <c r="B116" s="94" t="s">
        <v>3</v>
      </c>
      <c r="C116" s="96" t="s">
        <v>447</v>
      </c>
      <c r="D116" s="97" t="s">
        <v>448</v>
      </c>
    </row>
    <row r="117" spans="1:5" x14ac:dyDescent="0.25">
      <c r="A117" s="94" t="s">
        <v>172</v>
      </c>
      <c r="B117" s="94" t="s">
        <v>3</v>
      </c>
      <c r="C117" s="96" t="s">
        <v>449</v>
      </c>
      <c r="D117" s="97" t="s">
        <v>450</v>
      </c>
    </row>
    <row r="118" spans="1:5" x14ac:dyDescent="0.25">
      <c r="A118" s="94" t="s">
        <v>173</v>
      </c>
      <c r="B118" s="94" t="s">
        <v>3</v>
      </c>
      <c r="C118" s="96" t="s">
        <v>451</v>
      </c>
      <c r="D118" s="97" t="s">
        <v>452</v>
      </c>
    </row>
    <row r="119" spans="1:5" x14ac:dyDescent="0.25">
      <c r="A119" s="94" t="s">
        <v>174</v>
      </c>
      <c r="B119" s="94" t="s">
        <v>3</v>
      </c>
      <c r="C119" s="96" t="s">
        <v>453</v>
      </c>
      <c r="D119" s="97" t="s">
        <v>454</v>
      </c>
    </row>
    <row r="120" spans="1:5" x14ac:dyDescent="0.25">
      <c r="A120" s="94" t="s">
        <v>175</v>
      </c>
      <c r="B120" s="94" t="s">
        <v>3</v>
      </c>
      <c r="C120" s="96" t="s">
        <v>455</v>
      </c>
      <c r="D120" s="97" t="s">
        <v>456</v>
      </c>
    </row>
    <row r="121" spans="1:5" x14ac:dyDescent="0.25">
      <c r="A121" s="94" t="s">
        <v>176</v>
      </c>
      <c r="B121" s="94" t="s">
        <v>3</v>
      </c>
      <c r="C121" s="96" t="s">
        <v>457</v>
      </c>
      <c r="D121" s="97" t="s">
        <v>458</v>
      </c>
    </row>
    <row r="122" spans="1:5" x14ac:dyDescent="0.25">
      <c r="A122" s="94" t="s">
        <v>177</v>
      </c>
      <c r="B122" s="94" t="s">
        <v>3</v>
      </c>
      <c r="C122" s="96" t="s">
        <v>459</v>
      </c>
      <c r="D122" s="97" t="s">
        <v>460</v>
      </c>
    </row>
    <row r="123" spans="1:5" x14ac:dyDescent="0.25">
      <c r="A123" s="94" t="s">
        <v>178</v>
      </c>
      <c r="B123" s="94" t="s">
        <v>3</v>
      </c>
      <c r="C123" s="96" t="s">
        <v>461</v>
      </c>
      <c r="D123" s="97" t="s">
        <v>462</v>
      </c>
    </row>
    <row r="124" spans="1:5" x14ac:dyDescent="0.25">
      <c r="A124" s="94" t="s">
        <v>179</v>
      </c>
      <c r="B124" s="94" t="s">
        <v>3</v>
      </c>
      <c r="C124" s="96" t="s">
        <v>463</v>
      </c>
      <c r="D124" s="97" t="s">
        <v>464</v>
      </c>
    </row>
    <row r="125" spans="1:5" x14ac:dyDescent="0.25">
      <c r="A125" s="94" t="s">
        <v>180</v>
      </c>
      <c r="B125" s="94" t="s">
        <v>3</v>
      </c>
      <c r="C125" s="96" t="s">
        <v>465</v>
      </c>
      <c r="D125" s="97" t="s">
        <v>466</v>
      </c>
    </row>
    <row r="126" spans="1:5" x14ac:dyDescent="0.25">
      <c r="A126" s="94" t="s">
        <v>181</v>
      </c>
      <c r="B126" s="94" t="s">
        <v>3</v>
      </c>
      <c r="C126" s="96" t="s">
        <v>467</v>
      </c>
      <c r="D126" s="97" t="s">
        <v>468</v>
      </c>
    </row>
    <row r="127" spans="1:5" x14ac:dyDescent="0.25">
      <c r="A127" s="94" t="s">
        <v>182</v>
      </c>
      <c r="B127" s="94" t="s">
        <v>3</v>
      </c>
      <c r="C127" s="96" t="s">
        <v>469</v>
      </c>
      <c r="D127" s="97" t="s">
        <v>470</v>
      </c>
    </row>
    <row r="128" spans="1:5" x14ac:dyDescent="0.25">
      <c r="A128" s="94" t="s">
        <v>183</v>
      </c>
      <c r="B128" s="94" t="s">
        <v>3</v>
      </c>
      <c r="C128" s="96" t="s">
        <v>471</v>
      </c>
      <c r="D128" s="97" t="s">
        <v>472</v>
      </c>
    </row>
    <row r="129" spans="1:5" x14ac:dyDescent="0.25">
      <c r="A129" s="94" t="s">
        <v>184</v>
      </c>
      <c r="B129" s="94" t="s">
        <v>3</v>
      </c>
      <c r="C129" s="96" t="s">
        <v>473</v>
      </c>
      <c r="D129" s="97" t="s">
        <v>474</v>
      </c>
    </row>
    <row r="130" spans="1:5" customFormat="1" x14ac:dyDescent="0.25">
      <c r="A130" t="s">
        <v>185</v>
      </c>
      <c r="B130" t="s">
        <v>248</v>
      </c>
      <c r="C130" s="1" t="s">
        <v>475</v>
      </c>
      <c r="D130" s="95" t="s">
        <v>476</v>
      </c>
      <c r="E130" t="s">
        <v>251</v>
      </c>
    </row>
    <row r="131" spans="1:5" customFormat="1" x14ac:dyDescent="0.25">
      <c r="A131" t="s">
        <v>186</v>
      </c>
      <c r="B131" t="s">
        <v>5</v>
      </c>
      <c r="C131" s="1" t="s">
        <v>477</v>
      </c>
      <c r="D131" s="95" t="s">
        <v>478</v>
      </c>
    </row>
    <row r="132" spans="1:5" x14ac:dyDescent="0.25">
      <c r="A132" s="94" t="s">
        <v>187</v>
      </c>
      <c r="B132" s="94" t="s">
        <v>3</v>
      </c>
      <c r="C132" s="96" t="s">
        <v>479</v>
      </c>
      <c r="D132" s="97" t="s">
        <v>480</v>
      </c>
    </row>
    <row r="133" spans="1:5" x14ac:dyDescent="0.25">
      <c r="A133" s="94" t="s">
        <v>188</v>
      </c>
      <c r="B133" s="94" t="s">
        <v>3</v>
      </c>
      <c r="C133" s="96" t="s">
        <v>481</v>
      </c>
      <c r="D133" s="97" t="s">
        <v>482</v>
      </c>
    </row>
    <row r="134" spans="1:5" x14ac:dyDescent="0.25">
      <c r="A134" s="94" t="s">
        <v>189</v>
      </c>
      <c r="B134" s="94" t="s">
        <v>3</v>
      </c>
      <c r="C134" s="96" t="s">
        <v>483</v>
      </c>
      <c r="D134" s="97" t="s">
        <v>484</v>
      </c>
    </row>
    <row r="135" spans="1:5" x14ac:dyDescent="0.25">
      <c r="A135" s="94" t="s">
        <v>190</v>
      </c>
      <c r="B135" s="94" t="s">
        <v>3</v>
      </c>
      <c r="C135" s="96" t="s">
        <v>485</v>
      </c>
      <c r="D135" s="97" t="s">
        <v>486</v>
      </c>
    </row>
    <row r="136" spans="1:5" x14ac:dyDescent="0.25">
      <c r="A136" s="94" t="s">
        <v>191</v>
      </c>
      <c r="B136" s="94" t="s">
        <v>3</v>
      </c>
      <c r="C136" s="96" t="s">
        <v>487</v>
      </c>
      <c r="D136" s="97" t="s">
        <v>488</v>
      </c>
    </row>
    <row r="137" spans="1:5" x14ac:dyDescent="0.25">
      <c r="A137" s="94" t="s">
        <v>192</v>
      </c>
      <c r="B137" s="94" t="s">
        <v>3</v>
      </c>
      <c r="C137" s="96" t="s">
        <v>489</v>
      </c>
      <c r="D137" s="97" t="s">
        <v>490</v>
      </c>
    </row>
    <row r="138" spans="1:5" customFormat="1" x14ac:dyDescent="0.25">
      <c r="A138" t="s">
        <v>491</v>
      </c>
      <c r="B138" t="s">
        <v>248</v>
      </c>
      <c r="C138" s="1" t="s">
        <v>492</v>
      </c>
      <c r="D138" s="95" t="s">
        <v>493</v>
      </c>
      <c r="E138" t="s">
        <v>251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" style="2" customWidth="1"/>
    <col min="3" max="3" width="19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81</v>
      </c>
    </row>
    <row r="2" spans="1:7" x14ac:dyDescent="0.25">
      <c r="A2" s="2" t="str">
        <f>TEXT(A1,"0.00")</f>
        <v>4.25</v>
      </c>
      <c r="B2" s="2" t="str">
        <f>VLOOKUP(A$2,Eixo4[],3,FALSE)</f>
        <v>Com relação à oferta de editais anuais de apoio à pesquisa destinados aos docentes, avalie os itens a seguir: [Edital de Apoio a Atividades de Pesquisa]</v>
      </c>
    </row>
    <row r="3" spans="1:7" x14ac:dyDescent="0.25">
      <c r="A3" s="2" t="s">
        <v>494</v>
      </c>
      <c r="B3" s="2" t="str">
        <f>VLOOKUP(A$2,Eixo4[],4,FALSE)</f>
        <v>Eixo 4: Questão 25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4</v>
      </c>
      <c r="E6" s="4">
        <f>E13-SUM(E7:E12)</f>
        <v>14</v>
      </c>
      <c r="F6" s="4">
        <f>ROUND($E6/E$13*100,2)</f>
        <v>58.33</v>
      </c>
    </row>
    <row r="7" spans="1:7" x14ac:dyDescent="0.25">
      <c r="B7" s="2" t="s">
        <v>203</v>
      </c>
      <c r="C7" s="4">
        <f>COUNTIFS(Resp4[Vínculo],"tecnico",Resp4[4.25],B7)</f>
        <v>0</v>
      </c>
      <c r="D7" s="4">
        <f>COUNTIFS(Resp4[Vínculo],"docente",Resp4[4.25],B7)</f>
        <v>4</v>
      </c>
      <c r="E7" s="4">
        <f>COUNTIF(Resp4[4.25],B7)</f>
        <v>4</v>
      </c>
      <c r="F7" s="4">
        <f t="shared" ref="F7:F13" si="0">ROUND($E7/E$13*100,2)</f>
        <v>16.670000000000002</v>
      </c>
      <c r="G7" s="3">
        <f t="shared" ref="G7:G12" si="1">ROUND($E7/SUM($E$7:$E$12)*100,3)</f>
        <v>40</v>
      </c>
    </row>
    <row r="8" spans="1:7" x14ac:dyDescent="0.25">
      <c r="B8" s="2" t="s">
        <v>204</v>
      </c>
      <c r="C8" s="4">
        <f>COUNTIFS(Resp4[Vínculo],"tecnico",Resp4[4.25],B8)</f>
        <v>0</v>
      </c>
      <c r="D8" s="4">
        <f>COUNTIFS(Resp4[Vínculo],"docente",Resp4[4.25],B8)</f>
        <v>0</v>
      </c>
      <c r="E8" s="4">
        <f>COUNTIF(Resp4[4.25],B8)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COUNTIFS(Resp4[Vínculo],"tecnico",Resp4[4.25],B9)</f>
        <v>1</v>
      </c>
      <c r="D9" s="4">
        <f>COUNTIFS(Resp4[Vínculo],"docente",Resp4[4.25],B9)</f>
        <v>0</v>
      </c>
      <c r="E9" s="4">
        <f>COUNTIF(Resp4[4.25],B9)</f>
        <v>1</v>
      </c>
      <c r="F9" s="4">
        <f t="shared" si="0"/>
        <v>4.17</v>
      </c>
      <c r="G9" s="3">
        <f t="shared" si="1"/>
        <v>10</v>
      </c>
    </row>
    <row r="10" spans="1:7" x14ac:dyDescent="0.25">
      <c r="B10" s="2" t="s">
        <v>30</v>
      </c>
      <c r="C10" s="4">
        <f>COUNTIFS(Resp4[Vínculo],"tecnico",Resp4[4.25],B10)</f>
        <v>0</v>
      </c>
      <c r="D10" s="4">
        <f>COUNTIFS(Resp4[Vínculo],"docente",Resp4[4.25],B10)</f>
        <v>4</v>
      </c>
      <c r="E10" s="4">
        <f>COUNTIF(Resp4[4.25],B10)</f>
        <v>4</v>
      </c>
      <c r="F10" s="4">
        <f t="shared" si="0"/>
        <v>16.670000000000002</v>
      </c>
      <c r="G10" s="3">
        <f t="shared" si="1"/>
        <v>40</v>
      </c>
    </row>
    <row r="11" spans="1:7" x14ac:dyDescent="0.25">
      <c r="B11" s="2" t="s">
        <v>200</v>
      </c>
      <c r="C11" s="4">
        <f>COUNTIFS(Resp4[Vínculo],"tecnico",Resp4[4.25],B11)</f>
        <v>0</v>
      </c>
      <c r="D11" s="4">
        <f>COUNTIFS(Resp4[Vínculo],"docente",Resp4[4.25],B11)</f>
        <v>0</v>
      </c>
      <c r="E11" s="4">
        <f>COUNTIF(Resp4[4.25],B11)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197</v>
      </c>
      <c r="C12" s="4">
        <f>COUNTIFS(Resp4[Vínculo],"tecnico",Resp4[4.25],B12)</f>
        <v>0</v>
      </c>
      <c r="D12" s="4">
        <f>COUNTIFS(Resp4[Vínculo],"docente",Resp4[4.25],B12)</f>
        <v>1</v>
      </c>
      <c r="E12" s="4">
        <f>COUNTIF(Resp4[4.25],B12)</f>
        <v>1</v>
      </c>
      <c r="F12" s="22">
        <f t="shared" si="0"/>
        <v>4.17</v>
      </c>
      <c r="G12" s="3">
        <f t="shared" si="1"/>
        <v>10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100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4</v>
      </c>
      <c r="E26" s="15">
        <f>ROUND(D26/SUM(D$25:D$28)*100,3)</f>
        <v>44.444000000000003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44.444000000000003</v>
      </c>
    </row>
    <row r="28" spans="2:7" x14ac:dyDescent="0.25">
      <c r="B28" s="32" t="s">
        <v>33</v>
      </c>
      <c r="C28" s="32" t="s">
        <v>32</v>
      </c>
      <c r="D28" s="18">
        <f>SUM(D11:D12)</f>
        <v>1</v>
      </c>
      <c r="E28" s="19">
        <f>ROUND(D28/SUM(D$25:D$28)*100,3)</f>
        <v>11.111000000000001</v>
      </c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2.85546875" style="2" customWidth="1"/>
    <col min="3" max="3" width="19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82</v>
      </c>
    </row>
    <row r="2" spans="1:7" x14ac:dyDescent="0.25">
      <c r="A2" s="2" t="str">
        <f>TEXT(A1,"0.00")</f>
        <v>4.26</v>
      </c>
      <c r="B2" s="2" t="str">
        <f>VLOOKUP(A$2,Eixo4[],3,FALSE)</f>
        <v>Com relação à oferta de editais anuais de apoio à pesquisa destinados aos docentes, avalie os itens a seguir: [Edital de Apoio à Manutenção de Equipamentos de Pesquisa]</v>
      </c>
    </row>
    <row r="3" spans="1:7" x14ac:dyDescent="0.25">
      <c r="A3" s="2" t="s">
        <v>494</v>
      </c>
      <c r="B3" s="2" t="str">
        <f>VLOOKUP(A$2,Eixo4[],4,FALSE)</f>
        <v>Eixo 4: Questão 26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4</v>
      </c>
      <c r="E6" s="4">
        <f>E13-SUM(E7:E12)</f>
        <v>14</v>
      </c>
      <c r="F6" s="4">
        <f>ROUND($E6/E$13*100,2)</f>
        <v>58.33</v>
      </c>
    </row>
    <row r="7" spans="1:7" x14ac:dyDescent="0.25">
      <c r="B7" s="2" t="s">
        <v>203</v>
      </c>
      <c r="C7" s="4">
        <f>COUNTIFS(Resp4[Vínculo],"tecnico",Resp4[4.26],B7)</f>
        <v>0</v>
      </c>
      <c r="D7" s="4">
        <f>COUNTIFS(Resp4[Vínculo],"docente",Resp4[4.26],B7)</f>
        <v>4</v>
      </c>
      <c r="E7" s="4">
        <f>COUNTIF(Resp4[4.26],B7)</f>
        <v>4</v>
      </c>
      <c r="F7" s="4">
        <f t="shared" ref="F7:F13" si="0">ROUND($E7/E$13*100,2)</f>
        <v>16.670000000000002</v>
      </c>
      <c r="G7" s="3">
        <f t="shared" ref="G7:G12" si="1">ROUND($E7/SUM($E$7:$E$12)*100,3)</f>
        <v>40</v>
      </c>
    </row>
    <row r="8" spans="1:7" x14ac:dyDescent="0.25">
      <c r="B8" s="2" t="s">
        <v>204</v>
      </c>
      <c r="C8" s="4">
        <f>COUNTIFS(Resp4[Vínculo],"tecnico",Resp4[4.26],B8)</f>
        <v>1</v>
      </c>
      <c r="D8" s="4">
        <f>COUNTIFS(Resp4[Vínculo],"docente",Resp4[4.26],B8)</f>
        <v>0</v>
      </c>
      <c r="E8" s="4">
        <f>COUNTIF(Resp4[4.26],B8)</f>
        <v>1</v>
      </c>
      <c r="F8" s="4">
        <f t="shared" si="0"/>
        <v>4.17</v>
      </c>
      <c r="G8" s="3">
        <f t="shared" si="1"/>
        <v>10</v>
      </c>
    </row>
    <row r="9" spans="1:7" x14ac:dyDescent="0.25">
      <c r="B9" s="2" t="s">
        <v>202</v>
      </c>
      <c r="C9" s="4">
        <f>COUNTIFS(Resp4[Vínculo],"tecnico",Resp4[4.26],B9)</f>
        <v>0</v>
      </c>
      <c r="D9" s="4">
        <f>COUNTIFS(Resp4[Vínculo],"docente",Resp4[4.26],B9)</f>
        <v>2</v>
      </c>
      <c r="E9" s="4">
        <f>COUNTIF(Resp4[4.26],B9)</f>
        <v>2</v>
      </c>
      <c r="F9" s="4">
        <f t="shared" si="0"/>
        <v>8.33</v>
      </c>
      <c r="G9" s="3">
        <f t="shared" si="1"/>
        <v>20</v>
      </c>
    </row>
    <row r="10" spans="1:7" x14ac:dyDescent="0.25">
      <c r="B10" s="2" t="s">
        <v>30</v>
      </c>
      <c r="C10" s="4">
        <f>COUNTIFS(Resp4[Vínculo],"tecnico",Resp4[4.26],B10)</f>
        <v>0</v>
      </c>
      <c r="D10" s="4">
        <f>COUNTIFS(Resp4[Vínculo],"docente",Resp4[4.26],B10)</f>
        <v>2</v>
      </c>
      <c r="E10" s="4">
        <f>COUNTIF(Resp4[4.26],B10)</f>
        <v>2</v>
      </c>
      <c r="F10" s="4">
        <f t="shared" si="0"/>
        <v>8.33</v>
      </c>
      <c r="G10" s="3">
        <f t="shared" si="1"/>
        <v>20</v>
      </c>
    </row>
    <row r="11" spans="1:7" x14ac:dyDescent="0.25">
      <c r="B11" s="2" t="s">
        <v>200</v>
      </c>
      <c r="C11" s="4">
        <f>COUNTIFS(Resp4[Vínculo],"tecnico",Resp4[4.26],B11)</f>
        <v>0</v>
      </c>
      <c r="D11" s="4">
        <f>COUNTIFS(Resp4[Vínculo],"docente",Resp4[4.26],B11)</f>
        <v>0</v>
      </c>
      <c r="E11" s="4">
        <f>COUNTIF(Resp4[4.26],B11)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197</v>
      </c>
      <c r="C12" s="4">
        <f>COUNTIFS(Resp4[Vínculo],"tecnico",Resp4[4.26],B12)</f>
        <v>0</v>
      </c>
      <c r="D12" s="4">
        <f>COUNTIFS(Resp4[Vínculo],"docente",Resp4[4.26],B12)</f>
        <v>1</v>
      </c>
      <c r="E12" s="4">
        <f>COUNTIF(Resp4[4.26],B12)</f>
        <v>1</v>
      </c>
      <c r="F12" s="22">
        <f t="shared" si="0"/>
        <v>4.17</v>
      </c>
      <c r="G12" s="3">
        <f t="shared" si="1"/>
        <v>10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100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22.222000000000001</v>
      </c>
    </row>
    <row r="26" spans="2:7" x14ac:dyDescent="0.25">
      <c r="B26" s="16" t="s">
        <v>505</v>
      </c>
      <c r="C26" s="16" t="s">
        <v>23</v>
      </c>
      <c r="D26" s="14">
        <f>D7</f>
        <v>4</v>
      </c>
      <c r="E26" s="15">
        <f>ROUND(D26/SUM(D$25:D$28)*100,3)</f>
        <v>44.444000000000003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22.222000000000001</v>
      </c>
    </row>
    <row r="28" spans="2:7" x14ac:dyDescent="0.25">
      <c r="B28" s="32" t="s">
        <v>33</v>
      </c>
      <c r="C28" s="32" t="s">
        <v>32</v>
      </c>
      <c r="D28" s="18">
        <f>SUM(D11:D12)</f>
        <v>1</v>
      </c>
      <c r="E28" s="19">
        <f>ROUND(D28/SUM(D$25:D$28)*100,3)</f>
        <v>11.111000000000001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" style="2" customWidth="1"/>
    <col min="3" max="3" width="18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83</v>
      </c>
    </row>
    <row r="2" spans="1:7" x14ac:dyDescent="0.25">
      <c r="A2" s="2" t="str">
        <f>TEXT(A1,"0.00")</f>
        <v>4.27</v>
      </c>
      <c r="B2" s="2" t="str">
        <f>VLOOKUP(A$2,Eixo4[],3,FALSE)</f>
        <v>Com relação à oferta de editais anuais de apoio à pesquisa destinados aos docentes, avalie os itens a seguir: [Edital de Apoio a Publicações Científicas Internacionais]</v>
      </c>
    </row>
    <row r="3" spans="1:7" x14ac:dyDescent="0.25">
      <c r="A3" s="2" t="s">
        <v>494</v>
      </c>
      <c r="B3" s="2" t="str">
        <f>VLOOKUP(A$2,Eixo4[],4,FALSE)</f>
        <v>Eixo 4: Questão 27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4</v>
      </c>
      <c r="E6" s="4">
        <f>E13-SUM(E7:E12)</f>
        <v>14</v>
      </c>
      <c r="F6" s="4">
        <f>ROUND($E6/E$13*100,2)</f>
        <v>58.33</v>
      </c>
    </row>
    <row r="7" spans="1:7" x14ac:dyDescent="0.25">
      <c r="B7" s="2" t="s">
        <v>203</v>
      </c>
      <c r="C7" s="4">
        <f>COUNTIFS(Resp4[Vínculo],"tecnico",Resp4[4.27],B7)</f>
        <v>0</v>
      </c>
      <c r="D7" s="4">
        <f>COUNTIFS(Resp4[Vínculo],"docente",Resp4[4.27],B7)</f>
        <v>4</v>
      </c>
      <c r="E7" s="4">
        <f>COUNTIF(Resp4[4.27],B7)</f>
        <v>4</v>
      </c>
      <c r="F7" s="4">
        <f t="shared" ref="F7:F13" si="0">ROUND($E7/E$13*100,2)</f>
        <v>16.670000000000002</v>
      </c>
      <c r="G7" s="3">
        <f t="shared" ref="G7:G12" si="1">ROUND($E7/SUM($E$7:$E$12)*100,3)</f>
        <v>40</v>
      </c>
    </row>
    <row r="8" spans="1:7" x14ac:dyDescent="0.25">
      <c r="B8" s="2" t="s">
        <v>204</v>
      </c>
      <c r="C8" s="4">
        <f>COUNTIFS(Resp4[Vínculo],"tecnico",Resp4[4.27],B8)</f>
        <v>0</v>
      </c>
      <c r="D8" s="4">
        <f>COUNTIFS(Resp4[Vínculo],"docente",Resp4[4.27],B8)</f>
        <v>1</v>
      </c>
      <c r="E8" s="4">
        <f>COUNTIF(Resp4[4.27],B8)</f>
        <v>1</v>
      </c>
      <c r="F8" s="4">
        <f t="shared" si="0"/>
        <v>4.17</v>
      </c>
      <c r="G8" s="3">
        <f t="shared" si="1"/>
        <v>10</v>
      </c>
    </row>
    <row r="9" spans="1:7" x14ac:dyDescent="0.25">
      <c r="B9" s="2" t="s">
        <v>202</v>
      </c>
      <c r="C9" s="4">
        <f>COUNTIFS(Resp4[Vínculo],"tecnico",Resp4[4.27],B9)</f>
        <v>0</v>
      </c>
      <c r="D9" s="4">
        <f>COUNTIFS(Resp4[Vínculo],"docente",Resp4[4.27],B9)</f>
        <v>1</v>
      </c>
      <c r="E9" s="4">
        <f>COUNTIF(Resp4[4.27],B9)</f>
        <v>1</v>
      </c>
      <c r="F9" s="4">
        <f t="shared" si="0"/>
        <v>4.17</v>
      </c>
      <c r="G9" s="3">
        <f t="shared" si="1"/>
        <v>10</v>
      </c>
    </row>
    <row r="10" spans="1:7" x14ac:dyDescent="0.25">
      <c r="B10" s="2" t="s">
        <v>30</v>
      </c>
      <c r="C10" s="4">
        <f>COUNTIFS(Resp4[Vínculo],"tecnico",Resp4[4.27],B10)</f>
        <v>1</v>
      </c>
      <c r="D10" s="4">
        <f>COUNTIFS(Resp4[Vínculo],"docente",Resp4[4.27],B10)</f>
        <v>2</v>
      </c>
      <c r="E10" s="4">
        <f>COUNTIF(Resp4[4.27],B10)</f>
        <v>3</v>
      </c>
      <c r="F10" s="4">
        <f t="shared" si="0"/>
        <v>12.5</v>
      </c>
      <c r="G10" s="3">
        <f t="shared" si="1"/>
        <v>30</v>
      </c>
    </row>
    <row r="11" spans="1:7" x14ac:dyDescent="0.25">
      <c r="B11" s="2" t="s">
        <v>200</v>
      </c>
      <c r="C11" s="4">
        <f>COUNTIFS(Resp4[Vínculo],"tecnico",Resp4[4.27],B11)</f>
        <v>0</v>
      </c>
      <c r="D11" s="4">
        <f>COUNTIFS(Resp4[Vínculo],"docente",Resp4[4.27],B11)</f>
        <v>1</v>
      </c>
      <c r="E11" s="4">
        <f>COUNTIF(Resp4[4.27],B11)</f>
        <v>1</v>
      </c>
      <c r="F11" s="4">
        <f t="shared" si="0"/>
        <v>4.17</v>
      </c>
      <c r="G11" s="3">
        <f t="shared" si="1"/>
        <v>10</v>
      </c>
    </row>
    <row r="12" spans="1:7" x14ac:dyDescent="0.25">
      <c r="B12" s="7" t="s">
        <v>197</v>
      </c>
      <c r="C12" s="4">
        <f>COUNTIFS(Resp4[Vínculo],"tecnico",Resp4[4.27],B12)</f>
        <v>0</v>
      </c>
      <c r="D12" s="4">
        <f>COUNTIFS(Resp4[Vínculo],"docente",Resp4[4.27],B12)</f>
        <v>0</v>
      </c>
      <c r="E12" s="4">
        <f>COUNTIF(Resp4[4.27],B12)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100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22.222000000000001</v>
      </c>
    </row>
    <row r="26" spans="2:7" x14ac:dyDescent="0.25">
      <c r="B26" s="16" t="s">
        <v>505</v>
      </c>
      <c r="C26" s="16" t="s">
        <v>23</v>
      </c>
      <c r="D26" s="14">
        <f>D7</f>
        <v>4</v>
      </c>
      <c r="E26" s="15">
        <f>ROUND(D26/SUM(D$25:D$28)*100,3)</f>
        <v>44.444000000000003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22.222000000000001</v>
      </c>
    </row>
    <row r="28" spans="2:7" x14ac:dyDescent="0.25">
      <c r="B28" s="32" t="s">
        <v>33</v>
      </c>
      <c r="C28" s="32" t="s">
        <v>32</v>
      </c>
      <c r="D28" s="18">
        <f>SUM(D11:D12)</f>
        <v>1</v>
      </c>
      <c r="E28" s="19">
        <f>ROUND(D28/SUM(D$25:D$28)*100,3)</f>
        <v>11.111000000000001</v>
      </c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.28515625" style="2" customWidth="1"/>
    <col min="3" max="3" width="16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84</v>
      </c>
    </row>
    <row r="2" spans="1:7" x14ac:dyDescent="0.25">
      <c r="A2" s="2" t="str">
        <f>TEXT(A1,"0.00")</f>
        <v>4.28</v>
      </c>
      <c r="B2" s="2" t="str">
        <f>VLOOKUP(A$2,Eixo4[],3,FALSE)</f>
        <v>Com relação à oferta de editais anuais de apoio à pesquisa destinados aos docentes, avalie os itens a seguir: [Edital de apoio à participação e organização de eventos]</v>
      </c>
    </row>
    <row r="3" spans="1:7" x14ac:dyDescent="0.25">
      <c r="A3" s="2" t="s">
        <v>494</v>
      </c>
      <c r="B3" s="2" t="str">
        <f>VLOOKUP(A$2,Eixo4[],4,FALSE)</f>
        <v>Eixo 4: Questão 28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10</v>
      </c>
      <c r="D6" s="2">
        <f>COUNTIF(Resp4[Vínculo],"docente")-SUM(D$7:D$12)</f>
        <v>4</v>
      </c>
      <c r="E6" s="4">
        <f>E13-SUM(E7:E12)</f>
        <v>14</v>
      </c>
      <c r="F6" s="4">
        <f>ROUND($E6/E$13*100,2)</f>
        <v>58.33</v>
      </c>
    </row>
    <row r="7" spans="1:7" x14ac:dyDescent="0.25">
      <c r="B7" s="2" t="s">
        <v>203</v>
      </c>
      <c r="C7" s="4">
        <f>COUNTIFS(Resp4[Vínculo],"tecnico",Resp4[4.28],B7)</f>
        <v>0</v>
      </c>
      <c r="D7" s="4">
        <f>COUNTIFS(Resp4[Vínculo],"docente",Resp4[4.28],B7)</f>
        <v>4</v>
      </c>
      <c r="E7" s="4">
        <f>COUNTIF(Resp4[4.28],B7)</f>
        <v>4</v>
      </c>
      <c r="F7" s="4">
        <f t="shared" ref="F7:F13" si="0">ROUND($E7/E$13*100,2)</f>
        <v>16.670000000000002</v>
      </c>
      <c r="G7" s="3">
        <f t="shared" ref="G7:G12" si="1">ROUND($E7/SUM($E$7:$E$12)*100,3)</f>
        <v>40</v>
      </c>
    </row>
    <row r="8" spans="1:7" x14ac:dyDescent="0.25">
      <c r="B8" s="2" t="s">
        <v>204</v>
      </c>
      <c r="C8" s="4">
        <f>COUNTIFS(Resp4[Vínculo],"tecnico",Resp4[4.28],B8)</f>
        <v>0</v>
      </c>
      <c r="D8" s="4">
        <f>COUNTIFS(Resp4[Vínculo],"docente",Resp4[4.28],B8)</f>
        <v>0</v>
      </c>
      <c r="E8" s="4">
        <f>COUNTIF(Resp4[4.28],B8)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COUNTIFS(Resp4[Vínculo],"tecnico",Resp4[4.28],B9)</f>
        <v>0</v>
      </c>
      <c r="D9" s="4">
        <f>COUNTIFS(Resp4[Vínculo],"docente",Resp4[4.28],B9)</f>
        <v>1</v>
      </c>
      <c r="E9" s="4">
        <f>COUNTIF(Resp4[4.28],B9)</f>
        <v>1</v>
      </c>
      <c r="F9" s="4">
        <f t="shared" si="0"/>
        <v>4.17</v>
      </c>
      <c r="G9" s="3">
        <f t="shared" si="1"/>
        <v>10</v>
      </c>
    </row>
    <row r="10" spans="1:7" x14ac:dyDescent="0.25">
      <c r="B10" s="2" t="s">
        <v>30</v>
      </c>
      <c r="C10" s="4">
        <f>COUNTIFS(Resp4[Vínculo],"tecnico",Resp4[4.28],B10)</f>
        <v>1</v>
      </c>
      <c r="D10" s="4">
        <f>COUNTIFS(Resp4[Vínculo],"docente",Resp4[4.28],B10)</f>
        <v>2</v>
      </c>
      <c r="E10" s="4">
        <f>COUNTIF(Resp4[4.28],B10)</f>
        <v>3</v>
      </c>
      <c r="F10" s="4">
        <f t="shared" si="0"/>
        <v>12.5</v>
      </c>
      <c r="G10" s="3">
        <f t="shared" si="1"/>
        <v>30</v>
      </c>
    </row>
    <row r="11" spans="1:7" x14ac:dyDescent="0.25">
      <c r="B11" s="2" t="s">
        <v>200</v>
      </c>
      <c r="C11" s="4">
        <f>COUNTIFS(Resp4[Vínculo],"tecnico",Resp4[4.28],B11)</f>
        <v>0</v>
      </c>
      <c r="D11" s="4">
        <f>COUNTIFS(Resp4[Vínculo],"docente",Resp4[4.28],B11)</f>
        <v>1</v>
      </c>
      <c r="E11" s="4">
        <f>COUNTIF(Resp4[4.28],B11)</f>
        <v>1</v>
      </c>
      <c r="F11" s="4">
        <f t="shared" si="0"/>
        <v>4.17</v>
      </c>
      <c r="G11" s="3">
        <f t="shared" si="1"/>
        <v>10</v>
      </c>
    </row>
    <row r="12" spans="1:7" x14ac:dyDescent="0.25">
      <c r="B12" s="7" t="s">
        <v>197</v>
      </c>
      <c r="C12" s="4">
        <f>COUNTIFS(Resp4[Vínculo],"tecnico",Resp4[4.28],B12)</f>
        <v>0</v>
      </c>
      <c r="D12" s="4">
        <f>COUNTIFS(Resp4[Vínculo],"docente",Resp4[4.28],B12)</f>
        <v>1</v>
      </c>
      <c r="E12" s="4">
        <f>COUNTIF(Resp4[4.28],B12)</f>
        <v>1</v>
      </c>
      <c r="F12" s="22">
        <f t="shared" si="0"/>
        <v>4.17</v>
      </c>
      <c r="G12" s="3">
        <f t="shared" si="1"/>
        <v>10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100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11.111000000000001</v>
      </c>
    </row>
    <row r="26" spans="2:7" x14ac:dyDescent="0.25">
      <c r="B26" s="16" t="s">
        <v>505</v>
      </c>
      <c r="C26" s="16" t="s">
        <v>23</v>
      </c>
      <c r="D26" s="14">
        <f>D7</f>
        <v>4</v>
      </c>
      <c r="E26" s="15">
        <f>ROUND(D26/SUM(D$25:D$28)*100,3)</f>
        <v>44.444000000000003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22.222000000000001</v>
      </c>
    </row>
    <row r="28" spans="2:7" x14ac:dyDescent="0.25">
      <c r="B28" s="32" t="s">
        <v>33</v>
      </c>
      <c r="C28" s="32" t="s">
        <v>32</v>
      </c>
      <c r="D28" s="18">
        <f>SUM(D11:D12)</f>
        <v>2</v>
      </c>
      <c r="E28" s="19">
        <f>ROUND(D28/SUM(D$25:D$28)*100,3)</f>
        <v>22.222000000000001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3.140625" style="2" customWidth="1"/>
    <col min="3" max="3" width="20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85</v>
      </c>
    </row>
    <row r="2" spans="1:7" x14ac:dyDescent="0.25">
      <c r="A2" s="2" t="str">
        <f>TEXT(A1,"0.00")</f>
        <v>4.29</v>
      </c>
      <c r="B2" s="2" t="str">
        <f>VLOOKUP(A$2,Eixo4[],3,FALSE)</f>
        <v>Com relação à oferta de editais anuais de apoio à pesquisa destinados aos técnicos, avalie os itens a seguir: [Edital de Apoio a Atividades de Pesquisa]</v>
      </c>
    </row>
    <row r="3" spans="1:7" x14ac:dyDescent="0.25">
      <c r="A3" s="2" t="s">
        <v>494</v>
      </c>
      <c r="B3" s="2" t="str">
        <f>VLOOKUP(A$2,Eixo4[],4,FALSE)</f>
        <v>Eixo 4: Questão 29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13</v>
      </c>
      <c r="E6" s="4">
        <f>E13-SUM(E7:E12)</f>
        <v>24</v>
      </c>
      <c r="F6" s="4">
        <f>ROUND($E6/E$13*100,2)</f>
        <v>100</v>
      </c>
    </row>
    <row r="7" spans="1:7" x14ac:dyDescent="0.25">
      <c r="B7" s="2" t="s">
        <v>203</v>
      </c>
      <c r="C7" s="4">
        <f>COUNTIFS(Resp4[Vínculo],"tecnico",Resp4[4.29],B7)</f>
        <v>0</v>
      </c>
      <c r="D7" s="4">
        <f>COUNTIFS(Resp4[Vínculo],"docente",Resp4[4.29],B7)</f>
        <v>0</v>
      </c>
      <c r="E7" s="4">
        <f>COUNTIF(Resp4[4.29],B7)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204</v>
      </c>
      <c r="C8" s="4">
        <f>COUNTIFS(Resp4[Vínculo],"tecnico",Resp4[4.29],B8)</f>
        <v>0</v>
      </c>
      <c r="D8" s="4">
        <f>COUNTIFS(Resp4[Vínculo],"docente",Resp4[4.29],B8)</f>
        <v>0</v>
      </c>
      <c r="E8" s="4">
        <f>COUNTIF(Resp4[4.29],B8)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COUNTIFS(Resp4[Vínculo],"tecnico",Resp4[4.29],B9)</f>
        <v>0</v>
      </c>
      <c r="D9" s="4">
        <f>COUNTIFS(Resp4[Vínculo],"docente",Resp4[4.29],B9)</f>
        <v>0</v>
      </c>
      <c r="E9" s="4">
        <f>COUNTIF(Resp4[4.29],B9)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COUNTIFS(Resp4[Vínculo],"tecnico",Resp4[4.29],B10)</f>
        <v>0</v>
      </c>
      <c r="D10" s="4">
        <f>COUNTIFS(Resp4[Vínculo],"docente",Resp4[4.29],B10)</f>
        <v>0</v>
      </c>
      <c r="E10" s="4">
        <f>COUNTIF(Resp4[4.29],B10)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200</v>
      </c>
      <c r="C11" s="4">
        <f>COUNTIFS(Resp4[Vínculo],"tecnico",Resp4[4.29],B11)</f>
        <v>0</v>
      </c>
      <c r="D11" s="4">
        <f>COUNTIFS(Resp4[Vínculo],"docente",Resp4[4.29],B11)</f>
        <v>0</v>
      </c>
      <c r="E11" s="4">
        <f>COUNTIF(Resp4[4.29],B11)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COUNTIFS(Resp4[Vínculo],"tecnico",Resp4[4.29],B12)</f>
        <v>0</v>
      </c>
      <c r="D12" s="4">
        <f>COUNTIFS(Resp4[Vínculo],"docente",Resp4[4.29],B12)</f>
        <v>0</v>
      </c>
      <c r="E12" s="4">
        <f>COUNTIF(Resp4[4.29],B12)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v>0</v>
      </c>
    </row>
    <row r="28" spans="2:7" x14ac:dyDescent="0.25">
      <c r="B28" s="68" t="s">
        <v>33</v>
      </c>
      <c r="C28" s="68" t="s">
        <v>32</v>
      </c>
      <c r="D28" s="69">
        <f>SUM(D11:D12)</f>
        <v>0</v>
      </c>
      <c r="E28" s="70">
        <v>0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9" style="2" customWidth="1"/>
    <col min="3" max="3" width="17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86</v>
      </c>
    </row>
    <row r="2" spans="1:7" x14ac:dyDescent="0.25">
      <c r="A2" s="2" t="str">
        <f>TEXT(A1,"0.00")</f>
        <v>4.30</v>
      </c>
      <c r="B2" s="2" t="str">
        <f>VLOOKUP(A$2,Eixo4[],3,FALSE)</f>
        <v>Com relação à oferta de editais anuais de apoio à pesquisa destinados aos técnicos, avalie os itens a seguir: [Edital de Apoio à Manutenção de Equipamentos de Pesquisa]</v>
      </c>
    </row>
    <row r="3" spans="1:7" x14ac:dyDescent="0.25">
      <c r="A3" s="2" t="s">
        <v>494</v>
      </c>
      <c r="B3" s="2" t="str">
        <f>VLOOKUP(A$2,Eixo4[],4,FALSE)</f>
        <v>Eixo 4: Questão 30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13</v>
      </c>
      <c r="E6" s="4">
        <f>E13-SUM(E7:E12)</f>
        <v>24</v>
      </c>
      <c r="F6" s="4">
        <f>ROUND($E6/E$13*100,2)</f>
        <v>100</v>
      </c>
    </row>
    <row r="7" spans="1:7" x14ac:dyDescent="0.25">
      <c r="B7" s="2" t="s">
        <v>203</v>
      </c>
      <c r="C7" s="4">
        <f>COUNTIFS(Resp4[Vínculo],"tecnico",Resp4[4.30],B7)</f>
        <v>0</v>
      </c>
      <c r="D7" s="4">
        <f>COUNTIFS(Resp4[Vínculo],"docente",Resp4[4.30],B7)</f>
        <v>0</v>
      </c>
      <c r="E7" s="4">
        <f>COUNTIF(Resp4[4.30],B7)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204</v>
      </c>
      <c r="C8" s="4">
        <f>COUNTIFS(Resp4[Vínculo],"tecnico",Resp4[4.30],B8)</f>
        <v>0</v>
      </c>
      <c r="D8" s="4">
        <f>COUNTIFS(Resp4[Vínculo],"docente",Resp4[4.30],B8)</f>
        <v>0</v>
      </c>
      <c r="E8" s="4">
        <f>COUNTIF(Resp4[4.30],B8)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COUNTIFS(Resp4[Vínculo],"tecnico",Resp4[4.30],B9)</f>
        <v>0</v>
      </c>
      <c r="D9" s="4">
        <f>COUNTIFS(Resp4[Vínculo],"docente",Resp4[4.30],B9)</f>
        <v>0</v>
      </c>
      <c r="E9" s="4">
        <f>COUNTIF(Resp4[4.30],B9)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COUNTIFS(Resp4[Vínculo],"tecnico",Resp4[4.30],B10)</f>
        <v>0</v>
      </c>
      <c r="D10" s="4">
        <f>COUNTIFS(Resp4[Vínculo],"docente",Resp4[4.30],B10)</f>
        <v>0</v>
      </c>
      <c r="E10" s="4">
        <f>COUNTIF(Resp4[4.30],B10)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200</v>
      </c>
      <c r="C11" s="4">
        <f>COUNTIFS(Resp4[Vínculo],"tecnico",Resp4[4.30],B11)</f>
        <v>0</v>
      </c>
      <c r="D11" s="4">
        <f>COUNTIFS(Resp4[Vínculo],"docente",Resp4[4.30],B11)</f>
        <v>0</v>
      </c>
      <c r="E11" s="4">
        <f>COUNTIF(Resp4[4.30],B11)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COUNTIFS(Resp4[Vínculo],"tecnico",Resp4[4.30],B12)</f>
        <v>0</v>
      </c>
      <c r="D12" s="4">
        <f>COUNTIFS(Resp4[Vínculo],"docente",Resp4[4.30],B12)</f>
        <v>0</v>
      </c>
      <c r="E12" s="4">
        <f>COUNTIF(Resp4[4.30],B12)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v>0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70">
        <v>0</v>
      </c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8.7109375" style="2" customWidth="1"/>
    <col min="3" max="3" width="19.42578125" style="2" customWidth="1"/>
    <col min="4" max="4" width="12.7109375" style="2" customWidth="1"/>
    <col min="5" max="5" width="13.7109375" style="2" customWidth="1"/>
    <col min="6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87</v>
      </c>
    </row>
    <row r="2" spans="1:7" x14ac:dyDescent="0.25">
      <c r="A2" s="2" t="str">
        <f>TEXT(A1,"0.00")</f>
        <v>4.31</v>
      </c>
      <c r="B2" s="2" t="str">
        <f>VLOOKUP(A$2,Eixo4[],3,FALSE)</f>
        <v>Com relação à oferta de editais anuais de apoio à pesquisa destinados aos técnicos, avalie os itens a seguir: [Edital de Apoio a Publicações Científicas Internacionais]</v>
      </c>
    </row>
    <row r="3" spans="1:7" x14ac:dyDescent="0.25">
      <c r="A3" s="2" t="s">
        <v>494</v>
      </c>
      <c r="B3" s="2" t="str">
        <f>VLOOKUP(A$2,Eixo4[],4,FALSE)</f>
        <v>Eixo 4: Questão 31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13</v>
      </c>
      <c r="E6" s="4">
        <f>E13-SUM(E7:E12)</f>
        <v>24</v>
      </c>
      <c r="F6" s="4">
        <f>ROUND($E6/E$13*100,2)</f>
        <v>100</v>
      </c>
    </row>
    <row r="7" spans="1:7" x14ac:dyDescent="0.25">
      <c r="B7" s="2" t="s">
        <v>203</v>
      </c>
      <c r="C7" s="4">
        <f>COUNTIFS(Resp4[Vínculo],"tecnico",Resp4[4.31],B7)</f>
        <v>0</v>
      </c>
      <c r="D7" s="4">
        <f>COUNTIFS(Resp4[Vínculo],"docente",Resp4[4.31],B7)</f>
        <v>0</v>
      </c>
      <c r="E7" s="4">
        <f>COUNTIF(Resp4[4.31],B7)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204</v>
      </c>
      <c r="C8" s="4">
        <f>COUNTIFS(Resp4[Vínculo],"tecnico",Resp4[4.31],B8)</f>
        <v>0</v>
      </c>
      <c r="D8" s="4">
        <f>COUNTIFS(Resp4[Vínculo],"docente",Resp4[4.31],B8)</f>
        <v>0</v>
      </c>
      <c r="E8" s="4">
        <f>COUNTIF(Resp4[4.31],B8)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COUNTIFS(Resp4[Vínculo],"tecnico",Resp4[4.31],B9)</f>
        <v>0</v>
      </c>
      <c r="D9" s="4">
        <f>COUNTIFS(Resp4[Vínculo],"docente",Resp4[4.31],B9)</f>
        <v>0</v>
      </c>
      <c r="E9" s="4">
        <f>COUNTIF(Resp4[4.31],B9)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COUNTIFS(Resp4[Vínculo],"tecnico",Resp4[4.31],B10)</f>
        <v>0</v>
      </c>
      <c r="D10" s="4">
        <f>COUNTIFS(Resp4[Vínculo],"docente",Resp4[4.31],B10)</f>
        <v>0</v>
      </c>
      <c r="E10" s="4">
        <f>COUNTIF(Resp4[4.31],B10)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200</v>
      </c>
      <c r="C11" s="4">
        <f>COUNTIFS(Resp4[Vínculo],"tecnico",Resp4[4.31],B11)</f>
        <v>0</v>
      </c>
      <c r="D11" s="4">
        <f>COUNTIFS(Resp4[Vínculo],"docente",Resp4[4.31],B11)</f>
        <v>0</v>
      </c>
      <c r="E11" s="4">
        <f>COUNTIF(Resp4[4.31],B11)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COUNTIFS(Resp4[Vínculo],"tecnico",Resp4[4.31],B12)</f>
        <v>0</v>
      </c>
      <c r="D12" s="4">
        <f>COUNTIFS(Resp4[Vínculo],"docente",Resp4[4.31],B12)</f>
        <v>0</v>
      </c>
      <c r="E12" s="4">
        <f>COUNTIF(Resp4[4.31],B12)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v>0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v>0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70">
        <v>0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85546875" style="2" customWidth="1"/>
    <col min="3" max="3" width="18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88</v>
      </c>
    </row>
    <row r="2" spans="1:7" x14ac:dyDescent="0.25">
      <c r="A2" s="2" t="str">
        <f>TEXT(A1,"0.00")</f>
        <v>4.32</v>
      </c>
      <c r="B2" s="2" t="str">
        <f>VLOOKUP(A$2,Eixo4[],3,FALSE)</f>
        <v>Com relação à oferta de editais anuais de apoio à pesquisa destinados aos técnicos, avalie os itens a seguir: [Edital de apoio à participação e organização de eventos]</v>
      </c>
    </row>
    <row r="3" spans="1:7" x14ac:dyDescent="0.25">
      <c r="A3" s="2" t="s">
        <v>494</v>
      </c>
      <c r="B3" s="2" t="str">
        <f>VLOOKUP(A$2,Eixo4[],4,FALSE)</f>
        <v>Eixo 4: Questão 32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13</v>
      </c>
      <c r="E6" s="4">
        <f>E13-SUM(E7:E12)</f>
        <v>24</v>
      </c>
      <c r="F6" s="4">
        <f>ROUND($E6/E$13*100,2)</f>
        <v>100</v>
      </c>
    </row>
    <row r="7" spans="1:7" x14ac:dyDescent="0.25">
      <c r="B7" s="2" t="s">
        <v>203</v>
      </c>
      <c r="C7" s="4">
        <f>COUNTIFS(Resp4[Vínculo],"tecnico",Resp4[4.32],B7)</f>
        <v>0</v>
      </c>
      <c r="D7" s="4">
        <f>COUNTIFS(Resp4[Vínculo],"docente",Resp4[4.32],B7)</f>
        <v>0</v>
      </c>
      <c r="E7" s="4">
        <f>COUNTIF(Resp4[4.32],B7)</f>
        <v>0</v>
      </c>
      <c r="F7" s="4">
        <f t="shared" ref="F7:F13" si="0">ROUND($E7/E$13*100,2)</f>
        <v>0</v>
      </c>
      <c r="G7" s="3" t="e">
        <f t="shared" ref="G7:G12" si="1">ROUND($E7/SUM($E$7:$E$12)*100,3)</f>
        <v>#DIV/0!</v>
      </c>
    </row>
    <row r="8" spans="1:7" x14ac:dyDescent="0.25">
      <c r="B8" s="2" t="s">
        <v>204</v>
      </c>
      <c r="C8" s="4">
        <f>COUNTIFS(Resp4[Vínculo],"tecnico",Resp4[4.32],B8)</f>
        <v>0</v>
      </c>
      <c r="D8" s="4">
        <f>COUNTIFS(Resp4[Vínculo],"docente",Resp4[4.32],B8)</f>
        <v>0</v>
      </c>
      <c r="E8" s="4">
        <f>COUNTIF(Resp4[4.32],B8)</f>
        <v>0</v>
      </c>
      <c r="F8" s="4">
        <f t="shared" si="0"/>
        <v>0</v>
      </c>
      <c r="G8" s="3" t="e">
        <f t="shared" si="1"/>
        <v>#DIV/0!</v>
      </c>
    </row>
    <row r="9" spans="1:7" x14ac:dyDescent="0.25">
      <c r="B9" s="2" t="s">
        <v>202</v>
      </c>
      <c r="C9" s="4">
        <f>COUNTIFS(Resp4[Vínculo],"tecnico",Resp4[4.32],B9)</f>
        <v>0</v>
      </c>
      <c r="D9" s="4">
        <f>COUNTIFS(Resp4[Vínculo],"docente",Resp4[4.32],B9)</f>
        <v>0</v>
      </c>
      <c r="E9" s="4">
        <f>COUNTIF(Resp4[4.32],B9)</f>
        <v>0</v>
      </c>
      <c r="F9" s="4">
        <f t="shared" si="0"/>
        <v>0</v>
      </c>
      <c r="G9" s="3" t="e">
        <f t="shared" si="1"/>
        <v>#DIV/0!</v>
      </c>
    </row>
    <row r="10" spans="1:7" x14ac:dyDescent="0.25">
      <c r="B10" s="2" t="s">
        <v>30</v>
      </c>
      <c r="C10" s="4">
        <f>COUNTIFS(Resp4[Vínculo],"tecnico",Resp4[4.32],B10)</f>
        <v>0</v>
      </c>
      <c r="D10" s="4">
        <f>COUNTIFS(Resp4[Vínculo],"docente",Resp4[4.32],B10)</f>
        <v>0</v>
      </c>
      <c r="E10" s="4">
        <f>COUNTIF(Resp4[4.32],B10)</f>
        <v>0</v>
      </c>
      <c r="F10" s="4">
        <f t="shared" si="0"/>
        <v>0</v>
      </c>
      <c r="G10" s="3" t="e">
        <f t="shared" si="1"/>
        <v>#DIV/0!</v>
      </c>
    </row>
    <row r="11" spans="1:7" x14ac:dyDescent="0.25">
      <c r="B11" s="2" t="s">
        <v>200</v>
      </c>
      <c r="C11" s="4">
        <f>COUNTIFS(Resp4[Vínculo],"tecnico",Resp4[4.32],B11)</f>
        <v>0</v>
      </c>
      <c r="D11" s="4">
        <f>COUNTIFS(Resp4[Vínculo],"docente",Resp4[4.32],B11)</f>
        <v>0</v>
      </c>
      <c r="E11" s="4">
        <f>COUNTIF(Resp4[4.32],B11)</f>
        <v>0</v>
      </c>
      <c r="F11" s="4">
        <f t="shared" si="0"/>
        <v>0</v>
      </c>
      <c r="G11" s="3" t="e">
        <f t="shared" si="1"/>
        <v>#DIV/0!</v>
      </c>
    </row>
    <row r="12" spans="1:7" x14ac:dyDescent="0.25">
      <c r="B12" s="7" t="s">
        <v>197</v>
      </c>
      <c r="C12" s="4">
        <f>COUNTIFS(Resp4[Vínculo],"tecnico",Resp4[4.32],B12)</f>
        <v>0</v>
      </c>
      <c r="D12" s="4">
        <f>COUNTIFS(Resp4[Vínculo],"docente",Resp4[4.32],B12)</f>
        <v>0</v>
      </c>
      <c r="E12" s="4">
        <f>COUNTIF(Resp4[4.32],B12)</f>
        <v>0</v>
      </c>
      <c r="F12" s="22">
        <f t="shared" si="0"/>
        <v>0</v>
      </c>
      <c r="G12" s="3" t="e">
        <f t="shared" si="1"/>
        <v>#DIV/0!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 t="e">
        <f>SUM(G7:G12)</f>
        <v>#DIV/0!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v>0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70">
        <v>0</v>
      </c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/>
  </sheetViews>
  <sheetFormatPr defaultRowHeight="15" x14ac:dyDescent="0.25"/>
  <cols>
    <col min="1" max="1" width="7.42578125" customWidth="1"/>
  </cols>
  <sheetData>
    <row r="1" spans="1:8" x14ac:dyDescent="0.25">
      <c r="A1" s="2" t="s">
        <v>89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4.33</v>
      </c>
      <c r="B2" s="2" t="str">
        <f>VLOOKUP(A$2, Eixo4[], 3, FALSE)</f>
        <v>Você participa de algum grupo de pesquisa?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33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196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COUNTIFS(Resp4[Vínculo],"tecnico",Resp4[4.33],B7)</f>
        <v>0</v>
      </c>
      <c r="D7" s="4">
        <f>COUNTIFS(Resp4[Vínculo],"docente",Resp4[4.33],B7)</f>
        <v>9</v>
      </c>
      <c r="E7" s="2">
        <f>COUNTIF(Resp4[4.33],B7)</f>
        <v>9</v>
      </c>
      <c r="F7" s="4">
        <f t="shared" ref="F7:F9" si="0">ROUND($E7/E$9*100,2)</f>
        <v>37.5</v>
      </c>
      <c r="G7" s="4">
        <f>ROUND($E7/SUM($E$7:$E$8)*100,2)</f>
        <v>37.5</v>
      </c>
      <c r="H7" s="2"/>
    </row>
    <row r="8" spans="1:8" x14ac:dyDescent="0.25">
      <c r="A8" s="2"/>
      <c r="B8" s="2" t="s">
        <v>194</v>
      </c>
      <c r="C8" s="4">
        <f>COUNTIFS(Resp4[Vínculo],"tecnico",Resp4[4.33],B8)</f>
        <v>11</v>
      </c>
      <c r="D8" s="4">
        <f>COUNTIFS(Resp4[Vínculo],"docente",Resp4[4.33],B8)</f>
        <v>4</v>
      </c>
      <c r="E8" s="2">
        <f>COUNTIF(Resp4[4.33],B8)</f>
        <v>15</v>
      </c>
      <c r="F8" s="22">
        <f t="shared" si="0"/>
        <v>62.5</v>
      </c>
      <c r="G8" s="4">
        <f>ROUND($E8/SUM($E$7:$E$8)*100,2)</f>
        <v>62.5</v>
      </c>
      <c r="H8" s="2"/>
    </row>
    <row r="9" spans="1:8" x14ac:dyDescent="0.25">
      <c r="A9" s="2"/>
      <c r="B9" s="8" t="s">
        <v>502</v>
      </c>
      <c r="C9" s="8">
        <f>SUM(C6:C8)</f>
        <v>11</v>
      </c>
      <c r="D9" s="8">
        <f>SUM(D6:D8)</f>
        <v>13</v>
      </c>
      <c r="E9" s="8">
        <f>SUM(C9:D9)</f>
        <v>24</v>
      </c>
      <c r="F9" s="15">
        <f t="shared" si="0"/>
        <v>100</v>
      </c>
      <c r="G9" s="9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7" style="2" customWidth="1"/>
    <col min="3" max="3" width="21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90</v>
      </c>
    </row>
    <row r="2" spans="1:7" x14ac:dyDescent="0.25">
      <c r="A2" s="2" t="str">
        <f>TEXT(A1,"0.00")</f>
        <v>4.34</v>
      </c>
      <c r="B2" s="2" t="str">
        <f>VLOOKUP(A$2,Eixo4[],3,FALSE)</f>
        <v>Com relação aos grupos de pesquisa, avalie: [O grupo de pesquisa como fórum de discussão e ampliação de conhecimento]</v>
      </c>
    </row>
    <row r="3" spans="1:7" x14ac:dyDescent="0.25">
      <c r="A3" s="2" t="s">
        <v>494</v>
      </c>
      <c r="B3" s="2" t="str">
        <f>VLOOKUP(A$2,Eixo4[],4,FALSE)</f>
        <v>Eixo 4: Questão 34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4</v>
      </c>
      <c r="E6" s="4">
        <f>E13-SUM(E7:E12)</f>
        <v>15</v>
      </c>
      <c r="F6" s="4">
        <f>ROUND($E6/E$13*100,2)</f>
        <v>62.5</v>
      </c>
    </row>
    <row r="7" spans="1:7" x14ac:dyDescent="0.25">
      <c r="B7" s="2" t="s">
        <v>203</v>
      </c>
      <c r="C7" s="4">
        <f>COUNTIFS(Resp4[Vínculo],"tecnico",Resp4[4.34],B7)</f>
        <v>0</v>
      </c>
      <c r="D7" s="4">
        <f>COUNTIFS(Resp4[Vínculo],"docente",Resp4[4.34],B7)</f>
        <v>0</v>
      </c>
      <c r="E7" s="4">
        <f>COUNTIF(Resp4[4.34],B7)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COUNTIFS(Resp4[Vínculo],"tecnico",Resp4[4.34],B8)</f>
        <v>0</v>
      </c>
      <c r="D8" s="4">
        <f>COUNTIFS(Resp4[Vínculo],"docente",Resp4[4.34],B8)</f>
        <v>0</v>
      </c>
      <c r="E8" s="4">
        <f>COUNTIF(Resp4[4.34],B8)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COUNTIFS(Resp4[Vínculo],"tecnico",Resp4[4.34],B9)</f>
        <v>0</v>
      </c>
      <c r="D9" s="4">
        <f>COUNTIFS(Resp4[Vínculo],"docente",Resp4[4.34],B9)</f>
        <v>0</v>
      </c>
      <c r="E9" s="4">
        <f>COUNTIF(Resp4[4.34],B9)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COUNTIFS(Resp4[Vínculo],"tecnico",Resp4[4.34],B10)</f>
        <v>0</v>
      </c>
      <c r="D10" s="4">
        <f>COUNTIFS(Resp4[Vínculo],"docente",Resp4[4.34],B10)</f>
        <v>1</v>
      </c>
      <c r="E10" s="4">
        <f>COUNTIF(Resp4[4.34],B10)</f>
        <v>1</v>
      </c>
      <c r="F10" s="4">
        <f t="shared" si="0"/>
        <v>4.17</v>
      </c>
      <c r="G10" s="3">
        <f t="shared" si="1"/>
        <v>11.111000000000001</v>
      </c>
    </row>
    <row r="11" spans="1:7" x14ac:dyDescent="0.25">
      <c r="B11" s="2" t="s">
        <v>200</v>
      </c>
      <c r="C11" s="4">
        <f>COUNTIFS(Resp4[Vínculo],"tecnico",Resp4[4.34],B11)</f>
        <v>0</v>
      </c>
      <c r="D11" s="4">
        <f>COUNTIFS(Resp4[Vínculo],"docente",Resp4[4.34],B11)</f>
        <v>3</v>
      </c>
      <c r="E11" s="4">
        <f>COUNTIF(Resp4[4.34],B11)</f>
        <v>3</v>
      </c>
      <c r="F11" s="4">
        <f t="shared" si="0"/>
        <v>12.5</v>
      </c>
      <c r="G11" s="3">
        <f t="shared" si="1"/>
        <v>33.332999999999998</v>
      </c>
    </row>
    <row r="12" spans="1:7" x14ac:dyDescent="0.25">
      <c r="B12" s="7" t="s">
        <v>197</v>
      </c>
      <c r="C12" s="4">
        <f>COUNTIFS(Resp4[Vínculo],"tecnico",Resp4[4.34],B12)</f>
        <v>0</v>
      </c>
      <c r="D12" s="4">
        <f>COUNTIFS(Resp4[Vínculo],"docente",Resp4[4.34],B12)</f>
        <v>5</v>
      </c>
      <c r="E12" s="4">
        <f>COUNTIF(Resp4[4.34],B12)</f>
        <v>5</v>
      </c>
      <c r="F12" s="22">
        <f t="shared" si="0"/>
        <v>20.83</v>
      </c>
      <c r="G12" s="3">
        <f t="shared" si="1"/>
        <v>55.555999999999997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11.111000000000001</v>
      </c>
    </row>
    <row r="28" spans="2:7" x14ac:dyDescent="0.25">
      <c r="B28" s="32" t="s">
        <v>33</v>
      </c>
      <c r="C28" s="32" t="s">
        <v>32</v>
      </c>
      <c r="D28" s="18">
        <f>SUM(D11:D12)</f>
        <v>8</v>
      </c>
      <c r="E28" s="19">
        <f>ROUND(D28/SUM(D$25:D$28)*100,3)</f>
        <v>88.888999999999996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42578125" customWidth="1"/>
    <col min="2" max="2" width="16.85546875" customWidth="1"/>
    <col min="3" max="3" width="15.5703125" customWidth="1"/>
  </cols>
  <sheetData>
    <row r="1" spans="1:7" x14ac:dyDescent="0.25">
      <c r="A1" s="2" t="s">
        <v>58</v>
      </c>
      <c r="B1" s="2"/>
    </row>
    <row r="2" spans="1:7" x14ac:dyDescent="0.25">
      <c r="A2" s="2" t="str">
        <f>TEXT(A1,"0.00")</f>
        <v>4.02</v>
      </c>
      <c r="B2" s="2" t="str">
        <f>VLOOKUP(A$2,Eixo4[],3,FALSE)</f>
        <v>Com relação ao ensino da graduação, avalie: [A consonância entre os fins da instituição e o currículo e a organização didático-pedagógica (métodos, metodologias, planos de ensino e de aprendizagem e avaliação da aprendizagem)]</v>
      </c>
    </row>
    <row r="3" spans="1:7" x14ac:dyDescent="0.25">
      <c r="A3" s="2" t="s">
        <v>494</v>
      </c>
      <c r="B3" s="2" t="str">
        <f>VLOOKUP(A$2,Eixo4[],4,FALSE)</f>
        <v>Eixo 4: Questão 2</v>
      </c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0</v>
      </c>
      <c r="E6" s="4">
        <f>E13-SUM(E7:E12)</f>
        <v>9</v>
      </c>
      <c r="F6" s="3">
        <f>ROUND($E6/E$13*100,2)</f>
        <v>37.5</v>
      </c>
      <c r="G6" s="3"/>
    </row>
    <row r="7" spans="1:7" x14ac:dyDescent="0.25">
      <c r="B7" s="2" t="s">
        <v>203</v>
      </c>
      <c r="C7" s="4">
        <f>COUNTIFS(Resp4[Vínculo],"tecnico",Resp4[4.02],B$7)</f>
        <v>0</v>
      </c>
      <c r="D7" s="4">
        <f>COUNTIFS(Resp4[Vínculo],"docente",Resp4[4.02],B$7)</f>
        <v>1</v>
      </c>
      <c r="E7" s="4">
        <f>COUNTIF(Resp4[4.02],B7)</f>
        <v>1</v>
      </c>
      <c r="F7" s="3">
        <f t="shared" ref="F7:F13" si="0">ROUND($E7/E$13*100,2)</f>
        <v>4.17</v>
      </c>
      <c r="G7" s="3">
        <f t="shared" ref="G7:G12" si="1">ROUND($E7/SUM($E$7:$E$12)*100,3)</f>
        <v>6.6669999999999998</v>
      </c>
    </row>
    <row r="8" spans="1:7" x14ac:dyDescent="0.25">
      <c r="B8" s="2" t="s">
        <v>204</v>
      </c>
      <c r="C8" s="4">
        <f>COUNTIFS(Resp4[Vínculo],"tecnico",Resp4[4.02],B$8)</f>
        <v>0</v>
      </c>
      <c r="D8" s="4">
        <f>COUNTIFS(Resp4[Vínculo],"docente",Resp4[4.02],B8)</f>
        <v>1</v>
      </c>
      <c r="E8" s="4">
        <f>COUNTIF(Resp4[4.02],B8)</f>
        <v>1</v>
      </c>
      <c r="F8" s="3">
        <f t="shared" si="0"/>
        <v>4.17</v>
      </c>
      <c r="G8" s="3">
        <f t="shared" si="1"/>
        <v>6.6669999999999998</v>
      </c>
    </row>
    <row r="9" spans="1:7" x14ac:dyDescent="0.25">
      <c r="B9" s="2" t="s">
        <v>202</v>
      </c>
      <c r="C9" s="4">
        <f>COUNTIFS(Resp4[Vínculo],"tecnico",Resp4[4.02],B$9)</f>
        <v>1</v>
      </c>
      <c r="D9" s="4">
        <f>COUNTIFS(Resp4[Vínculo],"docente",Resp4[4.02],B9)</f>
        <v>0</v>
      </c>
      <c r="E9" s="4">
        <f>COUNTIF(Resp4[4.02],B9)</f>
        <v>1</v>
      </c>
      <c r="F9" s="3">
        <f t="shared" si="0"/>
        <v>4.17</v>
      </c>
      <c r="G9" s="3">
        <f t="shared" si="1"/>
        <v>6.6669999999999998</v>
      </c>
    </row>
    <row r="10" spans="1:7" x14ac:dyDescent="0.25">
      <c r="B10" s="2" t="s">
        <v>30</v>
      </c>
      <c r="C10" s="4">
        <f>COUNTIFS(Resp4[Vínculo],"tecnico",Resp4[4.02],B$10)</f>
        <v>1</v>
      </c>
      <c r="D10" s="4">
        <f>COUNTIFS(Resp4[Vínculo],"docente",Resp4[4.02],B10)</f>
        <v>2</v>
      </c>
      <c r="E10" s="4">
        <f>COUNTIF(Resp4[4.02],B10)</f>
        <v>3</v>
      </c>
      <c r="F10" s="3">
        <f t="shared" si="0"/>
        <v>12.5</v>
      </c>
      <c r="G10" s="3">
        <f t="shared" si="1"/>
        <v>20</v>
      </c>
    </row>
    <row r="11" spans="1:7" x14ac:dyDescent="0.25">
      <c r="B11" s="2" t="s">
        <v>200</v>
      </c>
      <c r="C11" s="4">
        <f>COUNTIFS(Resp4[Vínculo],"tecnico",Resp4[4.02],B$11)</f>
        <v>0</v>
      </c>
      <c r="D11" s="4">
        <f>COUNTIFS(Resp4[Vínculo],"docente",Resp4[4.02],B11)</f>
        <v>6</v>
      </c>
      <c r="E11" s="4">
        <f>COUNTIF(Resp4[4.02],B11)</f>
        <v>6</v>
      </c>
      <c r="F11" s="3">
        <f t="shared" si="0"/>
        <v>25</v>
      </c>
      <c r="G11" s="3">
        <f t="shared" si="1"/>
        <v>40</v>
      </c>
    </row>
    <row r="12" spans="1:7" x14ac:dyDescent="0.25">
      <c r="B12" s="7" t="s">
        <v>197</v>
      </c>
      <c r="C12" s="4">
        <f>COUNTIFS(Resp4[Vínculo],"tecnico",Resp4[4.02],B$12)</f>
        <v>0</v>
      </c>
      <c r="D12" s="4">
        <f>COUNTIFS(Resp4[Vínculo],"docente",Resp4[4.02],B12)</f>
        <v>3</v>
      </c>
      <c r="E12" s="4">
        <f>COUNTIF(Resp4[4.02],B12)</f>
        <v>3</v>
      </c>
      <c r="F12" s="24">
        <f t="shared" si="0"/>
        <v>12.5</v>
      </c>
      <c r="G12" s="3">
        <f t="shared" si="1"/>
        <v>20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3">
        <f t="shared" si="0"/>
        <v>100</v>
      </c>
      <c r="G13" s="9">
        <f>SUM(G7:G12)</f>
        <v>100.001</v>
      </c>
    </row>
    <row r="17" spans="2:5" x14ac:dyDescent="0.25">
      <c r="B17" s="21" t="s">
        <v>503</v>
      </c>
      <c r="C17" s="21" t="s">
        <v>504</v>
      </c>
      <c r="D17" s="5" t="s">
        <v>496</v>
      </c>
      <c r="E17" s="6" t="s">
        <v>499</v>
      </c>
    </row>
    <row r="18" spans="2:5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50</v>
      </c>
    </row>
    <row r="19" spans="2:5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</row>
    <row r="20" spans="2:5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5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5" x14ac:dyDescent="0.25">
      <c r="B22" s="2"/>
      <c r="C22" s="2"/>
      <c r="D22" s="2"/>
      <c r="E22" s="20"/>
    </row>
    <row r="23" spans="2:5" x14ac:dyDescent="0.25">
      <c r="B23" s="2"/>
      <c r="C23" s="2"/>
      <c r="D23" s="2"/>
      <c r="E23" s="20"/>
    </row>
    <row r="24" spans="2:5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5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7.6920000000000002</v>
      </c>
    </row>
    <row r="26" spans="2:5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7.6920000000000002</v>
      </c>
    </row>
    <row r="27" spans="2:5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15.385</v>
      </c>
    </row>
    <row r="28" spans="2:5" x14ac:dyDescent="0.25">
      <c r="B28" s="32" t="s">
        <v>33</v>
      </c>
      <c r="C28" s="32" t="s">
        <v>32</v>
      </c>
      <c r="D28" s="18">
        <f>SUM(D11:D12)</f>
        <v>9</v>
      </c>
      <c r="E28" s="19">
        <f>ROUND(D28/SUM(D$25:D$28)*100,3)</f>
        <v>69.230999999999995</v>
      </c>
    </row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0.28515625" style="2" customWidth="1"/>
    <col min="3" max="3" width="18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91</v>
      </c>
    </row>
    <row r="2" spans="1:7" x14ac:dyDescent="0.25">
      <c r="A2" s="2" t="str">
        <f>TEXT(A1,"0.00")</f>
        <v>4.35</v>
      </c>
      <c r="B2" s="2" t="str">
        <f>VLOOKUP(A$2,Eixo4[],3,FALSE)</f>
        <v>Com relação aos grupos de pesquisa, avalie: [O fomento à Rede de Contatos Futuros (pesquisadores, empresas, etc.)]</v>
      </c>
    </row>
    <row r="3" spans="1:7" x14ac:dyDescent="0.25">
      <c r="A3" s="2" t="s">
        <v>494</v>
      </c>
      <c r="B3" s="2" t="str">
        <f>VLOOKUP(A$2,Eixo4[],4,FALSE)</f>
        <v>Eixo 4: Questão 35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4</v>
      </c>
      <c r="E6" s="4">
        <f>E13-SUM(E7:E12)</f>
        <v>15</v>
      </c>
      <c r="F6" s="4">
        <f>ROUND($E6/E$13*100,2)</f>
        <v>62.5</v>
      </c>
    </row>
    <row r="7" spans="1:7" x14ac:dyDescent="0.25">
      <c r="B7" s="2" t="s">
        <v>203</v>
      </c>
      <c r="C7" s="4">
        <f>COUNTIFS(Resp4[Vínculo],"tecnico",Resp4[4.35],B7)</f>
        <v>0</v>
      </c>
      <c r="D7" s="4">
        <f>COUNTIFS(Resp4[Vínculo],"docente",Resp4[4.35],B7)</f>
        <v>0</v>
      </c>
      <c r="E7" s="4">
        <f>COUNTIF(Resp4[4.35],B7)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COUNTIFS(Resp4[Vínculo],"tecnico",Resp4[4.35],B8)</f>
        <v>0</v>
      </c>
      <c r="D8" s="4">
        <f>COUNTIFS(Resp4[Vínculo],"docente",Resp4[4.35],B8)</f>
        <v>0</v>
      </c>
      <c r="E8" s="4">
        <f>COUNTIF(Resp4[4.35],B8)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COUNTIFS(Resp4[Vínculo],"tecnico",Resp4[4.35],B9)</f>
        <v>0</v>
      </c>
      <c r="D9" s="4">
        <f>COUNTIFS(Resp4[Vínculo],"docente",Resp4[4.35],B9)</f>
        <v>0</v>
      </c>
      <c r="E9" s="4">
        <f>COUNTIF(Resp4[4.35],B9)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COUNTIFS(Resp4[Vínculo],"tecnico",Resp4[4.35],B10)</f>
        <v>0</v>
      </c>
      <c r="D10" s="4">
        <f>COUNTIFS(Resp4[Vínculo],"docente",Resp4[4.35],B10)</f>
        <v>4</v>
      </c>
      <c r="E10" s="4">
        <f>COUNTIF(Resp4[4.35],B10)</f>
        <v>4</v>
      </c>
      <c r="F10" s="4">
        <f t="shared" si="0"/>
        <v>16.670000000000002</v>
      </c>
      <c r="G10" s="3">
        <f t="shared" si="1"/>
        <v>44.444000000000003</v>
      </c>
    </row>
    <row r="11" spans="1:7" x14ac:dyDescent="0.25">
      <c r="B11" s="2" t="s">
        <v>200</v>
      </c>
      <c r="C11" s="4">
        <f>COUNTIFS(Resp4[Vínculo],"tecnico",Resp4[4.35],B11)</f>
        <v>0</v>
      </c>
      <c r="D11" s="4">
        <f>COUNTIFS(Resp4[Vínculo],"docente",Resp4[4.35],B11)</f>
        <v>1</v>
      </c>
      <c r="E11" s="4">
        <f>COUNTIF(Resp4[4.35],B11)</f>
        <v>1</v>
      </c>
      <c r="F11" s="4">
        <f t="shared" si="0"/>
        <v>4.17</v>
      </c>
      <c r="G11" s="3">
        <f t="shared" si="1"/>
        <v>11.111000000000001</v>
      </c>
    </row>
    <row r="12" spans="1:7" x14ac:dyDescent="0.25">
      <c r="B12" s="7" t="s">
        <v>197</v>
      </c>
      <c r="C12" s="4">
        <f>COUNTIFS(Resp4[Vínculo],"tecnico",Resp4[4.35],B12)</f>
        <v>0</v>
      </c>
      <c r="D12" s="4">
        <f>COUNTIFS(Resp4[Vínculo],"docente",Resp4[4.35],B12)</f>
        <v>4</v>
      </c>
      <c r="E12" s="4">
        <f>COUNTIF(Resp4[4.35],B12)</f>
        <v>4</v>
      </c>
      <c r="F12" s="22">
        <f t="shared" si="0"/>
        <v>16.670000000000002</v>
      </c>
      <c r="G12" s="3">
        <f t="shared" si="1"/>
        <v>44.444000000000003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99.999000000000009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44.444000000000003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55.555999999999997</v>
      </c>
    </row>
  </sheetData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5.28515625" style="2" customWidth="1"/>
    <col min="3" max="3" width="23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92</v>
      </c>
    </row>
    <row r="2" spans="1:7" x14ac:dyDescent="0.25">
      <c r="A2" s="2" t="str">
        <f>TEXT(A1,"0.00")</f>
        <v>4.36</v>
      </c>
      <c r="B2" s="2" t="str">
        <f>VLOOKUP(A$2,Eixo4[],3,FALSE)</f>
        <v>Com relação aos grupos de pesquisa, avalie: [O impacto da interação com outros grupos de pesquisa no projeto de pesquisa em andamento]</v>
      </c>
    </row>
    <row r="3" spans="1:7" x14ac:dyDescent="0.25">
      <c r="A3" s="2" t="s">
        <v>494</v>
      </c>
      <c r="B3" s="2" t="str">
        <f>VLOOKUP(A$2,Eixo4[],4,FALSE)</f>
        <v>Eixo 4: Questão 36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4</v>
      </c>
      <c r="E6" s="4">
        <f>E13-SUM(E7:E12)</f>
        <v>15</v>
      </c>
      <c r="F6" s="4">
        <f>ROUND($E6/E$13*100,2)</f>
        <v>62.5</v>
      </c>
    </row>
    <row r="7" spans="1:7" x14ac:dyDescent="0.25">
      <c r="B7" s="2" t="s">
        <v>203</v>
      </c>
      <c r="C7" s="4">
        <f>COUNTIFS(Resp4[Vínculo],"tecnico",Resp4[4.36],B7)</f>
        <v>0</v>
      </c>
      <c r="D7" s="4">
        <f>COUNTIFS(Resp4[Vínculo],"docente",Resp4[4.36],B7)</f>
        <v>0</v>
      </c>
      <c r="E7" s="4">
        <f>COUNTIF(Resp4[4.36],B7)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COUNTIFS(Resp4[Vínculo],"tecnico",Resp4[4.36],B8)</f>
        <v>0</v>
      </c>
      <c r="D8" s="4">
        <f>COUNTIFS(Resp4[Vínculo],"docente",Resp4[4.36],B8)</f>
        <v>0</v>
      </c>
      <c r="E8" s="4">
        <f>COUNTIF(Resp4[4.36],B8)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COUNTIFS(Resp4[Vínculo],"tecnico",Resp4[4.36],B9)</f>
        <v>0</v>
      </c>
      <c r="D9" s="4">
        <f>COUNTIFS(Resp4[Vínculo],"docente",Resp4[4.36],B9)</f>
        <v>0</v>
      </c>
      <c r="E9" s="4">
        <f>COUNTIF(Resp4[4.36],B9)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COUNTIFS(Resp4[Vínculo],"tecnico",Resp4[4.36],B10)</f>
        <v>0</v>
      </c>
      <c r="D10" s="4">
        <f>COUNTIFS(Resp4[Vínculo],"docente",Resp4[4.36],B10)</f>
        <v>2</v>
      </c>
      <c r="E10" s="4">
        <f>COUNTIF(Resp4[4.36],B10)</f>
        <v>2</v>
      </c>
      <c r="F10" s="4">
        <f t="shared" si="0"/>
        <v>8.33</v>
      </c>
      <c r="G10" s="3">
        <f t="shared" si="1"/>
        <v>22.222000000000001</v>
      </c>
    </row>
    <row r="11" spans="1:7" x14ac:dyDescent="0.25">
      <c r="B11" s="2" t="s">
        <v>200</v>
      </c>
      <c r="C11" s="4">
        <f>COUNTIFS(Resp4[Vínculo],"tecnico",Resp4[4.36],B11)</f>
        <v>0</v>
      </c>
      <c r="D11" s="4">
        <f>COUNTIFS(Resp4[Vínculo],"docente",Resp4[4.36],B11)</f>
        <v>4</v>
      </c>
      <c r="E11" s="4">
        <f>COUNTIF(Resp4[4.36],B11)</f>
        <v>4</v>
      </c>
      <c r="F11" s="4">
        <f t="shared" si="0"/>
        <v>16.670000000000002</v>
      </c>
      <c r="G11" s="3">
        <f t="shared" si="1"/>
        <v>44.444000000000003</v>
      </c>
    </row>
    <row r="12" spans="1:7" x14ac:dyDescent="0.25">
      <c r="B12" s="7" t="s">
        <v>197</v>
      </c>
      <c r="C12" s="4">
        <f>COUNTIFS(Resp4[Vínculo],"tecnico",Resp4[4.36],B12)</f>
        <v>0</v>
      </c>
      <c r="D12" s="4">
        <f>COUNTIFS(Resp4[Vínculo],"docente",Resp4[4.36],B12)</f>
        <v>3</v>
      </c>
      <c r="E12" s="4">
        <f>COUNTIF(Resp4[4.36],B12)</f>
        <v>3</v>
      </c>
      <c r="F12" s="22">
        <f t="shared" si="0"/>
        <v>12.5</v>
      </c>
      <c r="G12" s="3">
        <f t="shared" si="1"/>
        <v>33.332999999999998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22.222000000000001</v>
      </c>
    </row>
    <row r="28" spans="2:7" x14ac:dyDescent="0.25">
      <c r="B28" s="32" t="s">
        <v>33</v>
      </c>
      <c r="C28" s="32" t="s">
        <v>32</v>
      </c>
      <c r="D28" s="18">
        <f>SUM(D11:D12)</f>
        <v>7</v>
      </c>
      <c r="E28" s="19">
        <f>ROUND(D28/SUM(D$25:D$28)*100,3)</f>
        <v>77.778000000000006</v>
      </c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94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4.38</v>
      </c>
      <c r="B2" s="2" t="str">
        <f>VLOOKUP(A$2, Eixo4[], 3, FALSE)</f>
        <v>Você orienta ou participa do Programa de Iniciação Científica e Tecnológica?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38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196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COUNTIFS(Resp4[Vínculo],"tecnico",Resp4[4.38],B7)</f>
        <v>0</v>
      </c>
      <c r="D7" s="4">
        <f>COUNTIFS(Resp4[Vínculo],"docente",Resp4[4.38],B7)</f>
        <v>7</v>
      </c>
      <c r="E7" s="2">
        <f>COUNTIF(Resp4[4.38],B7)</f>
        <v>7</v>
      </c>
      <c r="F7" s="4">
        <f t="shared" ref="F7:F9" si="0">ROUND($E7/E$9*100,2)</f>
        <v>29.17</v>
      </c>
      <c r="G7" s="4">
        <f>ROUND($E7/SUM($E$7:$E$8)*100,2)</f>
        <v>29.17</v>
      </c>
      <c r="H7" s="2"/>
    </row>
    <row r="8" spans="1:8" x14ac:dyDescent="0.25">
      <c r="A8" s="2"/>
      <c r="B8" s="2" t="s">
        <v>194</v>
      </c>
      <c r="C8" s="4">
        <f>COUNTIFS(Resp4[Vínculo],"tecnico",Resp4[4.38],B8)</f>
        <v>11</v>
      </c>
      <c r="D8" s="4">
        <f>COUNTIFS(Resp4[Vínculo],"docente",Resp4[4.38],B8)</f>
        <v>6</v>
      </c>
      <c r="E8" s="2">
        <f>COUNTIF(Resp4[4.38],B8)</f>
        <v>17</v>
      </c>
      <c r="F8" s="22">
        <f t="shared" si="0"/>
        <v>70.83</v>
      </c>
      <c r="G8" s="4">
        <f>ROUND($E8/SUM($E$7:$E$8)*100,2)</f>
        <v>70.83</v>
      </c>
      <c r="H8" s="2"/>
    </row>
    <row r="9" spans="1:8" x14ac:dyDescent="0.25">
      <c r="A9" s="2"/>
      <c r="B9" s="8" t="s">
        <v>502</v>
      </c>
      <c r="C9" s="8">
        <f>SUM(C6:C8)</f>
        <v>11</v>
      </c>
      <c r="D9" s="8">
        <f>SUM(D6:D8)</f>
        <v>13</v>
      </c>
      <c r="E9" s="8">
        <f>SUM(C9:D9)</f>
        <v>24</v>
      </c>
      <c r="F9" s="15">
        <f t="shared" si="0"/>
        <v>100</v>
      </c>
      <c r="G9" s="9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85546875" style="2" customWidth="1"/>
    <col min="3" max="3" width="16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95</v>
      </c>
    </row>
    <row r="2" spans="1:7" x14ac:dyDescent="0.25">
      <c r="A2" s="2" t="str">
        <f>TEXT(A1,"0.00")</f>
        <v>4.39</v>
      </c>
      <c r="B2" s="2" t="str">
        <f>VLOOKUP(A$2,Eixo4[],3,FALSE)</f>
        <v>Considerando o Programa de Iniciação Científica e Tecnológica, avalie: [As políticas e normas do Programa de Iniciação Científica e de Desenvolvimento Tecnológico e Inovação (PICDTI) da UFPR]</v>
      </c>
    </row>
    <row r="3" spans="1:7" x14ac:dyDescent="0.25">
      <c r="A3" s="2" t="s">
        <v>494</v>
      </c>
      <c r="B3" s="2" t="str">
        <f>VLOOKUP(A$2,Eixo4[],4,FALSE)</f>
        <v>Eixo 4: Questão 39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6</v>
      </c>
      <c r="E6" s="4">
        <f>E13-SUM(E7:E12)</f>
        <v>17</v>
      </c>
      <c r="F6" s="4">
        <f>ROUND($E6/E$13*100,2)</f>
        <v>70.83</v>
      </c>
    </row>
    <row r="7" spans="1:7" x14ac:dyDescent="0.25">
      <c r="B7" s="2" t="s">
        <v>203</v>
      </c>
      <c r="C7" s="4">
        <f>COUNTIFS(Resp4[Vínculo],"tecnico",Resp4[4.39],B7)</f>
        <v>0</v>
      </c>
      <c r="D7" s="4">
        <f>COUNTIFS(Resp4[Vínculo],"docente",Resp4[4.39],B7)</f>
        <v>0</v>
      </c>
      <c r="E7" s="4">
        <f>COUNTIF(Resp4[4.39],B7)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COUNTIFS(Resp4[Vínculo],"tecnico",Resp4[4.39],B8)</f>
        <v>0</v>
      </c>
      <c r="D8" s="4">
        <f>COUNTIFS(Resp4[Vínculo],"docente",Resp4[4.39],B8)</f>
        <v>0</v>
      </c>
      <c r="E8" s="4">
        <f>COUNTIF(Resp4[4.39],B8)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COUNTIFS(Resp4[Vínculo],"tecnico",Resp4[4.39],B9)</f>
        <v>0</v>
      </c>
      <c r="D9" s="4">
        <f>COUNTIFS(Resp4[Vínculo],"docente",Resp4[4.39],B9)</f>
        <v>0</v>
      </c>
      <c r="E9" s="4">
        <f>COUNTIF(Resp4[4.39],B9)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COUNTIFS(Resp4[Vínculo],"tecnico",Resp4[4.39],B10)</f>
        <v>0</v>
      </c>
      <c r="D10" s="4">
        <f>COUNTIFS(Resp4[Vínculo],"docente",Resp4[4.39],B10)</f>
        <v>2</v>
      </c>
      <c r="E10" s="4">
        <f>COUNTIF(Resp4[4.39],B10)</f>
        <v>2</v>
      </c>
      <c r="F10" s="4">
        <f t="shared" si="0"/>
        <v>8.33</v>
      </c>
      <c r="G10" s="3">
        <f t="shared" si="1"/>
        <v>28.571000000000002</v>
      </c>
    </row>
    <row r="11" spans="1:7" x14ac:dyDescent="0.25">
      <c r="B11" s="2" t="s">
        <v>200</v>
      </c>
      <c r="C11" s="4">
        <f>COUNTIFS(Resp4[Vínculo],"tecnico",Resp4[4.39],B11)</f>
        <v>0</v>
      </c>
      <c r="D11" s="4">
        <f>COUNTIFS(Resp4[Vínculo],"docente",Resp4[4.39],B11)</f>
        <v>3</v>
      </c>
      <c r="E11" s="4">
        <f>COUNTIF(Resp4[4.39],B11)</f>
        <v>3</v>
      </c>
      <c r="F11" s="4">
        <f t="shared" si="0"/>
        <v>12.5</v>
      </c>
      <c r="G11" s="3">
        <f t="shared" si="1"/>
        <v>42.856999999999999</v>
      </c>
    </row>
    <row r="12" spans="1:7" x14ac:dyDescent="0.25">
      <c r="B12" s="7" t="s">
        <v>197</v>
      </c>
      <c r="C12" s="4">
        <f>COUNTIFS(Resp4[Vínculo],"tecnico",Resp4[4.39],B12)</f>
        <v>0</v>
      </c>
      <c r="D12" s="4">
        <f>COUNTIFS(Resp4[Vínculo],"docente",Resp4[4.39],B12)</f>
        <v>2</v>
      </c>
      <c r="E12" s="4">
        <f>COUNTIF(Resp4[4.39],B12)</f>
        <v>2</v>
      </c>
      <c r="F12" s="22">
        <f t="shared" si="0"/>
        <v>8.33</v>
      </c>
      <c r="G12" s="3">
        <f t="shared" si="1"/>
        <v>28.571000000000002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28.571000000000002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71.429000000000002</v>
      </c>
    </row>
  </sheetData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85546875" style="2" customWidth="1"/>
    <col min="3" max="3" width="22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96</v>
      </c>
    </row>
    <row r="2" spans="1:7" x14ac:dyDescent="0.25">
      <c r="A2" s="2" t="str">
        <f>TEXT(A1,"0.00")</f>
        <v>4.40</v>
      </c>
      <c r="B2" s="2" t="str">
        <f>VLOOKUP(A$2,Eixo4[],3,FALSE)</f>
        <v>Considerando o Programa de Iniciação Científica e Tecnológica, avalie: [Os programas institucionais de bolsas (PIBIC, PIBIC - Af, PIBITI e PIBIC EM) quanto aos editais]</v>
      </c>
    </row>
    <row r="3" spans="1:7" x14ac:dyDescent="0.25">
      <c r="A3" s="2" t="s">
        <v>494</v>
      </c>
      <c r="B3" s="2" t="str">
        <f>VLOOKUP(A$2,Eixo4[],4,FALSE)</f>
        <v>Eixo 4: Questão 40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6</v>
      </c>
      <c r="E6" s="4">
        <f>E13-SUM(E7:E12)</f>
        <v>17</v>
      </c>
      <c r="F6" s="15">
        <f>ROUND($E6/E$13*100,2)</f>
        <v>70.83</v>
      </c>
    </row>
    <row r="7" spans="1:7" x14ac:dyDescent="0.25">
      <c r="B7" s="2" t="s">
        <v>203</v>
      </c>
      <c r="C7" s="4">
        <f>COUNTIFS(Resp4[Vínculo],"tecnico",Resp4[4.40],B7)</f>
        <v>0</v>
      </c>
      <c r="D7" s="4">
        <f>COUNTIFS(Resp4[Vínculo],"docente",Resp4[4.40],B7)</f>
        <v>0</v>
      </c>
      <c r="E7" s="4">
        <f>COUNTIF(Resp4[4.40],B7)</f>
        <v>0</v>
      </c>
      <c r="F7" s="15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COUNTIFS(Resp4[Vínculo],"tecnico",Resp4[4.40],B8)</f>
        <v>0</v>
      </c>
      <c r="D8" s="4">
        <f>COUNTIFS(Resp4[Vínculo],"docente",Resp4[4.40],B8)</f>
        <v>0</v>
      </c>
      <c r="E8" s="4">
        <f>COUNTIF(Resp4[4.40],B8)</f>
        <v>0</v>
      </c>
      <c r="F8" s="15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COUNTIFS(Resp4[Vínculo],"tecnico",Resp4[4.40],B9)</f>
        <v>0</v>
      </c>
      <c r="D9" s="4">
        <f>COUNTIFS(Resp4[Vínculo],"docente",Resp4[4.40],B9)</f>
        <v>0</v>
      </c>
      <c r="E9" s="4">
        <f>COUNTIF(Resp4[4.40],B9)</f>
        <v>0</v>
      </c>
      <c r="F9" s="15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COUNTIFS(Resp4[Vínculo],"tecnico",Resp4[4.40],B10)</f>
        <v>0</v>
      </c>
      <c r="D10" s="4">
        <f>COUNTIFS(Resp4[Vínculo],"docente",Resp4[4.40],B10)</f>
        <v>1</v>
      </c>
      <c r="E10" s="4">
        <f>COUNTIF(Resp4[4.40],B10)</f>
        <v>1</v>
      </c>
      <c r="F10" s="15">
        <f t="shared" si="0"/>
        <v>4.17</v>
      </c>
      <c r="G10" s="3">
        <f t="shared" si="1"/>
        <v>14.286</v>
      </c>
    </row>
    <row r="11" spans="1:7" x14ac:dyDescent="0.25">
      <c r="B11" s="2" t="s">
        <v>200</v>
      </c>
      <c r="C11" s="4">
        <f>COUNTIFS(Resp4[Vínculo],"tecnico",Resp4[4.40],B11)</f>
        <v>0</v>
      </c>
      <c r="D11" s="4">
        <f>COUNTIFS(Resp4[Vínculo],"docente",Resp4[4.40],B11)</f>
        <v>4</v>
      </c>
      <c r="E11" s="4">
        <f>COUNTIF(Resp4[4.40],B11)</f>
        <v>4</v>
      </c>
      <c r="F11" s="15">
        <f t="shared" si="0"/>
        <v>16.670000000000002</v>
      </c>
      <c r="G11" s="3">
        <f t="shared" si="1"/>
        <v>57.143000000000001</v>
      </c>
    </row>
    <row r="12" spans="1:7" x14ac:dyDescent="0.25">
      <c r="B12" s="7" t="s">
        <v>197</v>
      </c>
      <c r="C12" s="4">
        <f>COUNTIFS(Resp4[Vínculo],"tecnico",Resp4[4.40],B12)</f>
        <v>0</v>
      </c>
      <c r="D12" s="4">
        <f>COUNTIFS(Resp4[Vínculo],"docente",Resp4[4.40],B12)</f>
        <v>2</v>
      </c>
      <c r="E12" s="4">
        <f>COUNTIF(Resp4[4.40],B12)</f>
        <v>2</v>
      </c>
      <c r="F12" s="19">
        <f t="shared" si="0"/>
        <v>8.33</v>
      </c>
      <c r="G12" s="3">
        <f t="shared" si="1"/>
        <v>28.571000000000002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14.286</v>
      </c>
    </row>
    <row r="28" spans="2:7" x14ac:dyDescent="0.25">
      <c r="B28" s="32" t="s">
        <v>33</v>
      </c>
      <c r="C28" s="32" t="s">
        <v>32</v>
      </c>
      <c r="D28" s="18">
        <f>SUM(D11:D12)</f>
        <v>6</v>
      </c>
      <c r="E28" s="19">
        <f>ROUND(D28/SUM(D$25:D$28)*100,3)</f>
        <v>85.713999999999999</v>
      </c>
    </row>
  </sheetData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9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.5703125" style="2" customWidth="1"/>
    <col min="3" max="3" width="20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97</v>
      </c>
    </row>
    <row r="2" spans="1:7" x14ac:dyDescent="0.25">
      <c r="A2" s="2" t="str">
        <f>TEXT(A1,"0.00")</f>
        <v>4.41</v>
      </c>
      <c r="B2" s="2" t="str">
        <f>VLOOKUP(A$2,Eixo4[],3,FALSE)</f>
        <v>Considerando o Programa de Iniciação Científica e Tecnológica, avalie: [Os programas institucionais de bolsas (PIBIC, PIBIC - Af, PIBITI e PIBIC EM) quanto ao processo seletivo]</v>
      </c>
    </row>
    <row r="3" spans="1:7" x14ac:dyDescent="0.25">
      <c r="A3" s="2" t="s">
        <v>494</v>
      </c>
      <c r="B3" s="2" t="str">
        <f>VLOOKUP(A$2,Eixo4[],4,FALSE)</f>
        <v>Eixo 4: Questão 41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6</v>
      </c>
      <c r="E6" s="4">
        <f>E13-SUM(E7:E12)</f>
        <v>17</v>
      </c>
      <c r="F6" s="4">
        <f>ROUND($E6/E$13*100,2)</f>
        <v>70.83</v>
      </c>
    </row>
    <row r="7" spans="1:7" x14ac:dyDescent="0.25">
      <c r="B7" s="2" t="s">
        <v>203</v>
      </c>
      <c r="C7" s="4">
        <f>COUNTIFS(Resp4[Vínculo],"tecnico",Resp4[4.41],B7)</f>
        <v>0</v>
      </c>
      <c r="D7" s="4">
        <f>COUNTIFS(Resp4[Vínculo],"docente",Resp4[4.41],B7)</f>
        <v>0</v>
      </c>
      <c r="E7" s="4">
        <f>COUNTIF(Resp4[4.41],B7)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COUNTIFS(Resp4[Vínculo],"tecnico",Resp4[4.41],B8)</f>
        <v>0</v>
      </c>
      <c r="D8" s="4">
        <f>COUNTIFS(Resp4[Vínculo],"docente",Resp4[4.41],B8)</f>
        <v>0</v>
      </c>
      <c r="E8" s="4">
        <f>COUNTIF(Resp4[4.41],B8)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COUNTIFS(Resp4[Vínculo],"tecnico",Resp4[4.41],B9)</f>
        <v>0</v>
      </c>
      <c r="D9" s="4">
        <f>COUNTIFS(Resp4[Vínculo],"docente",Resp4[4.41],B9)</f>
        <v>0</v>
      </c>
      <c r="E9" s="4">
        <f>COUNTIF(Resp4[4.41],B9)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COUNTIFS(Resp4[Vínculo],"tecnico",Resp4[4.41],B10)</f>
        <v>0</v>
      </c>
      <c r="D10" s="4">
        <f>COUNTIFS(Resp4[Vínculo],"docente",Resp4[4.41],B10)</f>
        <v>3</v>
      </c>
      <c r="E10" s="4">
        <f>COUNTIF(Resp4[4.41],B10)</f>
        <v>3</v>
      </c>
      <c r="F10" s="4">
        <f t="shared" si="0"/>
        <v>12.5</v>
      </c>
      <c r="G10" s="3">
        <f t="shared" si="1"/>
        <v>42.856999999999999</v>
      </c>
    </row>
    <row r="11" spans="1:7" x14ac:dyDescent="0.25">
      <c r="B11" s="2" t="s">
        <v>200</v>
      </c>
      <c r="C11" s="4">
        <f>COUNTIFS(Resp4[Vínculo],"tecnico",Resp4[4.41],B11)</f>
        <v>0</v>
      </c>
      <c r="D11" s="4">
        <f>COUNTIFS(Resp4[Vínculo],"docente",Resp4[4.41],B11)</f>
        <v>2</v>
      </c>
      <c r="E11" s="4">
        <f>COUNTIF(Resp4[4.41],B11)</f>
        <v>2</v>
      </c>
      <c r="F11" s="4">
        <f t="shared" si="0"/>
        <v>8.33</v>
      </c>
      <c r="G11" s="3">
        <f t="shared" si="1"/>
        <v>28.571000000000002</v>
      </c>
    </row>
    <row r="12" spans="1:7" x14ac:dyDescent="0.25">
      <c r="B12" s="7" t="s">
        <v>197</v>
      </c>
      <c r="C12" s="4">
        <f>COUNTIFS(Resp4[Vínculo],"tecnico",Resp4[4.41],B12)</f>
        <v>0</v>
      </c>
      <c r="D12" s="4">
        <f>COUNTIFS(Resp4[Vínculo],"docente",Resp4[4.41],B12)</f>
        <v>2</v>
      </c>
      <c r="E12" s="4">
        <f>COUNTIF(Resp4[4.41],B12)</f>
        <v>2</v>
      </c>
      <c r="F12" s="22">
        <f t="shared" si="0"/>
        <v>8.33</v>
      </c>
      <c r="G12" s="3">
        <f t="shared" si="1"/>
        <v>28.571000000000002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42.856999999999999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57.143000000000001</v>
      </c>
    </row>
    <row r="109" ht="22.5" customHeight="1" x14ac:dyDescent="0.25"/>
  </sheetData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4" style="2" customWidth="1"/>
    <col min="3" max="3" width="23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98</v>
      </c>
    </row>
    <row r="2" spans="1:7" x14ac:dyDescent="0.25">
      <c r="A2" s="2" t="str">
        <f>TEXT(A1,"0.00")</f>
        <v>4.42</v>
      </c>
      <c r="B2" s="2" t="str">
        <f>VLOOKUP(A$2,Eixo4[],3,FALSE)</f>
        <v>Considerando o Programa de Iniciação Científica e Tecnológica, avalie: [Os programas institucionais de bolsas (PIBIC, PIBIC - Af, PIBITI e PIBIC EM) quanto ao cadastro de informações]</v>
      </c>
    </row>
    <row r="3" spans="1:7" x14ac:dyDescent="0.25">
      <c r="A3" s="2" t="s">
        <v>494</v>
      </c>
      <c r="B3" s="2" t="str">
        <f>VLOOKUP(A$2,Eixo4[],4,FALSE)</f>
        <v>Eixo 4: Questão 42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6</v>
      </c>
      <c r="E6" s="4">
        <f>E13-SUM(E7:E12)</f>
        <v>17</v>
      </c>
      <c r="F6" s="4">
        <f>ROUND($E6/E$13*100,2)</f>
        <v>70.83</v>
      </c>
    </row>
    <row r="7" spans="1:7" x14ac:dyDescent="0.25">
      <c r="B7" s="2" t="s">
        <v>203</v>
      </c>
      <c r="C7" s="4">
        <f>COUNTIFS(Resp4[Vínculo],"tecnico",Resp4[4.42],B7)</f>
        <v>0</v>
      </c>
      <c r="D7" s="4">
        <f>COUNTIFS(Resp4[Vínculo],"docente",Resp4[4.42],B7)</f>
        <v>0</v>
      </c>
      <c r="E7" s="4">
        <f>COUNTIF(Resp4[4.42],B7)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COUNTIFS(Resp4[Vínculo],"tecnico",Resp4[4.42],B8)</f>
        <v>0</v>
      </c>
      <c r="D8" s="4">
        <f>COUNTIFS(Resp4[Vínculo],"docente",Resp4[4.42],B8)</f>
        <v>1</v>
      </c>
      <c r="E8" s="4">
        <f>COUNTIF(Resp4[4.42],B8)</f>
        <v>1</v>
      </c>
      <c r="F8" s="4">
        <f t="shared" si="0"/>
        <v>4.17</v>
      </c>
      <c r="G8" s="3">
        <f t="shared" si="1"/>
        <v>14.286</v>
      </c>
    </row>
    <row r="9" spans="1:7" x14ac:dyDescent="0.25">
      <c r="B9" s="2" t="s">
        <v>202</v>
      </c>
      <c r="C9" s="4">
        <f>COUNTIFS(Resp4[Vínculo],"tecnico",Resp4[4.42],B9)</f>
        <v>0</v>
      </c>
      <c r="D9" s="4">
        <f>COUNTIFS(Resp4[Vínculo],"docente",Resp4[4.42],B9)</f>
        <v>0</v>
      </c>
      <c r="E9" s="4">
        <f>COUNTIF(Resp4[4.42],B9)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COUNTIFS(Resp4[Vínculo],"tecnico",Resp4[4.42],B10)</f>
        <v>0</v>
      </c>
      <c r="D10" s="4">
        <f>COUNTIFS(Resp4[Vínculo],"docente",Resp4[4.42],B10)</f>
        <v>1</v>
      </c>
      <c r="E10" s="4">
        <f>COUNTIF(Resp4[4.42],B10)</f>
        <v>1</v>
      </c>
      <c r="F10" s="4">
        <f t="shared" si="0"/>
        <v>4.17</v>
      </c>
      <c r="G10" s="3">
        <f t="shared" si="1"/>
        <v>14.286</v>
      </c>
    </row>
    <row r="11" spans="1:7" x14ac:dyDescent="0.25">
      <c r="B11" s="2" t="s">
        <v>200</v>
      </c>
      <c r="C11" s="4">
        <f>COUNTIFS(Resp4[Vínculo],"tecnico",Resp4[4.42],B11)</f>
        <v>0</v>
      </c>
      <c r="D11" s="4">
        <f>COUNTIFS(Resp4[Vínculo],"docente",Resp4[4.42],B11)</f>
        <v>3</v>
      </c>
      <c r="E11" s="4">
        <f>COUNTIF(Resp4[4.42],B11)</f>
        <v>3</v>
      </c>
      <c r="F11" s="4">
        <f t="shared" si="0"/>
        <v>12.5</v>
      </c>
      <c r="G11" s="3">
        <f t="shared" si="1"/>
        <v>42.856999999999999</v>
      </c>
    </row>
    <row r="12" spans="1:7" x14ac:dyDescent="0.25">
      <c r="B12" s="7" t="s">
        <v>197</v>
      </c>
      <c r="C12" s="4">
        <f>COUNTIFS(Resp4[Vínculo],"tecnico",Resp4[4.42],B12)</f>
        <v>0</v>
      </c>
      <c r="D12" s="4">
        <f>COUNTIFS(Resp4[Vínculo],"docente",Resp4[4.42],B12)</f>
        <v>2</v>
      </c>
      <c r="E12" s="4">
        <f>COUNTIF(Resp4[4.42],B12)</f>
        <v>2</v>
      </c>
      <c r="F12" s="22">
        <f t="shared" si="0"/>
        <v>8.33</v>
      </c>
      <c r="G12" s="3">
        <f t="shared" si="1"/>
        <v>28.571000000000002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14.286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14.286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71.429000000000002</v>
      </c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710937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99</v>
      </c>
    </row>
    <row r="2" spans="1:7" x14ac:dyDescent="0.25">
      <c r="A2" s="2" t="str">
        <f>TEXT(A1,"0.00")</f>
        <v>4.43</v>
      </c>
      <c r="B2" s="2" t="str">
        <f>VLOOKUP(A$2,Eixo4[],3,FALSE)</f>
        <v>Considerando o Programa de Iniciação Científica e Tecnológica, avalie: [A disponibilidade de bolsas]</v>
      </c>
    </row>
    <row r="3" spans="1:7" x14ac:dyDescent="0.25">
      <c r="A3" s="2" t="s">
        <v>494</v>
      </c>
      <c r="B3" s="2" t="str">
        <f>VLOOKUP(A$2,Eixo4[],4,FALSE)</f>
        <v>Eixo 4: Questão 43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6</v>
      </c>
      <c r="E6" s="4">
        <f>E13-SUM(E7:E12)</f>
        <v>17</v>
      </c>
      <c r="F6" s="4">
        <f>ROUND($E6/E$13*100,2)</f>
        <v>70.83</v>
      </c>
    </row>
    <row r="7" spans="1:7" x14ac:dyDescent="0.25">
      <c r="B7" s="2" t="s">
        <v>203</v>
      </c>
      <c r="C7" s="4">
        <f>COUNTIFS(Resp4[Vínculo],"tecnico",Resp4[4.43],B7)</f>
        <v>0</v>
      </c>
      <c r="D7" s="4">
        <f>COUNTIFS(Resp4[Vínculo],"docente",Resp4[4.43],B7)</f>
        <v>0</v>
      </c>
      <c r="E7" s="4">
        <f>COUNTIF(Resp4[4.43],B7)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COUNTIFS(Resp4[Vínculo],"tecnico",Resp4[4.43],B8)</f>
        <v>0</v>
      </c>
      <c r="D8" s="4">
        <f>COUNTIFS(Resp4[Vínculo],"docente",Resp4[4.43],B8)</f>
        <v>0</v>
      </c>
      <c r="E8" s="4">
        <f>COUNTIF(Resp4[4.43],B8)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COUNTIFS(Resp4[Vínculo],"tecnico",Resp4[4.43],B9)</f>
        <v>0</v>
      </c>
      <c r="D9" s="4">
        <f>COUNTIFS(Resp4[Vínculo],"docente",Resp4[4.43],B9)</f>
        <v>3</v>
      </c>
      <c r="E9" s="4">
        <f>COUNTIF(Resp4[4.43],B9)</f>
        <v>3</v>
      </c>
      <c r="F9" s="4">
        <f t="shared" si="0"/>
        <v>12.5</v>
      </c>
      <c r="G9" s="3">
        <f t="shared" si="1"/>
        <v>42.856999999999999</v>
      </c>
    </row>
    <row r="10" spans="1:7" x14ac:dyDescent="0.25">
      <c r="B10" s="2" t="s">
        <v>30</v>
      </c>
      <c r="C10" s="4">
        <f>COUNTIFS(Resp4[Vínculo],"tecnico",Resp4[4.43],B10)</f>
        <v>0</v>
      </c>
      <c r="D10" s="4">
        <f>COUNTIFS(Resp4[Vínculo],"docente",Resp4[4.43],B10)</f>
        <v>2</v>
      </c>
      <c r="E10" s="4">
        <f>COUNTIF(Resp4[4.43],B10)</f>
        <v>2</v>
      </c>
      <c r="F10" s="4">
        <f t="shared" si="0"/>
        <v>8.33</v>
      </c>
      <c r="G10" s="3">
        <f t="shared" si="1"/>
        <v>28.571000000000002</v>
      </c>
    </row>
    <row r="11" spans="1:7" x14ac:dyDescent="0.25">
      <c r="B11" s="2" t="s">
        <v>200</v>
      </c>
      <c r="C11" s="4">
        <f>COUNTIFS(Resp4[Vínculo],"tecnico",Resp4[4.43],B11)</f>
        <v>0</v>
      </c>
      <c r="D11" s="4">
        <f>COUNTIFS(Resp4[Vínculo],"docente",Resp4[4.43],B11)</f>
        <v>2</v>
      </c>
      <c r="E11" s="4">
        <f>COUNTIF(Resp4[4.43],B11)</f>
        <v>2</v>
      </c>
      <c r="F11" s="4">
        <f t="shared" si="0"/>
        <v>8.33</v>
      </c>
      <c r="G11" s="3">
        <f t="shared" si="1"/>
        <v>28.571000000000002</v>
      </c>
    </row>
    <row r="12" spans="1:7" x14ac:dyDescent="0.25">
      <c r="B12" s="7" t="s">
        <v>197</v>
      </c>
      <c r="C12" s="4">
        <f>COUNTIFS(Resp4[Vínculo],"tecnico",Resp4[4.43],B12)</f>
        <v>0</v>
      </c>
      <c r="D12" s="4">
        <f>COUNTIFS(Resp4[Vínculo],"docente",Resp4[4.43],B12)</f>
        <v>0</v>
      </c>
      <c r="E12" s="4">
        <f>COUNTIF(Resp4[4.43],B12)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42.856999999999999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28.571000000000002</v>
      </c>
    </row>
    <row r="28" spans="2:7" x14ac:dyDescent="0.25">
      <c r="B28" s="32" t="s">
        <v>33</v>
      </c>
      <c r="C28" s="32" t="s">
        <v>32</v>
      </c>
      <c r="D28" s="18">
        <f>SUM(D11:D12)</f>
        <v>2</v>
      </c>
      <c r="E28" s="19">
        <f>ROUND(D28/SUM(D$25:D$28)*100,3)</f>
        <v>28.571000000000002</v>
      </c>
    </row>
  </sheetData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8.85546875" style="2" customWidth="1"/>
    <col min="3" max="3" width="21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100</v>
      </c>
    </row>
    <row r="2" spans="1:7" x14ac:dyDescent="0.25">
      <c r="A2" s="2" t="str">
        <f>TEXT(A1,"0.00")</f>
        <v>4.44</v>
      </c>
      <c r="B2" s="2" t="str">
        <f>VLOOKUP(A$2,Eixo4[],3,FALSE)</f>
        <v>Considerando o Programa de Iniciação Científica e Tecnológica, avalie: [A compatibilidade da formação do aluno com o projeto]</v>
      </c>
    </row>
    <row r="3" spans="1:7" x14ac:dyDescent="0.25">
      <c r="A3" s="2" t="s">
        <v>494</v>
      </c>
      <c r="B3" s="2" t="str">
        <f>VLOOKUP(A$2,Eixo4[],4,FALSE)</f>
        <v>Eixo 4: Questão 44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6</v>
      </c>
      <c r="E6" s="4">
        <f>E13-SUM(E7:E12)</f>
        <v>17</v>
      </c>
      <c r="F6" s="4">
        <f>ROUND($E6/E$13*100,2)</f>
        <v>70.83</v>
      </c>
    </row>
    <row r="7" spans="1:7" x14ac:dyDescent="0.25">
      <c r="B7" s="2" t="s">
        <v>203</v>
      </c>
      <c r="C7" s="4">
        <f>COUNTIFS(Resp4[Vínculo],"tecnico",Resp4[4.44],B7)</f>
        <v>0</v>
      </c>
      <c r="D7" s="4">
        <f>COUNTIFS(Resp4[Vínculo],"docente",Resp4[4.44],B7)</f>
        <v>0</v>
      </c>
      <c r="E7" s="4">
        <f>COUNTIF(Resp4[4.44],B7)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COUNTIFS(Resp4[Vínculo],"tecnico",Resp4[4.44],B8)</f>
        <v>0</v>
      </c>
      <c r="D8" s="4">
        <f>COUNTIFS(Resp4[Vínculo],"docente",Resp4[4.44],B8)</f>
        <v>0</v>
      </c>
      <c r="E8" s="4">
        <f>COUNTIF(Resp4[4.44],B8)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COUNTIFS(Resp4[Vínculo],"tecnico",Resp4[4.44],B9)</f>
        <v>0</v>
      </c>
      <c r="D9" s="4">
        <f>COUNTIFS(Resp4[Vínculo],"docente",Resp4[4.44],B9)</f>
        <v>0</v>
      </c>
      <c r="E9" s="4">
        <f>COUNTIF(Resp4[4.44],B9)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COUNTIFS(Resp4[Vínculo],"tecnico",Resp4[4.44],B10)</f>
        <v>0</v>
      </c>
      <c r="D10" s="4">
        <f>COUNTIFS(Resp4[Vínculo],"docente",Resp4[4.44],B10)</f>
        <v>1</v>
      </c>
      <c r="E10" s="4">
        <f>COUNTIF(Resp4[4.44],B10)</f>
        <v>1</v>
      </c>
      <c r="F10" s="4">
        <f t="shared" si="0"/>
        <v>4.17</v>
      </c>
      <c r="G10" s="3">
        <f t="shared" si="1"/>
        <v>14.286</v>
      </c>
    </row>
    <row r="11" spans="1:7" x14ac:dyDescent="0.25">
      <c r="B11" s="2" t="s">
        <v>200</v>
      </c>
      <c r="C11" s="4">
        <f>COUNTIFS(Resp4[Vínculo],"tecnico",Resp4[4.44],B11)</f>
        <v>0</v>
      </c>
      <c r="D11" s="4">
        <f>COUNTIFS(Resp4[Vínculo],"docente",Resp4[4.44],B11)</f>
        <v>3</v>
      </c>
      <c r="E11" s="4">
        <f>COUNTIF(Resp4[4.44],B11)</f>
        <v>3</v>
      </c>
      <c r="F11" s="4">
        <f t="shared" si="0"/>
        <v>12.5</v>
      </c>
      <c r="G11" s="3">
        <f t="shared" si="1"/>
        <v>42.856999999999999</v>
      </c>
    </row>
    <row r="12" spans="1:7" x14ac:dyDescent="0.25">
      <c r="B12" s="7" t="s">
        <v>197</v>
      </c>
      <c r="C12" s="4">
        <f>COUNTIFS(Resp4[Vínculo],"tecnico",Resp4[4.44],B12)</f>
        <v>0</v>
      </c>
      <c r="D12" s="4">
        <f>COUNTIFS(Resp4[Vínculo],"docente",Resp4[4.44],B12)</f>
        <v>3</v>
      </c>
      <c r="E12" s="4">
        <f>COUNTIF(Resp4[4.44],B12)</f>
        <v>3</v>
      </c>
      <c r="F12" s="22">
        <f t="shared" si="0"/>
        <v>12.5</v>
      </c>
      <c r="G12" s="3">
        <f t="shared" si="1"/>
        <v>42.856999999999999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14.286</v>
      </c>
    </row>
    <row r="28" spans="2:7" x14ac:dyDescent="0.25">
      <c r="B28" s="32" t="s">
        <v>33</v>
      </c>
      <c r="C28" s="32" t="s">
        <v>32</v>
      </c>
      <c r="D28" s="18">
        <f>SUM(D11:D12)</f>
        <v>6</v>
      </c>
      <c r="E28" s="19">
        <f>ROUND(D28/SUM(D$25:D$28)*100,3)</f>
        <v>85.713999999999999</v>
      </c>
    </row>
  </sheetData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28515625" style="2" customWidth="1"/>
    <col min="3" max="3" width="17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101</v>
      </c>
    </row>
    <row r="2" spans="1:7" x14ac:dyDescent="0.25">
      <c r="A2" s="2" t="str">
        <f>TEXT(A1,"0.00")</f>
        <v>4.45</v>
      </c>
      <c r="B2" s="2" t="str">
        <f>VLOOKUP(A$2,Eixo4[],3,FALSE)</f>
        <v>Considerando o Programa de Iniciação Científica e Tecnológica, avalie: [A disponibilidade do aluno para as atividades de pesquisa]</v>
      </c>
    </row>
    <row r="3" spans="1:7" x14ac:dyDescent="0.25">
      <c r="A3" s="2" t="s">
        <v>494</v>
      </c>
      <c r="B3" s="2" t="str">
        <f>VLOOKUP(A$2,Eixo4[],4,FALSE)</f>
        <v>Eixo 4: Questão 45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6</v>
      </c>
      <c r="E6" s="4">
        <f>E13-SUM(E7:E12)</f>
        <v>17</v>
      </c>
      <c r="F6" s="4">
        <f>ROUND($E6/E$13*100,2)</f>
        <v>70.83</v>
      </c>
    </row>
    <row r="7" spans="1:7" x14ac:dyDescent="0.25">
      <c r="B7" s="2" t="s">
        <v>203</v>
      </c>
      <c r="C7" s="4">
        <f>COUNTIFS(Resp4[Vínculo],"tecnico",Resp4[4.45],B7)</f>
        <v>0</v>
      </c>
      <c r="D7" s="4">
        <f>COUNTIFS(Resp4[Vínculo],"docente",Resp4[4.45],B7)</f>
        <v>0</v>
      </c>
      <c r="E7" s="4">
        <f>COUNTIF(Resp4[4.45],B7)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COUNTIFS(Resp4[Vínculo],"tecnico",Resp4[4.45],B8)</f>
        <v>0</v>
      </c>
      <c r="D8" s="4">
        <f>COUNTIFS(Resp4[Vínculo],"docente",Resp4[4.45],B8)</f>
        <v>0</v>
      </c>
      <c r="E8" s="4">
        <f>COUNTIF(Resp4[4.45],B8)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COUNTIFS(Resp4[Vínculo],"tecnico",Resp4[4.45],B9)</f>
        <v>0</v>
      </c>
      <c r="D9" s="4">
        <f>COUNTIFS(Resp4[Vínculo],"docente",Resp4[4.45],B9)</f>
        <v>0</v>
      </c>
      <c r="E9" s="4">
        <f>COUNTIF(Resp4[4.45],B9)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COUNTIFS(Resp4[Vínculo],"tecnico",Resp4[4.45],B10)</f>
        <v>0</v>
      </c>
      <c r="D10" s="4">
        <f>COUNTIFS(Resp4[Vínculo],"docente",Resp4[4.45],B10)</f>
        <v>3</v>
      </c>
      <c r="E10" s="4">
        <f>COUNTIF(Resp4[4.45],B10)</f>
        <v>3</v>
      </c>
      <c r="F10" s="4">
        <f t="shared" si="0"/>
        <v>12.5</v>
      </c>
      <c r="G10" s="3">
        <f t="shared" si="1"/>
        <v>42.856999999999999</v>
      </c>
    </row>
    <row r="11" spans="1:7" x14ac:dyDescent="0.25">
      <c r="B11" s="2" t="s">
        <v>200</v>
      </c>
      <c r="C11" s="4">
        <f>COUNTIFS(Resp4[Vínculo],"tecnico",Resp4[4.45],B11)</f>
        <v>0</v>
      </c>
      <c r="D11" s="4">
        <f>COUNTIFS(Resp4[Vínculo],"docente",Resp4[4.45],B11)</f>
        <v>3</v>
      </c>
      <c r="E11" s="4">
        <f>COUNTIF(Resp4[4.45],B11)</f>
        <v>3</v>
      </c>
      <c r="F11" s="4">
        <f t="shared" si="0"/>
        <v>12.5</v>
      </c>
      <c r="G11" s="3">
        <f t="shared" si="1"/>
        <v>42.856999999999999</v>
      </c>
    </row>
    <row r="12" spans="1:7" x14ac:dyDescent="0.25">
      <c r="B12" s="7" t="s">
        <v>197</v>
      </c>
      <c r="C12" s="4">
        <f>COUNTIFS(Resp4[Vínculo],"tecnico",Resp4[4.45],B12)</f>
        <v>0</v>
      </c>
      <c r="D12" s="4">
        <f>COUNTIFS(Resp4[Vínculo],"docente",Resp4[4.45],B12)</f>
        <v>1</v>
      </c>
      <c r="E12" s="4">
        <f>COUNTIF(Resp4[4.45],B12)</f>
        <v>1</v>
      </c>
      <c r="F12" s="22">
        <f t="shared" si="0"/>
        <v>4.17</v>
      </c>
      <c r="G12" s="3">
        <f t="shared" si="1"/>
        <v>14.286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42.856999999999999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57.143000000000001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57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4.01</v>
      </c>
      <c r="B2" s="2" t="str">
        <f>VLOOKUP(A$2, Eixo4[], 3, FALSE)</f>
        <v>Por gentileza, escolha Sim se você deseja avaliar temas do ensino da graduação; se quiser prosseguir, escolha Não: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1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196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3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COUNTIFS(Resp4[Vínculo],"tecnico",Resp4[4.01],B7)</f>
        <v>2</v>
      </c>
      <c r="D7" s="4">
        <f>COUNTIFS(Resp4[Vínculo],"docente",Resp4[4.01],B7)</f>
        <v>13</v>
      </c>
      <c r="E7" s="2">
        <f>COUNTIF(Resp4[4.01],B7)</f>
        <v>15</v>
      </c>
      <c r="F7" s="3">
        <f t="shared" ref="F7:F8" si="0">ROUND($E7/E$9*100,2)</f>
        <v>62.5</v>
      </c>
      <c r="G7" s="4">
        <f>ROUND($E7/SUM($E$7:$E$8)*100,2)</f>
        <v>62.5</v>
      </c>
      <c r="H7" s="2"/>
    </row>
    <row r="8" spans="1:8" x14ac:dyDescent="0.25">
      <c r="A8" s="2"/>
      <c r="B8" s="2" t="s">
        <v>194</v>
      </c>
      <c r="C8" s="4">
        <f>COUNTIFS(Resp4[Vínculo],"tecnico",Resp4[4.01],B8)</f>
        <v>9</v>
      </c>
      <c r="D8" s="4">
        <f>COUNTIFS(Resp4[Vínculo],"docente",Resp4[4.01],B8)</f>
        <v>0</v>
      </c>
      <c r="E8" s="2">
        <f>COUNTIF(Resp4[4.01],B8)</f>
        <v>9</v>
      </c>
      <c r="F8" s="24">
        <f t="shared" si="0"/>
        <v>37.5</v>
      </c>
      <c r="G8" s="4">
        <f>ROUND($E8/SUM($E$7:$E$8)*100,2)</f>
        <v>37.5</v>
      </c>
      <c r="H8" s="2"/>
    </row>
    <row r="9" spans="1:8" x14ac:dyDescent="0.25">
      <c r="A9" s="2"/>
      <c r="B9" s="8" t="s">
        <v>502</v>
      </c>
      <c r="C9" s="8">
        <f>SUM(C6:C8)</f>
        <v>11</v>
      </c>
      <c r="D9" s="8">
        <f>SUM(D6:D8)</f>
        <v>13</v>
      </c>
      <c r="E9" s="8">
        <f>SUM(C9:D9)</f>
        <v>24</v>
      </c>
      <c r="F9" s="15">
        <f>SUM(F6:F8)</f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4.85546875" style="2" customWidth="1"/>
    <col min="3" max="3" width="18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102</v>
      </c>
    </row>
    <row r="2" spans="1:7" x14ac:dyDescent="0.25">
      <c r="A2" s="2" t="str">
        <f>TEXT(A1,"0.00")</f>
        <v>4.46</v>
      </c>
      <c r="B2" s="2" t="str">
        <f>VLOOKUP(A$2,Eixo4[],3,FALSE)</f>
        <v>Considerando o Programa de Iniciação Científica e Tecnológica, avalie: [As melhorias das expectativas profissionais do aluno (acesso à PG ou ao mercado de trabalho)]</v>
      </c>
    </row>
    <row r="3" spans="1:7" x14ac:dyDescent="0.25">
      <c r="A3" s="2" t="s">
        <v>494</v>
      </c>
      <c r="B3" s="2" t="str">
        <f>VLOOKUP(A$2,Eixo4[],4,FALSE)</f>
        <v>Eixo 4: Questão 46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6</v>
      </c>
      <c r="E6" s="4">
        <f>E13-SUM(E7:E12)</f>
        <v>17</v>
      </c>
      <c r="F6" s="4">
        <f>ROUND($E6/E$13*100,2)</f>
        <v>70.83</v>
      </c>
    </row>
    <row r="7" spans="1:7" x14ac:dyDescent="0.25">
      <c r="B7" s="2" t="s">
        <v>203</v>
      </c>
      <c r="C7" s="4">
        <f>COUNTIFS(Resp4[Vínculo],"tecnico",Resp4[4.46],B7)</f>
        <v>0</v>
      </c>
      <c r="D7" s="4">
        <f>COUNTIFS(Resp4[Vínculo],"docente",Resp4[4.46],B7)</f>
        <v>0</v>
      </c>
      <c r="E7" s="4">
        <f>COUNTIF(Resp4[4.46],B7)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COUNTIFS(Resp4[Vínculo],"tecnico",Resp4[4.46],B8)</f>
        <v>0</v>
      </c>
      <c r="D8" s="4">
        <f>COUNTIFS(Resp4[Vínculo],"docente",Resp4[4.46],B8)</f>
        <v>0</v>
      </c>
      <c r="E8" s="4">
        <f>COUNTIF(Resp4[4.46],B8)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COUNTIFS(Resp4[Vínculo],"tecnico",Resp4[4.46],B9)</f>
        <v>0</v>
      </c>
      <c r="D9" s="4">
        <f>COUNTIFS(Resp4[Vínculo],"docente",Resp4[4.46],B9)</f>
        <v>0</v>
      </c>
      <c r="E9" s="4">
        <f>COUNTIF(Resp4[4.46],B9)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COUNTIFS(Resp4[Vínculo],"tecnico",Resp4[4.46],B10)</f>
        <v>0</v>
      </c>
      <c r="D10" s="4">
        <f>COUNTIFS(Resp4[Vínculo],"docente",Resp4[4.46],B10)</f>
        <v>2</v>
      </c>
      <c r="E10" s="4">
        <f>COUNTIF(Resp4[4.46],B10)</f>
        <v>2</v>
      </c>
      <c r="F10" s="4">
        <f t="shared" si="0"/>
        <v>8.33</v>
      </c>
      <c r="G10" s="3">
        <f t="shared" si="1"/>
        <v>28.571000000000002</v>
      </c>
    </row>
    <row r="11" spans="1:7" x14ac:dyDescent="0.25">
      <c r="B11" s="2" t="s">
        <v>200</v>
      </c>
      <c r="C11" s="4">
        <f>COUNTIFS(Resp4[Vínculo],"tecnico",Resp4[4.46],B11)</f>
        <v>0</v>
      </c>
      <c r="D11" s="4">
        <f>COUNTIFS(Resp4[Vínculo],"docente",Resp4[4.46],B11)</f>
        <v>3</v>
      </c>
      <c r="E11" s="4">
        <f>COUNTIF(Resp4[4.46],B11)</f>
        <v>3</v>
      </c>
      <c r="F11" s="4">
        <f t="shared" si="0"/>
        <v>12.5</v>
      </c>
      <c r="G11" s="3">
        <f t="shared" si="1"/>
        <v>42.856999999999999</v>
      </c>
    </row>
    <row r="12" spans="1:7" x14ac:dyDescent="0.25">
      <c r="B12" s="7" t="s">
        <v>197</v>
      </c>
      <c r="C12" s="4">
        <f>COUNTIFS(Resp4[Vínculo],"tecnico",Resp4[4.46],B12)</f>
        <v>0</v>
      </c>
      <c r="D12" s="4">
        <f>COUNTIFS(Resp4[Vínculo],"docente",Resp4[4.46],B12)</f>
        <v>2</v>
      </c>
      <c r="E12" s="4">
        <f>COUNTIF(Resp4[4.46],B12)</f>
        <v>2</v>
      </c>
      <c r="F12" s="22">
        <f t="shared" si="0"/>
        <v>8.33</v>
      </c>
      <c r="G12" s="3">
        <f t="shared" si="1"/>
        <v>28.571000000000002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28.571000000000002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71.429000000000002</v>
      </c>
    </row>
  </sheetData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140625" style="2" customWidth="1"/>
    <col min="3" max="3" width="18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103</v>
      </c>
    </row>
    <row r="2" spans="1:7" x14ac:dyDescent="0.25">
      <c r="A2" s="2" t="str">
        <f>TEXT(A1,"0.00")</f>
        <v>4.47</v>
      </c>
      <c r="B2" s="2" t="str">
        <f>VLOOKUP(A$2,Eixo4[],3,FALSE)</f>
        <v>Considerando o Programa de Iniciação Científica e Tecnológica, avalie: [O desempenho do aluno em relação ao seu desenvolvimento, considerando os objetivos acadêmicos e sociais do programa]</v>
      </c>
    </row>
    <row r="3" spans="1:7" x14ac:dyDescent="0.25">
      <c r="A3" s="2" t="s">
        <v>494</v>
      </c>
      <c r="B3" s="2" t="str">
        <f>VLOOKUP(A$2,Eixo4[],4,FALSE)</f>
        <v>Eixo 4: Questão 47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6</v>
      </c>
      <c r="E6" s="4">
        <f>E13-SUM(E7:E12)</f>
        <v>17</v>
      </c>
      <c r="F6" s="4">
        <f>ROUND($E6/E$13*100,2)</f>
        <v>70.83</v>
      </c>
    </row>
    <row r="7" spans="1:7" x14ac:dyDescent="0.25">
      <c r="B7" s="2" t="s">
        <v>203</v>
      </c>
      <c r="C7" s="4">
        <f>COUNTIFS(Resp4[Vínculo],"tecnico",Resp4[4.47],B7)</f>
        <v>0</v>
      </c>
      <c r="D7" s="4">
        <f>COUNTIFS(Resp4[Vínculo],"docente",Resp4[4.47],B7)</f>
        <v>0</v>
      </c>
      <c r="E7" s="4">
        <f>COUNTIF(Resp4[4.47],B7)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COUNTIFS(Resp4[Vínculo],"tecnico",Resp4[4.47],B8)</f>
        <v>0</v>
      </c>
      <c r="D8" s="4">
        <f>COUNTIFS(Resp4[Vínculo],"docente",Resp4[4.47],B8)</f>
        <v>0</v>
      </c>
      <c r="E8" s="4">
        <f>COUNTIF(Resp4[4.47],B8)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COUNTIFS(Resp4[Vínculo],"tecnico",Resp4[4.47],B9)</f>
        <v>0</v>
      </c>
      <c r="D9" s="4">
        <f>COUNTIFS(Resp4[Vínculo],"docente",Resp4[4.47],B9)</f>
        <v>0</v>
      </c>
      <c r="E9" s="4">
        <f>COUNTIF(Resp4[4.47],B9)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COUNTIFS(Resp4[Vínculo],"tecnico",Resp4[4.47],B10)</f>
        <v>0</v>
      </c>
      <c r="D10" s="4">
        <f>COUNTIFS(Resp4[Vínculo],"docente",Resp4[4.47],B10)</f>
        <v>1</v>
      </c>
      <c r="E10" s="4">
        <f>COUNTIF(Resp4[4.47],B10)</f>
        <v>1</v>
      </c>
      <c r="F10" s="4">
        <f t="shared" si="0"/>
        <v>4.17</v>
      </c>
      <c r="G10" s="3">
        <f t="shared" si="1"/>
        <v>14.286</v>
      </c>
    </row>
    <row r="11" spans="1:7" x14ac:dyDescent="0.25">
      <c r="B11" s="2" t="s">
        <v>200</v>
      </c>
      <c r="C11" s="4">
        <f>COUNTIFS(Resp4[Vínculo],"tecnico",Resp4[4.47],B11)</f>
        <v>0</v>
      </c>
      <c r="D11" s="4">
        <f>COUNTIFS(Resp4[Vínculo],"docente",Resp4[4.47],B11)</f>
        <v>4</v>
      </c>
      <c r="E11" s="4">
        <f>COUNTIF(Resp4[4.47],B11)</f>
        <v>4</v>
      </c>
      <c r="F11" s="4">
        <f t="shared" si="0"/>
        <v>16.670000000000002</v>
      </c>
      <c r="G11" s="3">
        <f t="shared" si="1"/>
        <v>57.143000000000001</v>
      </c>
    </row>
    <row r="12" spans="1:7" x14ac:dyDescent="0.25">
      <c r="B12" s="7" t="s">
        <v>197</v>
      </c>
      <c r="C12" s="4">
        <f>COUNTIFS(Resp4[Vínculo],"tecnico",Resp4[4.47],B12)</f>
        <v>0</v>
      </c>
      <c r="D12" s="4">
        <f>COUNTIFS(Resp4[Vínculo],"docente",Resp4[4.47],B12)</f>
        <v>2</v>
      </c>
      <c r="E12" s="4">
        <f>COUNTIF(Resp4[4.47],B12)</f>
        <v>2</v>
      </c>
      <c r="F12" s="22">
        <f t="shared" si="0"/>
        <v>8.33</v>
      </c>
      <c r="G12" s="3">
        <f t="shared" si="1"/>
        <v>28.571000000000002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14.286</v>
      </c>
    </row>
    <row r="28" spans="2:7" x14ac:dyDescent="0.25">
      <c r="B28" s="32" t="s">
        <v>33</v>
      </c>
      <c r="C28" s="32" t="s">
        <v>32</v>
      </c>
      <c r="D28" s="18">
        <f>SUM(D11:D12)</f>
        <v>6</v>
      </c>
      <c r="E28" s="19">
        <f>ROUND(D28/SUM(D$25:D$28)*100,3)</f>
        <v>85.713999999999999</v>
      </c>
    </row>
  </sheetData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8.7109375" style="2" customWidth="1"/>
    <col min="3" max="3" width="19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104</v>
      </c>
    </row>
    <row r="2" spans="1:7" x14ac:dyDescent="0.25">
      <c r="A2" s="2" t="str">
        <f>TEXT(A1,"0.00")</f>
        <v>4.48</v>
      </c>
      <c r="B2" s="2" t="str">
        <f>VLOOKUP(A$2,Eixo4[],3,FALSE)</f>
        <v>Considerando o Programa de Iniciação Científica e Tecnológica, avalie: [O calendário de atividades]</v>
      </c>
    </row>
    <row r="3" spans="1:7" x14ac:dyDescent="0.25">
      <c r="A3" s="2" t="s">
        <v>494</v>
      </c>
      <c r="B3" s="2" t="str">
        <f>VLOOKUP(A$2,Eixo4[],4,FALSE)</f>
        <v>Eixo 4: Questão 48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6</v>
      </c>
      <c r="E6" s="4">
        <f>E13-SUM(E7:E12)</f>
        <v>17</v>
      </c>
      <c r="F6" s="4">
        <f>ROUND($E6/E$13*100,2)</f>
        <v>70.83</v>
      </c>
    </row>
    <row r="7" spans="1:7" x14ac:dyDescent="0.25">
      <c r="B7" s="2" t="s">
        <v>203</v>
      </c>
      <c r="C7" s="4">
        <f>COUNTIFS(Resp4[Vínculo],"tecnico",Resp4[4.48],B7)</f>
        <v>0</v>
      </c>
      <c r="D7" s="4">
        <f>COUNTIFS(Resp4[Vínculo],"docente",Resp4[4.48],B7)</f>
        <v>0</v>
      </c>
      <c r="E7" s="4">
        <f>COUNTIF(Resp4[4.48],B7)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COUNTIFS(Resp4[Vínculo],"tecnico",Resp4[4.48],B8)</f>
        <v>0</v>
      </c>
      <c r="D8" s="4">
        <f>COUNTIFS(Resp4[Vínculo],"docente",Resp4[4.48],B8)</f>
        <v>0</v>
      </c>
      <c r="E8" s="4">
        <f>COUNTIF(Resp4[4.48],B8)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COUNTIFS(Resp4[Vínculo],"tecnico",Resp4[4.48],B9)</f>
        <v>0</v>
      </c>
      <c r="D9" s="4">
        <f>COUNTIFS(Resp4[Vínculo],"docente",Resp4[4.48],B9)</f>
        <v>0</v>
      </c>
      <c r="E9" s="4">
        <f>COUNTIF(Resp4[4.48],B9)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COUNTIFS(Resp4[Vínculo],"tecnico",Resp4[4.48],B10)</f>
        <v>0</v>
      </c>
      <c r="D10" s="4">
        <f>COUNTIFS(Resp4[Vínculo],"docente",Resp4[4.48],B10)</f>
        <v>2</v>
      </c>
      <c r="E10" s="4">
        <f>COUNTIF(Resp4[4.48],B10)</f>
        <v>2</v>
      </c>
      <c r="F10" s="4">
        <f t="shared" si="0"/>
        <v>8.33</v>
      </c>
      <c r="G10" s="3">
        <f t="shared" si="1"/>
        <v>28.571000000000002</v>
      </c>
    </row>
    <row r="11" spans="1:7" x14ac:dyDescent="0.25">
      <c r="B11" s="2" t="s">
        <v>200</v>
      </c>
      <c r="C11" s="4">
        <f>COUNTIFS(Resp4[Vínculo],"tecnico",Resp4[4.48],B11)</f>
        <v>0</v>
      </c>
      <c r="D11" s="4">
        <f>COUNTIFS(Resp4[Vínculo],"docente",Resp4[4.48],B11)</f>
        <v>4</v>
      </c>
      <c r="E11" s="4">
        <f>COUNTIF(Resp4[4.48],B11)</f>
        <v>4</v>
      </c>
      <c r="F11" s="4">
        <f t="shared" si="0"/>
        <v>16.670000000000002</v>
      </c>
      <c r="G11" s="3">
        <f t="shared" si="1"/>
        <v>57.143000000000001</v>
      </c>
    </row>
    <row r="12" spans="1:7" x14ac:dyDescent="0.25">
      <c r="B12" s="7" t="s">
        <v>197</v>
      </c>
      <c r="C12" s="4">
        <f>COUNTIFS(Resp4[Vínculo],"tecnico",Resp4[4.48],B12)</f>
        <v>0</v>
      </c>
      <c r="D12" s="4">
        <f>COUNTIFS(Resp4[Vínculo],"docente",Resp4[4.48],B12)</f>
        <v>1</v>
      </c>
      <c r="E12" s="4">
        <f>COUNTIF(Resp4[4.48],B12)</f>
        <v>1</v>
      </c>
      <c r="F12" s="22">
        <f t="shared" si="0"/>
        <v>4.17</v>
      </c>
      <c r="G12" s="3">
        <f t="shared" si="1"/>
        <v>14.286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28.571000000000002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71.429000000000002</v>
      </c>
    </row>
  </sheetData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106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4.50</v>
      </c>
      <c r="B2" s="2" t="str">
        <f>VLOOKUP(A$2, Eixo4[], 3, FALSE)</f>
        <v>Você está envolvido/a e/ou participou de atividades de extensão na UFPR (na condição de coordenação de atividade, membro de equipe, Comitê Setorial de Extensão, CAEX ou gestão/planejamento da política de extensão)?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50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196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COUNTIFS(Resp4[Vínculo],"tecnico",Resp4[4.50],B7)</f>
        <v>4</v>
      </c>
      <c r="D7" s="4">
        <f>COUNTIFS(Resp4[Vínculo],"docente",Resp4[4.50],B7)</f>
        <v>11</v>
      </c>
      <c r="E7" s="2">
        <f>COUNTIF(Resp4[4.50],B7)</f>
        <v>15</v>
      </c>
      <c r="F7" s="4">
        <f t="shared" ref="F7:F9" si="0">ROUND($E7/E$9*100,2)</f>
        <v>62.5</v>
      </c>
      <c r="G7" s="4">
        <f>ROUND($E7/SUM($E$7:$E$8)*100,2)</f>
        <v>62.5</v>
      </c>
      <c r="H7" s="2"/>
    </row>
    <row r="8" spans="1:8" x14ac:dyDescent="0.25">
      <c r="A8" s="2"/>
      <c r="B8" s="2" t="s">
        <v>194</v>
      </c>
      <c r="C8" s="4">
        <f>COUNTIFS(Resp4[Vínculo],"tecnico",Resp4[4.50],B8)</f>
        <v>7</v>
      </c>
      <c r="D8" s="4">
        <f>COUNTIFS(Resp4[Vínculo],"docente",Resp4[4.50],B8)</f>
        <v>2</v>
      </c>
      <c r="E8" s="2">
        <f>COUNTIF(Resp4[4.50],B8)</f>
        <v>9</v>
      </c>
      <c r="F8" s="22">
        <f t="shared" si="0"/>
        <v>37.5</v>
      </c>
      <c r="G8" s="4">
        <f>ROUND($E8/SUM($E$7:$E$8)*100,2)</f>
        <v>37.5</v>
      </c>
      <c r="H8" s="2"/>
    </row>
    <row r="9" spans="1:8" x14ac:dyDescent="0.25">
      <c r="A9" s="2"/>
      <c r="B9" s="8" t="s">
        <v>502</v>
      </c>
      <c r="C9" s="8">
        <f>SUM(C6:C8)</f>
        <v>11</v>
      </c>
      <c r="D9" s="8">
        <f>SUM(D6:D8)</f>
        <v>13</v>
      </c>
      <c r="E9" s="8">
        <f>SUM(C9:D9)</f>
        <v>24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107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4.51</v>
      </c>
      <c r="B2" s="2" t="str">
        <f>VLOOKUP(A$2, Eixo4[], 3, FALSE)</f>
        <v>Você está acompanhando o processo de adequação do currículo dos cursos de graduação visando à inclusão da extensão, conforme a Meta 12.7 da Lei n.º 13.005/2014 (Plano Nacional de educação 2014-2024), a Resolução CNE n.º 7 de 18/12/2018 e a Resolução n.º 86/20-CEPE?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51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196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COUNTIFS(Resp4[Vínculo],"tecnico",Resp4[4.51],B7)</f>
        <v>4</v>
      </c>
      <c r="D7" s="4">
        <f>COUNTIFS(Resp4[Vínculo],"docente",Resp4[4.51],B7)</f>
        <v>10</v>
      </c>
      <c r="E7" s="2">
        <f>COUNTIF(Resp4[4.51],B7)</f>
        <v>14</v>
      </c>
      <c r="F7" s="4">
        <f t="shared" ref="F7:F9" si="0">ROUND($E7/E$9*100,2)</f>
        <v>58.33</v>
      </c>
      <c r="G7" s="4">
        <f>ROUND($E7/SUM($E$7:$E$8)*100,2)</f>
        <v>58.33</v>
      </c>
      <c r="H7" s="2"/>
    </row>
    <row r="8" spans="1:8" x14ac:dyDescent="0.25">
      <c r="A8" s="2"/>
      <c r="B8" s="2" t="s">
        <v>194</v>
      </c>
      <c r="C8" s="4">
        <f>COUNTIFS(Resp4[Vínculo],"tecnico",Resp4[4.51],B8)</f>
        <v>7</v>
      </c>
      <c r="D8" s="4">
        <f>COUNTIFS(Resp4[Vínculo],"docente",Resp4[4.51],B8)</f>
        <v>3</v>
      </c>
      <c r="E8" s="2">
        <f>COUNTIF(Resp4[4.51],B8)</f>
        <v>10</v>
      </c>
      <c r="F8" s="22">
        <f t="shared" si="0"/>
        <v>41.67</v>
      </c>
      <c r="G8" s="4">
        <f>ROUND($E8/SUM($E$7:$E$8)*100,2)</f>
        <v>41.67</v>
      </c>
      <c r="H8" s="2"/>
    </row>
    <row r="9" spans="1:8" x14ac:dyDescent="0.25">
      <c r="A9" s="2"/>
      <c r="B9" s="8" t="s">
        <v>502</v>
      </c>
      <c r="C9" s="8">
        <f>SUM(C6:C8)</f>
        <v>11</v>
      </c>
      <c r="D9" s="8">
        <f>SUM(D6:D8)</f>
        <v>13</v>
      </c>
      <c r="E9" s="8">
        <f>SUM(C9:D9)</f>
        <v>24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5703125" style="2" customWidth="1"/>
    <col min="3" max="3" width="16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108</v>
      </c>
    </row>
    <row r="2" spans="1:7" x14ac:dyDescent="0.25">
      <c r="A2" s="2" t="str">
        <f>TEXT(A1,"0.00")</f>
        <v>4.52</v>
      </c>
      <c r="B2" s="2" t="str">
        <f>VLOOKUP(A$2,Eixo4[],3,FALSE)</f>
        <v>Avalie as ações de orientação da Comissão de Implantação da Creditação da Extensão na UFPR (PROEC e PROGRAD) para revisão curricular visando implementar a creditação da extensão nos cursos:</v>
      </c>
    </row>
    <row r="3" spans="1:7" x14ac:dyDescent="0.25">
      <c r="A3" s="2" t="s">
        <v>494</v>
      </c>
      <c r="B3" s="2" t="str">
        <f>VLOOKUP(A$2,Eixo4[],4,FALSE)</f>
        <v>Eixo 4: Questão 52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3</v>
      </c>
      <c r="E6" s="4">
        <f>E13-SUM(E7:E12)</f>
        <v>10</v>
      </c>
      <c r="F6" s="4">
        <f>ROUND($E6/E$13*100,2)</f>
        <v>41.67</v>
      </c>
    </row>
    <row r="7" spans="1:7" x14ac:dyDescent="0.25">
      <c r="B7" s="2" t="s">
        <v>203</v>
      </c>
      <c r="C7" s="4">
        <f>COUNTIFS(Resp4[Vínculo],"tecnico",Resp4[4.52],B7)</f>
        <v>1</v>
      </c>
      <c r="D7" s="4">
        <f>COUNTIFS(Resp4[Vínculo],"docente",Resp4[4.52],B7)</f>
        <v>1</v>
      </c>
      <c r="E7" s="4">
        <f>COUNTIF(Resp4[4.52],B7)</f>
        <v>2</v>
      </c>
      <c r="F7" s="4">
        <f t="shared" ref="F7:F13" si="0">ROUND($E7/E$13*100,2)</f>
        <v>8.33</v>
      </c>
      <c r="G7" s="3">
        <f t="shared" ref="G7:G12" si="1">ROUND($E7/SUM($E$7:$E$12)*100,3)</f>
        <v>14.286</v>
      </c>
    </row>
    <row r="8" spans="1:7" x14ac:dyDescent="0.25">
      <c r="B8" s="2" t="s">
        <v>204</v>
      </c>
      <c r="C8" s="4">
        <f>COUNTIFS(Resp4[Vínculo],"tecnico",Resp4[4.52],B8)</f>
        <v>0</v>
      </c>
      <c r="D8" s="4">
        <f>COUNTIFS(Resp4[Vínculo],"docente",Resp4[4.52],B8)</f>
        <v>0</v>
      </c>
      <c r="E8" s="4">
        <f>COUNTIF(Resp4[4.52],B8)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COUNTIFS(Resp4[Vínculo],"tecnico",Resp4[4.52],B9)</f>
        <v>1</v>
      </c>
      <c r="D9" s="4">
        <f>COUNTIFS(Resp4[Vínculo],"docente",Resp4[4.52],B9)</f>
        <v>1</v>
      </c>
      <c r="E9" s="4">
        <f>COUNTIF(Resp4[4.52],B9)</f>
        <v>2</v>
      </c>
      <c r="F9" s="4">
        <f t="shared" si="0"/>
        <v>8.33</v>
      </c>
      <c r="G9" s="3">
        <f t="shared" si="1"/>
        <v>14.286</v>
      </c>
    </row>
    <row r="10" spans="1:7" x14ac:dyDescent="0.25">
      <c r="B10" s="2" t="s">
        <v>30</v>
      </c>
      <c r="C10" s="4">
        <f>COUNTIFS(Resp4[Vínculo],"tecnico",Resp4[4.52],B10)</f>
        <v>0</v>
      </c>
      <c r="D10" s="4">
        <f>COUNTIFS(Resp4[Vínculo],"docente",Resp4[4.52],B10)</f>
        <v>4</v>
      </c>
      <c r="E10" s="4">
        <f>COUNTIF(Resp4[4.52],B10)</f>
        <v>4</v>
      </c>
      <c r="F10" s="4">
        <f t="shared" si="0"/>
        <v>16.670000000000002</v>
      </c>
      <c r="G10" s="3">
        <f t="shared" si="1"/>
        <v>28.571000000000002</v>
      </c>
    </row>
    <row r="11" spans="1:7" x14ac:dyDescent="0.25">
      <c r="B11" s="2" t="s">
        <v>200</v>
      </c>
      <c r="C11" s="4">
        <f>COUNTIFS(Resp4[Vínculo],"tecnico",Resp4[4.52],B11)</f>
        <v>1</v>
      </c>
      <c r="D11" s="4">
        <f>COUNTIFS(Resp4[Vínculo],"docente",Resp4[4.52],B11)</f>
        <v>2</v>
      </c>
      <c r="E11" s="4">
        <f>COUNTIF(Resp4[4.52],B11)</f>
        <v>3</v>
      </c>
      <c r="F11" s="4">
        <f t="shared" si="0"/>
        <v>12.5</v>
      </c>
      <c r="G11" s="3">
        <f t="shared" si="1"/>
        <v>21.428999999999998</v>
      </c>
    </row>
    <row r="12" spans="1:7" x14ac:dyDescent="0.25">
      <c r="B12" s="7" t="s">
        <v>197</v>
      </c>
      <c r="C12" s="4">
        <f>COUNTIFS(Resp4[Vínculo],"tecnico",Resp4[4.52],B12)</f>
        <v>1</v>
      </c>
      <c r="D12" s="4">
        <f>COUNTIFS(Resp4[Vínculo],"docente",Resp4[4.52],B12)</f>
        <v>2</v>
      </c>
      <c r="E12" s="4">
        <f>COUNTIF(Resp4[4.52],B12)</f>
        <v>3</v>
      </c>
      <c r="F12" s="22">
        <f t="shared" si="0"/>
        <v>12.5</v>
      </c>
      <c r="G12" s="3">
        <f t="shared" si="1"/>
        <v>21.428999999999998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25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1</v>
      </c>
      <c r="E19" s="15">
        <f t="shared" ref="E19:E21" si="2">ROUND(D19/SUM(D$18:D$21)*100,3)</f>
        <v>25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10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10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40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40</v>
      </c>
    </row>
  </sheetData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1.7109375" style="2" customWidth="1"/>
    <col min="3" max="3" width="18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109</v>
      </c>
    </row>
    <row r="2" spans="1:7" x14ac:dyDescent="0.25">
      <c r="A2" s="2" t="str">
        <f>TEXT(A1,"0.00")</f>
        <v>4.53</v>
      </c>
      <c r="B2" s="2" t="str">
        <f>VLOOKUP(A$2,Eixo4[],3,FALSE)</f>
        <v>Avalie o suporte do Comitê Setorial de Extensão para o desenvolvimento das atividades extensionistas, considerando os seguintes pontos: [Incentivo para o desenvolvimento da extensão]</v>
      </c>
    </row>
    <row r="3" spans="1:7" x14ac:dyDescent="0.25">
      <c r="A3" s="2" t="s">
        <v>494</v>
      </c>
      <c r="B3" s="2" t="str">
        <f>VLOOKUP(A$2,Eixo4[],4,FALSE)</f>
        <v>Eixo 4: Questão 53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2</v>
      </c>
      <c r="E6" s="4">
        <f>E13-SUM(E7:E12)</f>
        <v>9</v>
      </c>
      <c r="F6" s="4">
        <f>ROUND($E6/E$13*100,2)</f>
        <v>37.5</v>
      </c>
    </row>
    <row r="7" spans="1:7" x14ac:dyDescent="0.25">
      <c r="B7" s="2" t="s">
        <v>203</v>
      </c>
      <c r="C7" s="4">
        <f>COUNTIFS(Resp4[Vínculo],"tecnico",Resp4[4.53],B7)</f>
        <v>1</v>
      </c>
      <c r="D7" s="4">
        <f>COUNTIFS(Resp4[Vínculo],"docente",Resp4[4.53],B7)</f>
        <v>1</v>
      </c>
      <c r="E7" s="4">
        <f>COUNTIF(Resp4[4.53],B7)</f>
        <v>2</v>
      </c>
      <c r="F7" s="4">
        <f t="shared" ref="F7:F13" si="0">ROUND($E7/E$13*100,2)</f>
        <v>8.33</v>
      </c>
      <c r="G7" s="3">
        <f t="shared" ref="G7:G12" si="1">ROUND($E7/SUM($E$7:$E$12)*100,3)</f>
        <v>13.333</v>
      </c>
    </row>
    <row r="8" spans="1:7" x14ac:dyDescent="0.25">
      <c r="B8" s="2" t="s">
        <v>204</v>
      </c>
      <c r="C8" s="4">
        <f>COUNTIFS(Resp4[Vínculo],"tecnico",Resp4[4.53],B8)</f>
        <v>1</v>
      </c>
      <c r="D8" s="4">
        <f>COUNTIFS(Resp4[Vínculo],"docente",Resp4[4.53],B8)</f>
        <v>0</v>
      </c>
      <c r="E8" s="4">
        <f>COUNTIF(Resp4[4.53],B8)</f>
        <v>1</v>
      </c>
      <c r="F8" s="4">
        <f t="shared" si="0"/>
        <v>4.17</v>
      </c>
      <c r="G8" s="3">
        <f t="shared" si="1"/>
        <v>6.6669999999999998</v>
      </c>
    </row>
    <row r="9" spans="1:7" x14ac:dyDescent="0.25">
      <c r="B9" s="2" t="s">
        <v>202</v>
      </c>
      <c r="C9" s="4">
        <f>COUNTIFS(Resp4[Vínculo],"tecnico",Resp4[4.53],B9)</f>
        <v>0</v>
      </c>
      <c r="D9" s="4">
        <f>COUNTIFS(Resp4[Vínculo],"docente",Resp4[4.53],B9)</f>
        <v>0</v>
      </c>
      <c r="E9" s="4">
        <f>COUNTIF(Resp4[4.53],B9)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COUNTIFS(Resp4[Vínculo],"tecnico",Resp4[4.53],B10)</f>
        <v>0</v>
      </c>
      <c r="D10" s="4">
        <f>COUNTIFS(Resp4[Vínculo],"docente",Resp4[4.53],B10)</f>
        <v>5</v>
      </c>
      <c r="E10" s="4">
        <f>COUNTIF(Resp4[4.53],B10)</f>
        <v>5</v>
      </c>
      <c r="F10" s="4">
        <f t="shared" si="0"/>
        <v>20.83</v>
      </c>
      <c r="G10" s="3">
        <f t="shared" si="1"/>
        <v>33.332999999999998</v>
      </c>
    </row>
    <row r="11" spans="1:7" x14ac:dyDescent="0.25">
      <c r="B11" s="2" t="s">
        <v>200</v>
      </c>
      <c r="C11" s="4">
        <f>COUNTIFS(Resp4[Vínculo],"tecnico",Resp4[4.53],B11)</f>
        <v>0</v>
      </c>
      <c r="D11" s="4">
        <f>COUNTIFS(Resp4[Vínculo],"docente",Resp4[4.53],B11)</f>
        <v>3</v>
      </c>
      <c r="E11" s="4">
        <f>COUNTIF(Resp4[4.53],B11)</f>
        <v>3</v>
      </c>
      <c r="F11" s="4">
        <f t="shared" si="0"/>
        <v>12.5</v>
      </c>
      <c r="G11" s="3">
        <f t="shared" si="1"/>
        <v>20</v>
      </c>
    </row>
    <row r="12" spans="1:7" x14ac:dyDescent="0.25">
      <c r="B12" s="7" t="s">
        <v>197</v>
      </c>
      <c r="C12" s="4">
        <f>COUNTIFS(Resp4[Vínculo],"tecnico",Resp4[4.53],B12)</f>
        <v>2</v>
      </c>
      <c r="D12" s="4">
        <f>COUNTIFS(Resp4[Vínculo],"docente",Resp4[4.53],B12)</f>
        <v>2</v>
      </c>
      <c r="E12" s="4">
        <f>COUNTIF(Resp4[4.53],B12)</f>
        <v>4</v>
      </c>
      <c r="F12" s="22">
        <f t="shared" si="0"/>
        <v>16.670000000000002</v>
      </c>
      <c r="G12" s="3">
        <f t="shared" si="1"/>
        <v>26.667000000000002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25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1</v>
      </c>
      <c r="E19" s="15">
        <f t="shared" ref="E19:E21" si="2">ROUND(D19/SUM(D$18:D$21)*100,3)</f>
        <v>25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9.0909999999999993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45.454999999999998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45.454999999999998</v>
      </c>
    </row>
  </sheetData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.28515625" style="2" customWidth="1"/>
    <col min="3" max="3" width="24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110</v>
      </c>
    </row>
    <row r="2" spans="1:7" x14ac:dyDescent="0.25">
      <c r="A2" s="2" t="str">
        <f>TEXT(A1,"0.00")</f>
        <v>4.54</v>
      </c>
      <c r="B2" s="2" t="str">
        <f>VLOOKUP(A$2,Eixo4[],3,FALSE)</f>
        <v>Avalie o suporte do Comitê Setorial de Extensão para o desenvolvimento das atividades extensionistas, considerando os seguintes pontos: [Orientações sobre a tramitação de propostas e relatórios]</v>
      </c>
    </row>
    <row r="3" spans="1:7" x14ac:dyDescent="0.25">
      <c r="A3" s="2" t="s">
        <v>494</v>
      </c>
      <c r="B3" s="2" t="str">
        <f>VLOOKUP(A$2,Eixo4[],4,FALSE)</f>
        <v>Eixo 4: Questão 54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11</v>
      </c>
      <c r="D6" s="2">
        <f>COUNTIF(Resp4[Vínculo],"docente")-SUM(D$7:D$12)</f>
        <v>0</v>
      </c>
      <c r="E6" s="4">
        <f>E13-SUM(E7:E12)</f>
        <v>9</v>
      </c>
      <c r="F6" s="4">
        <f>ROUND($E6/E$13*100,2)</f>
        <v>37.5</v>
      </c>
    </row>
    <row r="7" spans="1:7" x14ac:dyDescent="0.25">
      <c r="B7" s="2" t="s">
        <v>203</v>
      </c>
      <c r="C7" s="4">
        <f>COUNTIFS(Resp4[Vínculo],"tecnico",Resp4[4.02],B$8)</f>
        <v>0</v>
      </c>
      <c r="D7" s="4">
        <f>COUNTIFS(Resp4[Vínculo],"docente",Resp4[4.02],B7)</f>
        <v>1</v>
      </c>
      <c r="E7" s="4">
        <f>COUNTIF(Resp4[4.54],B7)</f>
        <v>1</v>
      </c>
      <c r="F7" s="4">
        <f t="shared" ref="F7:F13" si="0">ROUND($E7/E$13*100,2)</f>
        <v>4.17</v>
      </c>
      <c r="G7" s="3">
        <f t="shared" ref="G7:G12" si="1">ROUND($E7/SUM($E$7:$E$12)*100,3)</f>
        <v>6.6669999999999998</v>
      </c>
    </row>
    <row r="8" spans="1:7" x14ac:dyDescent="0.25">
      <c r="B8" s="2" t="s">
        <v>204</v>
      </c>
      <c r="C8" s="4">
        <f>COUNTIFS(Resp4[Vínculo],"tecnico",Resp4[4.02],B$8)</f>
        <v>0</v>
      </c>
      <c r="D8" s="4">
        <f>COUNTIFS(Resp4[Vínculo],"docente",Resp4[4.02],B8)</f>
        <v>1</v>
      </c>
      <c r="E8" s="4">
        <f>COUNTIF(Resp4[4.54],B8)</f>
        <v>2</v>
      </c>
      <c r="F8" s="4">
        <f t="shared" si="0"/>
        <v>8.33</v>
      </c>
      <c r="G8" s="3">
        <f t="shared" si="1"/>
        <v>13.333</v>
      </c>
    </row>
    <row r="9" spans="1:7" x14ac:dyDescent="0.25">
      <c r="B9" s="2" t="s">
        <v>202</v>
      </c>
      <c r="C9" s="4">
        <f>COUNTIFS(Resp4[Vínculo],"tecnico",Resp4[4.02],B$8)</f>
        <v>0</v>
      </c>
      <c r="D9" s="4">
        <f>COUNTIFS(Resp4[Vínculo],"docente",Resp4[4.02],B9)</f>
        <v>0</v>
      </c>
      <c r="E9" s="4">
        <f>COUNTIF(Resp4[4.54],B9)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COUNTIFS(Resp4[Vínculo],"tecnico",Resp4[4.02],B$8)</f>
        <v>0</v>
      </c>
      <c r="D10" s="4">
        <f>COUNTIFS(Resp4[Vínculo],"docente",Resp4[4.02],B10)</f>
        <v>2</v>
      </c>
      <c r="E10" s="4">
        <f>COUNTIF(Resp4[4.54],B10)</f>
        <v>3</v>
      </c>
      <c r="F10" s="4">
        <f t="shared" si="0"/>
        <v>12.5</v>
      </c>
      <c r="G10" s="3">
        <f t="shared" si="1"/>
        <v>20</v>
      </c>
    </row>
    <row r="11" spans="1:7" x14ac:dyDescent="0.25">
      <c r="B11" s="2" t="s">
        <v>200</v>
      </c>
      <c r="C11" s="4">
        <f>COUNTIFS(Resp4[Vínculo],"tecnico",Resp4[4.02],B$8)</f>
        <v>0</v>
      </c>
      <c r="D11" s="4">
        <f>COUNTIFS(Resp4[Vínculo],"docente",Resp4[4.02],B11)</f>
        <v>6</v>
      </c>
      <c r="E11" s="4">
        <f>COUNTIF(Resp4[4.54],B11)</f>
        <v>5</v>
      </c>
      <c r="F11" s="4">
        <f t="shared" si="0"/>
        <v>20.83</v>
      </c>
      <c r="G11" s="3">
        <f t="shared" si="1"/>
        <v>33.332999999999998</v>
      </c>
    </row>
    <row r="12" spans="1:7" x14ac:dyDescent="0.25">
      <c r="B12" s="7" t="s">
        <v>197</v>
      </c>
      <c r="C12" s="4">
        <f>COUNTIFS(Resp4[Vínculo],"tecnico",Resp4[4.02],B$8)</f>
        <v>0</v>
      </c>
      <c r="D12" s="4">
        <f>COUNTIFS(Resp4[Vínculo],"docente",Resp4[4.02],B12)</f>
        <v>3</v>
      </c>
      <c r="E12" s="4">
        <f>COUNTIF(Resp4[4.54],B12)</f>
        <v>4</v>
      </c>
      <c r="F12" s="22">
        <f t="shared" si="0"/>
        <v>16.670000000000002</v>
      </c>
      <c r="G12" s="3">
        <f t="shared" si="1"/>
        <v>26.667000000000002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7.6920000000000002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7.6920000000000002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15.385</v>
      </c>
    </row>
    <row r="28" spans="2:7" x14ac:dyDescent="0.25">
      <c r="B28" s="32" t="s">
        <v>33</v>
      </c>
      <c r="C28" s="32" t="s">
        <v>32</v>
      </c>
      <c r="D28" s="18">
        <f>SUM(D11:D12)</f>
        <v>9</v>
      </c>
      <c r="E28" s="19">
        <f>ROUND(D28/SUM(D$25:D$28)*100,3)</f>
        <v>69.230999999999995</v>
      </c>
    </row>
  </sheetData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7.8554687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111</v>
      </c>
    </row>
    <row r="2" spans="1:7" x14ac:dyDescent="0.25">
      <c r="A2" s="2" t="str">
        <f>TEXT(A1,"0.00")</f>
        <v>4.55</v>
      </c>
      <c r="B2" s="2" t="str">
        <f>VLOOKUP(A$2,Eixo4[],3,FALSE)</f>
        <v>Avalie o suporte do Comitê Setorial de Extensão para o desenvolvimento das atividades extensionistas, considerando os seguintes pontos: [Emissão de pareceres sobre as propostas]</v>
      </c>
    </row>
    <row r="3" spans="1:7" x14ac:dyDescent="0.25">
      <c r="A3" s="2" t="s">
        <v>494</v>
      </c>
      <c r="B3" s="2" t="str">
        <f>VLOOKUP(A$2,Eixo4[],4,FALSE)</f>
        <v>Eixo 4: Questão 55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2</v>
      </c>
      <c r="E6" s="4">
        <f>E13-SUM(E7:E12)</f>
        <v>9</v>
      </c>
      <c r="F6" s="4">
        <f>ROUND($E6/E$13*100,2)</f>
        <v>37.5</v>
      </c>
    </row>
    <row r="7" spans="1:7" x14ac:dyDescent="0.25">
      <c r="B7" s="2" t="s">
        <v>203</v>
      </c>
      <c r="C7" s="4">
        <f>COUNTIFS(Resp4[Vínculo],"tecnico",Resp4[4.55],B7)</f>
        <v>1</v>
      </c>
      <c r="D7" s="4">
        <f>COUNTIFS(Resp4[Vínculo],"docente",Resp4[4.55],B7)</f>
        <v>0</v>
      </c>
      <c r="E7" s="4">
        <f>COUNTIF(Resp4[4.55],B7)</f>
        <v>1</v>
      </c>
      <c r="F7" s="4">
        <f t="shared" ref="F7:F13" si="0">ROUND($E7/E$13*100,2)</f>
        <v>4.17</v>
      </c>
      <c r="G7" s="3">
        <f t="shared" ref="G7:G12" si="1">ROUND($E7/SUM($E$7:$E$12)*100,3)</f>
        <v>6.6669999999999998</v>
      </c>
    </row>
    <row r="8" spans="1:7" x14ac:dyDescent="0.25">
      <c r="B8" s="2" t="s">
        <v>204</v>
      </c>
      <c r="C8" s="4">
        <f>COUNTIFS(Resp4[Vínculo],"tecnico",Resp4[4.55],B8)</f>
        <v>0</v>
      </c>
      <c r="D8" s="4">
        <f>COUNTIFS(Resp4[Vínculo],"docente",Resp4[4.55],B8)</f>
        <v>0</v>
      </c>
      <c r="E8" s="4">
        <f>COUNTIF(Resp4[4.55],B8)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COUNTIFS(Resp4[Vínculo],"tecnico",Resp4[4.55],B9)</f>
        <v>0</v>
      </c>
      <c r="D9" s="4">
        <f>COUNTIFS(Resp4[Vínculo],"docente",Resp4[4.55],B9)</f>
        <v>1</v>
      </c>
      <c r="E9" s="4">
        <f>COUNTIF(Resp4[4.55],B9)</f>
        <v>1</v>
      </c>
      <c r="F9" s="4">
        <f t="shared" si="0"/>
        <v>4.17</v>
      </c>
      <c r="G9" s="3">
        <f t="shared" si="1"/>
        <v>6.6669999999999998</v>
      </c>
    </row>
    <row r="10" spans="1:7" x14ac:dyDescent="0.25">
      <c r="B10" s="2" t="s">
        <v>30</v>
      </c>
      <c r="C10" s="4">
        <f>COUNTIFS(Resp4[Vínculo],"tecnico",Resp4[4.55],B10)</f>
        <v>1</v>
      </c>
      <c r="D10" s="4">
        <f>COUNTIFS(Resp4[Vínculo],"docente",Resp4[4.55],B10)</f>
        <v>2</v>
      </c>
      <c r="E10" s="4">
        <f>COUNTIF(Resp4[4.55],B10)</f>
        <v>3</v>
      </c>
      <c r="F10" s="4">
        <f t="shared" si="0"/>
        <v>12.5</v>
      </c>
      <c r="G10" s="3">
        <f t="shared" si="1"/>
        <v>20</v>
      </c>
    </row>
    <row r="11" spans="1:7" x14ac:dyDescent="0.25">
      <c r="B11" s="2" t="s">
        <v>200</v>
      </c>
      <c r="C11" s="4">
        <f>COUNTIFS(Resp4[Vínculo],"tecnico",Resp4[4.55],B11)</f>
        <v>0</v>
      </c>
      <c r="D11" s="4">
        <f>COUNTIFS(Resp4[Vínculo],"docente",Resp4[4.55],B11)</f>
        <v>5</v>
      </c>
      <c r="E11" s="4">
        <f>COUNTIF(Resp4[4.55],B11)</f>
        <v>5</v>
      </c>
      <c r="F11" s="4">
        <f t="shared" si="0"/>
        <v>20.83</v>
      </c>
      <c r="G11" s="3">
        <f t="shared" si="1"/>
        <v>33.332999999999998</v>
      </c>
    </row>
    <row r="12" spans="1:7" x14ac:dyDescent="0.25">
      <c r="B12" s="7" t="s">
        <v>197</v>
      </c>
      <c r="C12" s="4">
        <f>COUNTIFS(Resp4[Vínculo],"tecnico",Resp4[4.55],B12)</f>
        <v>2</v>
      </c>
      <c r="D12" s="4">
        <f>COUNTIFS(Resp4[Vínculo],"docente",Resp4[4.55],B12)</f>
        <v>3</v>
      </c>
      <c r="E12" s="4">
        <f>COUNTIF(Resp4[4.55],B12)</f>
        <v>5</v>
      </c>
      <c r="F12" s="22">
        <f t="shared" si="0"/>
        <v>20.83</v>
      </c>
      <c r="G12" s="3">
        <f t="shared" si="1"/>
        <v>33.332999999999998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1</v>
      </c>
      <c r="E19" s="15">
        <f t="shared" ref="E19:E21" si="2">ROUND(D19/SUM(D$18:D$21)*100,3)</f>
        <v>25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25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9.0909999999999993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18.181999999999999</v>
      </c>
    </row>
    <row r="28" spans="2:7" x14ac:dyDescent="0.25">
      <c r="B28" s="32" t="s">
        <v>33</v>
      </c>
      <c r="C28" s="32" t="s">
        <v>32</v>
      </c>
      <c r="D28" s="18">
        <f>SUM(D11:D12)</f>
        <v>8</v>
      </c>
      <c r="E28" s="19">
        <f>ROUND(D28/SUM(D$25:D$28)*100,3)</f>
        <v>72.727000000000004</v>
      </c>
    </row>
  </sheetData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28515625" style="2" customWidth="1"/>
    <col min="3" max="3" width="19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112</v>
      </c>
    </row>
    <row r="2" spans="1:7" x14ac:dyDescent="0.25">
      <c r="A2" s="2" t="str">
        <f>TEXT(A1,"0.00")</f>
        <v>4.56</v>
      </c>
      <c r="B2" s="2" t="str">
        <f>VLOOKUP(A$2,Eixo4[],3,FALSE)</f>
        <v>Avalie o suporte do Comitê Setorial de Extensão para o desenvolvimento das atividades extensionistas, considerando os seguintes pontos: [Publicização de orientações sobre a Extensão]</v>
      </c>
    </row>
    <row r="3" spans="1:7" x14ac:dyDescent="0.25">
      <c r="A3" s="2" t="s">
        <v>494</v>
      </c>
      <c r="B3" s="2" t="str">
        <f>VLOOKUP(A$2,Eixo4[],4,FALSE)</f>
        <v>Eixo 4: Questão 56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2</v>
      </c>
      <c r="E6" s="4">
        <f>E13-SUM(E7:E12)</f>
        <v>9</v>
      </c>
      <c r="F6" s="4">
        <f>ROUND($E6/E$13*100,2)</f>
        <v>37.5</v>
      </c>
    </row>
    <row r="7" spans="1:7" x14ac:dyDescent="0.25">
      <c r="B7" s="2" t="s">
        <v>203</v>
      </c>
      <c r="C7" s="4">
        <f>COUNTIFS(Resp4[Vínculo],"tecnico",Resp4[4.56],B7)</f>
        <v>1</v>
      </c>
      <c r="D7" s="4">
        <f>COUNTIFS(Resp4[Vínculo],"docente",Resp4[4.56],B7)</f>
        <v>0</v>
      </c>
      <c r="E7" s="4">
        <f>COUNTIF(Resp4[4.56],B7)</f>
        <v>1</v>
      </c>
      <c r="F7" s="4">
        <f t="shared" ref="F7:F13" si="0">ROUND($E7/E$13*100,2)</f>
        <v>4.17</v>
      </c>
      <c r="G7" s="3">
        <f t="shared" ref="G7:G12" si="1">ROUND($E7/SUM($E$7:$E$12)*100,3)</f>
        <v>6.6669999999999998</v>
      </c>
    </row>
    <row r="8" spans="1:7" x14ac:dyDescent="0.25">
      <c r="B8" s="2" t="s">
        <v>204</v>
      </c>
      <c r="C8" s="4">
        <f>COUNTIFS(Resp4[Vínculo],"tecnico",Resp4[4.56],B8)</f>
        <v>1</v>
      </c>
      <c r="D8" s="4">
        <f>COUNTIFS(Resp4[Vínculo],"docente",Resp4[4.56],B8)</f>
        <v>0</v>
      </c>
      <c r="E8" s="4">
        <f>COUNTIF(Resp4[4.56],B8)</f>
        <v>1</v>
      </c>
      <c r="F8" s="4">
        <f t="shared" si="0"/>
        <v>4.17</v>
      </c>
      <c r="G8" s="3">
        <f t="shared" si="1"/>
        <v>6.6669999999999998</v>
      </c>
    </row>
    <row r="9" spans="1:7" x14ac:dyDescent="0.25">
      <c r="B9" s="2" t="s">
        <v>202</v>
      </c>
      <c r="C9" s="4">
        <f>COUNTIFS(Resp4[Vínculo],"tecnico",Resp4[4.56],B9)</f>
        <v>0</v>
      </c>
      <c r="D9" s="4">
        <f>COUNTIFS(Resp4[Vínculo],"docente",Resp4[4.56],B9)</f>
        <v>2</v>
      </c>
      <c r="E9" s="4">
        <f>COUNTIF(Resp4[4.56],B9)</f>
        <v>2</v>
      </c>
      <c r="F9" s="4">
        <f t="shared" si="0"/>
        <v>8.33</v>
      </c>
      <c r="G9" s="3">
        <f t="shared" si="1"/>
        <v>13.333</v>
      </c>
    </row>
    <row r="10" spans="1:7" x14ac:dyDescent="0.25">
      <c r="B10" s="2" t="s">
        <v>30</v>
      </c>
      <c r="C10" s="4">
        <f>COUNTIFS(Resp4[Vínculo],"tecnico",Resp4[4.56],B10)</f>
        <v>0</v>
      </c>
      <c r="D10" s="4">
        <f>COUNTIFS(Resp4[Vínculo],"docente",Resp4[4.56],B10)</f>
        <v>3</v>
      </c>
      <c r="E10" s="4">
        <f>COUNTIF(Resp4[4.56],B10)</f>
        <v>3</v>
      </c>
      <c r="F10" s="4">
        <f t="shared" si="0"/>
        <v>12.5</v>
      </c>
      <c r="G10" s="3">
        <f t="shared" si="1"/>
        <v>20</v>
      </c>
    </row>
    <row r="11" spans="1:7" x14ac:dyDescent="0.25">
      <c r="B11" s="2" t="s">
        <v>200</v>
      </c>
      <c r="C11" s="4">
        <f>COUNTIFS(Resp4[Vínculo],"tecnico",Resp4[4.56],B11)</f>
        <v>0</v>
      </c>
      <c r="D11" s="4">
        <f>COUNTIFS(Resp4[Vínculo],"docente",Resp4[4.56],B11)</f>
        <v>3</v>
      </c>
      <c r="E11" s="4">
        <f>COUNTIF(Resp4[4.56],B11)</f>
        <v>3</v>
      </c>
      <c r="F11" s="4">
        <f t="shared" si="0"/>
        <v>12.5</v>
      </c>
      <c r="G11" s="3">
        <f t="shared" si="1"/>
        <v>20</v>
      </c>
    </row>
    <row r="12" spans="1:7" x14ac:dyDescent="0.25">
      <c r="B12" s="7" t="s">
        <v>197</v>
      </c>
      <c r="C12" s="4">
        <f>COUNTIFS(Resp4[Vínculo],"tecnico",Resp4[4.56],B12)</f>
        <v>2</v>
      </c>
      <c r="D12" s="4">
        <f>COUNTIFS(Resp4[Vínculo],"docente",Resp4[4.56],B12)</f>
        <v>3</v>
      </c>
      <c r="E12" s="4">
        <f>COUNTIF(Resp4[4.56],B12)</f>
        <v>5</v>
      </c>
      <c r="F12" s="22">
        <f t="shared" si="0"/>
        <v>20.83</v>
      </c>
      <c r="G12" s="3">
        <f t="shared" si="1"/>
        <v>33.332999999999998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25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1</v>
      </c>
      <c r="E19" s="15">
        <f t="shared" ref="E19:E21" si="2">ROUND(D19/SUM(D$18:D$21)*100,3)</f>
        <v>25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18.181999999999999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27.273</v>
      </c>
    </row>
    <row r="28" spans="2:7" x14ac:dyDescent="0.25">
      <c r="B28" s="32" t="s">
        <v>33</v>
      </c>
      <c r="C28" s="32" t="s">
        <v>32</v>
      </c>
      <c r="D28" s="18">
        <f>SUM(D11:D12)</f>
        <v>6</v>
      </c>
      <c r="E28" s="19">
        <f>ROUND(D28/SUM(D$25:D$28)*100,3)</f>
        <v>54.545000000000002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5.85546875" style="2" customWidth="1"/>
    <col min="3" max="3" width="1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127</v>
      </c>
    </row>
    <row r="2" spans="1:7" x14ac:dyDescent="0.25">
      <c r="A2" s="2" t="str">
        <f>TEXT(A1,"0.00")</f>
        <v>4.71</v>
      </c>
      <c r="B2" s="2" t="str">
        <f>VLOOKUP(A$2,Eixo4[],3,FALSE)</f>
        <v>Com relação às atividades artístico-culturais, avalie as ações a seguir: [Festival de Inverno da UFPR]</v>
      </c>
    </row>
    <row r="3" spans="1:7" x14ac:dyDescent="0.25">
      <c r="A3" s="2" t="s">
        <v>494</v>
      </c>
      <c r="B3" s="2" t="str">
        <f>VLOOKUP(A$2,Eixo4[],4,FALSE)</f>
        <v>Eixo 4: Questão 71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0</v>
      </c>
      <c r="E6" s="4">
        <f>E13-SUM(E7:E12)</f>
        <v>0</v>
      </c>
      <c r="F6" s="4">
        <f>ROUND($E6/E$13*100,2)</f>
        <v>0</v>
      </c>
    </row>
    <row r="7" spans="1:7" x14ac:dyDescent="0.25">
      <c r="B7" t="s">
        <v>205</v>
      </c>
      <c r="C7" s="4">
        <f>COUNTIFS(Resp4[Vínculo],"tecnico",Resp4[4.71],B7)</f>
        <v>1</v>
      </c>
      <c r="D7" s="4">
        <f>COUNTIFS(Resp4[Vínculo],"docente",Resp4[4.71],B7)</f>
        <v>6</v>
      </c>
      <c r="E7" s="4">
        <f>COUNTIF(Resp4[4.71],B7)</f>
        <v>7</v>
      </c>
      <c r="F7" s="4">
        <f t="shared" ref="F7:F12" si="0">ROUND($E7/E$13*100,2)</f>
        <v>29.17</v>
      </c>
      <c r="G7" s="3">
        <f t="shared" ref="G7:G12" si="1">ROUND($E7/SUM($E$7:$E$12)*100,3)</f>
        <v>29.167000000000002</v>
      </c>
    </row>
    <row r="8" spans="1:7" x14ac:dyDescent="0.25">
      <c r="B8" s="2" t="s">
        <v>204</v>
      </c>
      <c r="C8" s="4">
        <f>COUNTIFS(Resp4[Vínculo],"tecnico",Resp4[4.71],B8)</f>
        <v>0</v>
      </c>
      <c r="D8" s="4">
        <f>COUNTIFS(Resp4[Vínculo],"docente",Resp4[4.71],B8)</f>
        <v>0</v>
      </c>
      <c r="E8" s="4">
        <f>COUNTIF(Resp4[4.71],B8)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COUNTIFS(Resp4[Vínculo],"tecnico",Resp4[4.71],B9)</f>
        <v>3</v>
      </c>
      <c r="D9" s="4">
        <f>COUNTIFS(Resp4[Vínculo],"docente",Resp4[4.71],B9)</f>
        <v>0</v>
      </c>
      <c r="E9" s="4">
        <f>COUNTIF(Resp4[4.71],B9)</f>
        <v>3</v>
      </c>
      <c r="F9" s="4">
        <f t="shared" si="0"/>
        <v>12.5</v>
      </c>
      <c r="G9" s="3">
        <f t="shared" si="1"/>
        <v>12.5</v>
      </c>
    </row>
    <row r="10" spans="1:7" x14ac:dyDescent="0.25">
      <c r="B10" s="2" t="s">
        <v>30</v>
      </c>
      <c r="C10" s="4">
        <f>COUNTIFS(Resp4[Vínculo],"tecnico",Resp4[4.71],B10)</f>
        <v>1</v>
      </c>
      <c r="D10" s="4">
        <f>COUNTIFS(Resp4[Vínculo],"docente",Resp4[4.71],B10)</f>
        <v>2</v>
      </c>
      <c r="E10" s="4">
        <f>COUNTIF(Resp4[4.71],B10)</f>
        <v>3</v>
      </c>
      <c r="F10" s="4">
        <f t="shared" si="0"/>
        <v>12.5</v>
      </c>
      <c r="G10" s="3">
        <f t="shared" si="1"/>
        <v>12.5</v>
      </c>
    </row>
    <row r="11" spans="1:7" x14ac:dyDescent="0.25">
      <c r="B11" s="2" t="s">
        <v>200</v>
      </c>
      <c r="C11" s="4">
        <f>COUNTIFS(Resp4[Vínculo],"tecnico",Resp4[4.71],B11)</f>
        <v>4</v>
      </c>
      <c r="D11" s="4">
        <f>COUNTIFS(Resp4[Vínculo],"docente",Resp4[4.71],B11)</f>
        <v>1</v>
      </c>
      <c r="E11" s="4">
        <f>COUNTIF(Resp4[4.71],B11)</f>
        <v>5</v>
      </c>
      <c r="F11" s="4">
        <f t="shared" si="0"/>
        <v>20.83</v>
      </c>
      <c r="G11" s="3">
        <f t="shared" si="1"/>
        <v>20.832999999999998</v>
      </c>
    </row>
    <row r="12" spans="1:7" x14ac:dyDescent="0.25">
      <c r="B12" s="7" t="s">
        <v>197</v>
      </c>
      <c r="C12" s="4">
        <f>COUNTIFS(Resp4[Vínculo],"tecnico",Resp4[4.71],B12)</f>
        <v>2</v>
      </c>
      <c r="D12" s="4">
        <f>COUNTIFS(Resp4[Vínculo],"docente",Resp4[4.71],B12)</f>
        <v>4</v>
      </c>
      <c r="E12" s="4">
        <f>COUNTIF(Resp4[4.71],B12)</f>
        <v>6</v>
      </c>
      <c r="F12" s="22">
        <f t="shared" si="0"/>
        <v>25</v>
      </c>
      <c r="G12" s="3">
        <f t="shared" si="1"/>
        <v>25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3">
        <f>SUM(F6:F12)</f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3</v>
      </c>
      <c r="E18" s="15">
        <f>ROUND(D18/SUM(D$18:D$21)*100,3)</f>
        <v>27.273</v>
      </c>
      <c r="F18" s="12"/>
      <c r="G18" s="13"/>
    </row>
    <row r="19" spans="2:7" x14ac:dyDescent="0.25">
      <c r="B19" s="16" t="s">
        <v>205</v>
      </c>
      <c r="C19" s="16" t="s">
        <v>23</v>
      </c>
      <c r="D19" s="14">
        <f>C7</f>
        <v>1</v>
      </c>
      <c r="E19" s="15">
        <f t="shared" ref="E19:E21" si="2">ROUND(D19/SUM(D$18:D$21)*100,3)</f>
        <v>9.0909999999999993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9.0909999999999993</v>
      </c>
    </row>
    <row r="21" spans="2:7" x14ac:dyDescent="0.25">
      <c r="B21" s="32" t="s">
        <v>33</v>
      </c>
      <c r="C21" s="32" t="s">
        <v>32</v>
      </c>
      <c r="D21" s="18">
        <f>SUM(C11:C12)</f>
        <v>6</v>
      </c>
      <c r="E21" s="19">
        <f t="shared" si="2"/>
        <v>54.545000000000002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205</v>
      </c>
      <c r="C26" s="16" t="s">
        <v>23</v>
      </c>
      <c r="D26" s="14">
        <f>D7</f>
        <v>6</v>
      </c>
      <c r="E26" s="15">
        <f>ROUND(D26/SUM(D$25:D$28)*100,3)</f>
        <v>46.154000000000003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15.385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38.462000000000003</v>
      </c>
    </row>
  </sheetData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2.42578125" style="2" customWidth="1"/>
    <col min="3" max="3" width="15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113</v>
      </c>
    </row>
    <row r="2" spans="1:7" x14ac:dyDescent="0.25">
      <c r="A2" s="2" t="str">
        <f>TEXT(A1,"0.00")</f>
        <v>4.57</v>
      </c>
      <c r="B2" s="2" t="str">
        <f>VLOOKUP(A$2,Eixo4[],3,FALSE)</f>
        <v>Avalie o suporte do Comitê Setorial de Extensão para o desenvolvimento das atividades extensionistas, considerando os seguintes pontos: [Representação no CAEX (Comitê Assessor de Extensão)]</v>
      </c>
    </row>
    <row r="3" spans="1:7" x14ac:dyDescent="0.25">
      <c r="A3" s="2" t="s">
        <v>494</v>
      </c>
      <c r="B3" s="2" t="str">
        <f>VLOOKUP(A$2,Eixo4[],4,FALSE)</f>
        <v>Eixo 4: Questão 57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2</v>
      </c>
      <c r="E6" s="4">
        <f>E13-SUM(E7:E12)</f>
        <v>9</v>
      </c>
      <c r="F6" s="4">
        <f>ROUND($E6/E$13*100,2)</f>
        <v>37.5</v>
      </c>
    </row>
    <row r="7" spans="1:7" x14ac:dyDescent="0.25">
      <c r="B7" s="2" t="s">
        <v>203</v>
      </c>
      <c r="C7" s="4">
        <f>COUNTIFS(Resp4[Vínculo],"tecnico",Resp4[4.57],B7)</f>
        <v>2</v>
      </c>
      <c r="D7" s="4">
        <f>COUNTIFS(Resp4[Vínculo],"docente",Resp4[4.57],B7)</f>
        <v>1</v>
      </c>
      <c r="E7" s="4">
        <f>COUNTIF(Resp4[4.57],B7)</f>
        <v>3</v>
      </c>
      <c r="F7" s="4">
        <f t="shared" ref="F7:F13" si="0">ROUND($E7/E$13*100,2)</f>
        <v>12.5</v>
      </c>
      <c r="G7" s="3">
        <f t="shared" ref="G7:G12" si="1">ROUND($E7/SUM($E$7:$E$12)*100,3)</f>
        <v>20</v>
      </c>
    </row>
    <row r="8" spans="1:7" x14ac:dyDescent="0.25">
      <c r="B8" s="2" t="s">
        <v>204</v>
      </c>
      <c r="C8" s="4">
        <f>COUNTIFS(Resp4[Vínculo],"tecnico",Resp4[4.57],B8)</f>
        <v>0</v>
      </c>
      <c r="D8" s="4">
        <f>COUNTIFS(Resp4[Vínculo],"docente",Resp4[4.57],B8)</f>
        <v>0</v>
      </c>
      <c r="E8" s="4">
        <f>COUNTIF(Resp4[4.57],B8)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COUNTIFS(Resp4[Vínculo],"tecnico",Resp4[4.57],B9)</f>
        <v>0</v>
      </c>
      <c r="D9" s="4">
        <f>COUNTIFS(Resp4[Vínculo],"docente",Resp4[4.57],B9)</f>
        <v>0</v>
      </c>
      <c r="E9" s="4">
        <f>COUNTIF(Resp4[4.57],B9)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COUNTIFS(Resp4[Vínculo],"tecnico",Resp4[4.57],B10)</f>
        <v>0</v>
      </c>
      <c r="D10" s="4">
        <f>COUNTIFS(Resp4[Vínculo],"docente",Resp4[4.57],B10)</f>
        <v>3</v>
      </c>
      <c r="E10" s="4">
        <f>COUNTIF(Resp4[4.57],B10)</f>
        <v>3</v>
      </c>
      <c r="F10" s="4">
        <f t="shared" si="0"/>
        <v>12.5</v>
      </c>
      <c r="G10" s="3">
        <f t="shared" si="1"/>
        <v>20</v>
      </c>
    </row>
    <row r="11" spans="1:7" x14ac:dyDescent="0.25">
      <c r="B11" s="2" t="s">
        <v>200</v>
      </c>
      <c r="C11" s="4">
        <f>COUNTIFS(Resp4[Vínculo],"tecnico",Resp4[4.57],B11)</f>
        <v>0</v>
      </c>
      <c r="D11" s="4">
        <f>COUNTIFS(Resp4[Vínculo],"docente",Resp4[4.57],B11)</f>
        <v>4</v>
      </c>
      <c r="E11" s="4">
        <f>COUNTIF(Resp4[4.57],B11)</f>
        <v>4</v>
      </c>
      <c r="F11" s="4">
        <f t="shared" si="0"/>
        <v>16.670000000000002</v>
      </c>
      <c r="G11" s="3">
        <f t="shared" si="1"/>
        <v>26.667000000000002</v>
      </c>
    </row>
    <row r="12" spans="1:7" x14ac:dyDescent="0.25">
      <c r="B12" s="7" t="s">
        <v>197</v>
      </c>
      <c r="C12" s="4">
        <f>COUNTIFS(Resp4[Vínculo],"tecnico",Resp4[4.57],B12)</f>
        <v>2</v>
      </c>
      <c r="D12" s="4">
        <f>COUNTIFS(Resp4[Vínculo],"docente",Resp4[4.57],B12)</f>
        <v>3</v>
      </c>
      <c r="E12" s="4">
        <f>COUNTIF(Resp4[4.57],B12)</f>
        <v>5</v>
      </c>
      <c r="F12" s="22">
        <f t="shared" si="0"/>
        <v>20.83</v>
      </c>
      <c r="G12" s="3">
        <f t="shared" si="1"/>
        <v>33.332999999999998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2</v>
      </c>
      <c r="E19" s="15">
        <f t="shared" ref="E19:E21" si="2">ROUND(D19/SUM(D$18:D$21)*100,3)</f>
        <v>50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9.0909999999999993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27.273</v>
      </c>
    </row>
    <row r="28" spans="2:7" x14ac:dyDescent="0.25">
      <c r="B28" s="32" t="s">
        <v>33</v>
      </c>
      <c r="C28" s="32" t="s">
        <v>32</v>
      </c>
      <c r="D28" s="18">
        <f>SUM(D11:D12)</f>
        <v>7</v>
      </c>
      <c r="E28" s="19">
        <f>ROUND(D28/SUM(D$25:D$28)*100,3)</f>
        <v>63.636000000000003</v>
      </c>
    </row>
  </sheetData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7.85546875" style="2" customWidth="1"/>
    <col min="3" max="3" width="20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114</v>
      </c>
    </row>
    <row r="2" spans="1:7" x14ac:dyDescent="0.25">
      <c r="A2" s="2" t="str">
        <f>TEXT(A1,"0.00")</f>
        <v>4.58</v>
      </c>
      <c r="B2" s="2" t="str">
        <f>VLOOKUP(A$2,Eixo4[],3,FALSE)</f>
        <v>Avalie o suporte do Comitê Setorial de Extensão para o desenvolvimento das atividades extensionistas, considerando os seguintes pontos: [Suporte para o desenvolvimento da extensão durante a pandemia]</v>
      </c>
    </row>
    <row r="3" spans="1:7" x14ac:dyDescent="0.25">
      <c r="A3" s="2" t="s">
        <v>494</v>
      </c>
      <c r="B3" s="2" t="str">
        <f>VLOOKUP(A$2,Eixo4[],4,FALSE)</f>
        <v>Eixo 4: Questão 58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2</v>
      </c>
      <c r="E6" s="4">
        <f>E13-SUM(E7:E12)</f>
        <v>9</v>
      </c>
      <c r="F6" s="4">
        <f>ROUND($E6/E$13*100,2)</f>
        <v>37.5</v>
      </c>
    </row>
    <row r="7" spans="1:7" x14ac:dyDescent="0.25">
      <c r="B7" s="2" t="s">
        <v>203</v>
      </c>
      <c r="C7" s="4">
        <f>COUNTIFS(Resp4[Vínculo],"tecnico",Resp4[4.58],B7)</f>
        <v>1</v>
      </c>
      <c r="D7" s="4">
        <f>COUNTIFS(Resp4[Vínculo],"docente",Resp4[4.58],B7)</f>
        <v>0</v>
      </c>
      <c r="E7" s="4">
        <f>COUNTIF(Resp4[4.58],B7)</f>
        <v>1</v>
      </c>
      <c r="F7" s="4">
        <f t="shared" ref="F7:F13" si="0">ROUND($E7/E$13*100,2)</f>
        <v>4.17</v>
      </c>
      <c r="G7" s="3">
        <f t="shared" ref="G7:G12" si="1">ROUND($E7/SUM($E$7:$E$12)*100,3)</f>
        <v>6.6669999999999998</v>
      </c>
    </row>
    <row r="8" spans="1:7" x14ac:dyDescent="0.25">
      <c r="B8" s="2" t="s">
        <v>204</v>
      </c>
      <c r="C8" s="4">
        <f>COUNTIFS(Resp4[Vínculo],"tecnico",Resp4[4.58],B8)</f>
        <v>1</v>
      </c>
      <c r="D8" s="4">
        <f>COUNTIFS(Resp4[Vínculo],"docente",Resp4[4.58],B8)</f>
        <v>1</v>
      </c>
      <c r="E8" s="4">
        <f>COUNTIF(Resp4[4.58],B8)</f>
        <v>2</v>
      </c>
      <c r="F8" s="4">
        <f t="shared" si="0"/>
        <v>8.33</v>
      </c>
      <c r="G8" s="3">
        <f t="shared" si="1"/>
        <v>13.333</v>
      </c>
    </row>
    <row r="9" spans="1:7" x14ac:dyDescent="0.25">
      <c r="B9" s="2" t="s">
        <v>202</v>
      </c>
      <c r="C9" s="4">
        <f>COUNTIFS(Resp4[Vínculo],"tecnico",Resp4[4.58],B9)</f>
        <v>0</v>
      </c>
      <c r="D9" s="4">
        <f>COUNTIFS(Resp4[Vínculo],"docente",Resp4[4.58],B9)</f>
        <v>1</v>
      </c>
      <c r="E9" s="4">
        <f>COUNTIF(Resp4[4.58],B9)</f>
        <v>1</v>
      </c>
      <c r="F9" s="4">
        <f t="shared" si="0"/>
        <v>4.17</v>
      </c>
      <c r="G9" s="3">
        <f t="shared" si="1"/>
        <v>6.6669999999999998</v>
      </c>
    </row>
    <row r="10" spans="1:7" x14ac:dyDescent="0.25">
      <c r="B10" s="2" t="s">
        <v>30</v>
      </c>
      <c r="C10" s="4">
        <f>COUNTIFS(Resp4[Vínculo],"tecnico",Resp4[4.58],B10)</f>
        <v>0</v>
      </c>
      <c r="D10" s="4">
        <f>COUNTIFS(Resp4[Vínculo],"docente",Resp4[4.58],B10)</f>
        <v>2</v>
      </c>
      <c r="E10" s="4">
        <f>COUNTIF(Resp4[4.58],B10)</f>
        <v>2</v>
      </c>
      <c r="F10" s="4">
        <f t="shared" si="0"/>
        <v>8.33</v>
      </c>
      <c r="G10" s="3">
        <f t="shared" si="1"/>
        <v>13.333</v>
      </c>
    </row>
    <row r="11" spans="1:7" x14ac:dyDescent="0.25">
      <c r="B11" s="2" t="s">
        <v>200</v>
      </c>
      <c r="C11" s="4">
        <f>COUNTIFS(Resp4[Vínculo],"tecnico",Resp4[4.58],B11)</f>
        <v>0</v>
      </c>
      <c r="D11" s="4">
        <f>COUNTIFS(Resp4[Vínculo],"docente",Resp4[4.58],B11)</f>
        <v>5</v>
      </c>
      <c r="E11" s="4">
        <f>COUNTIF(Resp4[4.58],B11)</f>
        <v>5</v>
      </c>
      <c r="F11" s="4">
        <f t="shared" si="0"/>
        <v>20.83</v>
      </c>
      <c r="G11" s="3">
        <f t="shared" si="1"/>
        <v>33.332999999999998</v>
      </c>
    </row>
    <row r="12" spans="1:7" x14ac:dyDescent="0.25">
      <c r="B12" s="7" t="s">
        <v>197</v>
      </c>
      <c r="C12" s="4">
        <f>COUNTIFS(Resp4[Vínculo],"tecnico",Resp4[4.58],B12)</f>
        <v>2</v>
      </c>
      <c r="D12" s="4">
        <f>COUNTIFS(Resp4[Vínculo],"docente",Resp4[4.58],B12)</f>
        <v>2</v>
      </c>
      <c r="E12" s="4">
        <f>COUNTIF(Resp4[4.58],B12)</f>
        <v>4</v>
      </c>
      <c r="F12" s="22">
        <f t="shared" si="0"/>
        <v>16.670000000000002</v>
      </c>
      <c r="G12" s="3">
        <f t="shared" si="1"/>
        <v>26.667000000000002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25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1</v>
      </c>
      <c r="E19" s="15">
        <f t="shared" ref="E19:E21" si="2">ROUND(D19/SUM(D$18:D$21)*100,3)</f>
        <v>25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18.181999999999999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18.181999999999999</v>
      </c>
    </row>
    <row r="28" spans="2:7" x14ac:dyDescent="0.25">
      <c r="B28" s="32" t="s">
        <v>33</v>
      </c>
      <c r="C28" s="32" t="s">
        <v>32</v>
      </c>
      <c r="D28" s="18">
        <f>SUM(D11:D12)</f>
        <v>7</v>
      </c>
      <c r="E28" s="19">
        <f>ROUND(D28/SUM(D$25:D$28)*100,3)</f>
        <v>63.636000000000003</v>
      </c>
    </row>
  </sheetData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4257812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115</v>
      </c>
    </row>
    <row r="2" spans="1:7" x14ac:dyDescent="0.25">
      <c r="A2" s="2" t="str">
        <f>TEXT(A1,"0.00")</f>
        <v>4.59</v>
      </c>
      <c r="B2" s="2" t="str">
        <f>VLOOKUP(A$2,Eixo4[],3,FALSE)</f>
        <v>Avalie o suporte do Comitê Setorial de Extensão para o desenvolvimento das atividades extensionistas, considerando os seguintes pontos: [Cumprimento de prazos]</v>
      </c>
    </row>
    <row r="3" spans="1:7" x14ac:dyDescent="0.25">
      <c r="A3" s="2" t="s">
        <v>494</v>
      </c>
      <c r="B3" s="2" t="str">
        <f>VLOOKUP(A$2,Eixo4[],4,FALSE)</f>
        <v>Eixo 4: Questão 59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2</v>
      </c>
      <c r="E6" s="4">
        <f>E13-SUM(E7:E12)</f>
        <v>9</v>
      </c>
      <c r="F6" s="4">
        <f>ROUND($E6/E$13*100,2)</f>
        <v>37.5</v>
      </c>
    </row>
    <row r="7" spans="1:7" x14ac:dyDescent="0.25">
      <c r="B7" s="2" t="s">
        <v>203</v>
      </c>
      <c r="C7" s="4">
        <f>COUNTIFS(Resp4[Vínculo],"tecnico",Resp4[4.59],B7)</f>
        <v>2</v>
      </c>
      <c r="D7" s="4">
        <f>COUNTIFS(Resp4[Vínculo],"docente",Resp4[4.59],B7)</f>
        <v>1</v>
      </c>
      <c r="E7" s="4">
        <f>COUNTIF(Resp4[4.59],B7)</f>
        <v>3</v>
      </c>
      <c r="F7" s="4">
        <f t="shared" ref="F7:F13" si="0">ROUND($E7/E$13*100,2)</f>
        <v>12.5</v>
      </c>
      <c r="G7" s="3">
        <f t="shared" ref="G7:G12" si="1">ROUND($E7/SUM($E$7:$E$12)*100,3)</f>
        <v>20</v>
      </c>
    </row>
    <row r="8" spans="1:7" x14ac:dyDescent="0.25">
      <c r="B8" s="2" t="s">
        <v>204</v>
      </c>
      <c r="C8" s="4">
        <f>COUNTIFS(Resp4[Vínculo],"tecnico",Resp4[4.59],B8)</f>
        <v>0</v>
      </c>
      <c r="D8" s="4">
        <f>COUNTIFS(Resp4[Vínculo],"docente",Resp4[4.59],B8)</f>
        <v>0</v>
      </c>
      <c r="E8" s="4">
        <f>COUNTIF(Resp4[4.59],B8)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COUNTIFS(Resp4[Vínculo],"tecnico",Resp4[4.59],B9)</f>
        <v>0</v>
      </c>
      <c r="D9" s="4">
        <f>COUNTIFS(Resp4[Vínculo],"docente",Resp4[4.59],B9)</f>
        <v>1</v>
      </c>
      <c r="E9" s="4">
        <f>COUNTIF(Resp4[4.59],B9)</f>
        <v>1</v>
      </c>
      <c r="F9" s="4">
        <f t="shared" si="0"/>
        <v>4.17</v>
      </c>
      <c r="G9" s="3">
        <f t="shared" si="1"/>
        <v>6.6669999999999998</v>
      </c>
    </row>
    <row r="10" spans="1:7" x14ac:dyDescent="0.25">
      <c r="B10" s="2" t="s">
        <v>30</v>
      </c>
      <c r="C10" s="4">
        <f>COUNTIFS(Resp4[Vínculo],"tecnico",Resp4[4.59],B10)</f>
        <v>0</v>
      </c>
      <c r="D10" s="4">
        <f>COUNTIFS(Resp4[Vínculo],"docente",Resp4[4.59],B10)</f>
        <v>3</v>
      </c>
      <c r="E10" s="4">
        <f>COUNTIF(Resp4[4.59],B10)</f>
        <v>3</v>
      </c>
      <c r="F10" s="4">
        <f t="shared" si="0"/>
        <v>12.5</v>
      </c>
      <c r="G10" s="3">
        <f t="shared" si="1"/>
        <v>20</v>
      </c>
    </row>
    <row r="11" spans="1:7" x14ac:dyDescent="0.25">
      <c r="B11" s="2" t="s">
        <v>200</v>
      </c>
      <c r="C11" s="4">
        <f>COUNTIFS(Resp4[Vínculo],"tecnico",Resp4[4.59],B11)</f>
        <v>0</v>
      </c>
      <c r="D11" s="4">
        <f>COUNTIFS(Resp4[Vínculo],"docente",Resp4[4.59],B11)</f>
        <v>3</v>
      </c>
      <c r="E11" s="4">
        <f>COUNTIF(Resp4[4.59],B11)</f>
        <v>3</v>
      </c>
      <c r="F11" s="4">
        <f t="shared" si="0"/>
        <v>12.5</v>
      </c>
      <c r="G11" s="3">
        <f t="shared" si="1"/>
        <v>20</v>
      </c>
    </row>
    <row r="12" spans="1:7" x14ac:dyDescent="0.25">
      <c r="B12" s="7" t="s">
        <v>197</v>
      </c>
      <c r="C12" s="4">
        <f>COUNTIFS(Resp4[Vínculo],"tecnico",Resp4[4.59],B12)</f>
        <v>2</v>
      </c>
      <c r="D12" s="4">
        <f>COUNTIFS(Resp4[Vínculo],"docente",Resp4[4.59],B12)</f>
        <v>3</v>
      </c>
      <c r="E12" s="4">
        <f>COUNTIF(Resp4[4.59],B12)</f>
        <v>5</v>
      </c>
      <c r="F12" s="22">
        <f t="shared" si="0"/>
        <v>20.83</v>
      </c>
      <c r="G12" s="3">
        <f t="shared" si="1"/>
        <v>33.332999999999998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2</v>
      </c>
      <c r="E19" s="15">
        <f t="shared" ref="E19:E21" si="2">ROUND(D19/SUM(D$18:D$21)*100,3)</f>
        <v>50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9.0909999999999993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9.0909999999999993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27.273</v>
      </c>
    </row>
    <row r="28" spans="2:7" x14ac:dyDescent="0.25">
      <c r="B28" s="32" t="s">
        <v>33</v>
      </c>
      <c r="C28" s="32" t="s">
        <v>32</v>
      </c>
      <c r="D28" s="18">
        <f>SUM(D11:D12)</f>
        <v>6</v>
      </c>
      <c r="E28" s="19">
        <f>ROUND(D28/SUM(D$25:D$28)*100,3)</f>
        <v>54.545000000000002</v>
      </c>
    </row>
  </sheetData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3" width="19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116</v>
      </c>
    </row>
    <row r="2" spans="1:7" x14ac:dyDescent="0.25">
      <c r="A2" s="2" t="str">
        <f>TEXT(A1,"0.00")</f>
        <v>4.60</v>
      </c>
      <c r="B2" s="2" t="str">
        <f>VLOOKUP(A$2,Eixo4[],3,FALSE)</f>
        <v>Avalie o suporte do Comitê Setorial de Extensão para o desenvolvimento das atividades extensionistas, considerando os seguintes pontos: [Informações sobre a creditação da extensão]</v>
      </c>
    </row>
    <row r="3" spans="1:7" x14ac:dyDescent="0.25">
      <c r="A3" s="2" t="s">
        <v>494</v>
      </c>
      <c r="B3" s="2" t="str">
        <f>VLOOKUP(A$2,Eixo4[],4,FALSE)</f>
        <v>Eixo 4: Questão 60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2</v>
      </c>
      <c r="E6" s="4">
        <f>E13-SUM(E7:E12)</f>
        <v>9</v>
      </c>
      <c r="F6" s="4">
        <f>ROUND($E6/E$13*100,2)</f>
        <v>37.5</v>
      </c>
    </row>
    <row r="7" spans="1:7" x14ac:dyDescent="0.25">
      <c r="B7" s="2" t="s">
        <v>203</v>
      </c>
      <c r="C7" s="4">
        <f>COUNTIFS(Resp4[Vínculo],"tecnico",Resp4[4.60],B7)</f>
        <v>1</v>
      </c>
      <c r="D7" s="4">
        <f>COUNTIFS(Resp4[Vínculo],"docente",Resp4[4.60],B7)</f>
        <v>0</v>
      </c>
      <c r="E7" s="4">
        <f>COUNTIF(Resp4[4.60],B7)</f>
        <v>1</v>
      </c>
      <c r="F7" s="4">
        <f t="shared" ref="F7:F13" si="0">ROUND($E7/E$13*100,2)</f>
        <v>4.17</v>
      </c>
      <c r="G7" s="3">
        <f t="shared" ref="G7:G12" si="1">ROUND($E7/SUM($E$7:$E$12)*100,3)</f>
        <v>6.6669999999999998</v>
      </c>
    </row>
    <row r="8" spans="1:7" x14ac:dyDescent="0.25">
      <c r="B8" s="2" t="s">
        <v>204</v>
      </c>
      <c r="C8" s="4">
        <f>COUNTIFS(Resp4[Vínculo],"tecnico",Resp4[4.60],B8)</f>
        <v>1</v>
      </c>
      <c r="D8" s="4">
        <f>COUNTIFS(Resp4[Vínculo],"docente",Resp4[4.60],B8)</f>
        <v>2</v>
      </c>
      <c r="E8" s="4">
        <f>COUNTIF(Resp4[4.60],B8)</f>
        <v>3</v>
      </c>
      <c r="F8" s="4">
        <f t="shared" si="0"/>
        <v>12.5</v>
      </c>
      <c r="G8" s="3">
        <f t="shared" si="1"/>
        <v>20</v>
      </c>
    </row>
    <row r="9" spans="1:7" x14ac:dyDescent="0.25">
      <c r="B9" s="2" t="s">
        <v>202</v>
      </c>
      <c r="C9" s="4">
        <f>COUNTIFS(Resp4[Vínculo],"tecnico",Resp4[4.60],B9)</f>
        <v>0</v>
      </c>
      <c r="D9" s="4">
        <f>COUNTIFS(Resp4[Vínculo],"docente",Resp4[4.60],B9)</f>
        <v>1</v>
      </c>
      <c r="E9" s="4">
        <f>COUNTIF(Resp4[4.60],B9)</f>
        <v>1</v>
      </c>
      <c r="F9" s="4">
        <f t="shared" si="0"/>
        <v>4.17</v>
      </c>
      <c r="G9" s="3">
        <f t="shared" si="1"/>
        <v>6.6669999999999998</v>
      </c>
    </row>
    <row r="10" spans="1:7" x14ac:dyDescent="0.25">
      <c r="B10" s="2" t="s">
        <v>30</v>
      </c>
      <c r="C10" s="4">
        <f>COUNTIFS(Resp4[Vínculo],"tecnico",Resp4[4.60],B10)</f>
        <v>0</v>
      </c>
      <c r="D10" s="4">
        <f>COUNTIFS(Resp4[Vínculo],"docente",Resp4[4.60],B10)</f>
        <v>3</v>
      </c>
      <c r="E10" s="4">
        <f>COUNTIF(Resp4[4.60],B10)</f>
        <v>3</v>
      </c>
      <c r="F10" s="4">
        <f t="shared" si="0"/>
        <v>12.5</v>
      </c>
      <c r="G10" s="3">
        <f t="shared" si="1"/>
        <v>20</v>
      </c>
    </row>
    <row r="11" spans="1:7" x14ac:dyDescent="0.25">
      <c r="B11" s="2" t="s">
        <v>200</v>
      </c>
      <c r="C11" s="4">
        <f>COUNTIFS(Resp4[Vínculo],"tecnico",Resp4[4.60],B11)</f>
        <v>0</v>
      </c>
      <c r="D11" s="4">
        <f>COUNTIFS(Resp4[Vínculo],"docente",Resp4[4.60],B11)</f>
        <v>3</v>
      </c>
      <c r="E11" s="4">
        <f>COUNTIF(Resp4[4.60],B11)</f>
        <v>3</v>
      </c>
      <c r="F11" s="4">
        <f t="shared" si="0"/>
        <v>12.5</v>
      </c>
      <c r="G11" s="3">
        <f t="shared" si="1"/>
        <v>20</v>
      </c>
    </row>
    <row r="12" spans="1:7" x14ac:dyDescent="0.25">
      <c r="B12" s="7" t="s">
        <v>197</v>
      </c>
      <c r="C12" s="4">
        <f>COUNTIFS(Resp4[Vínculo],"tecnico",Resp4[4.60],B12)</f>
        <v>2</v>
      </c>
      <c r="D12" s="4">
        <f>COUNTIFS(Resp4[Vínculo],"docente",Resp4[4.60],B12)</f>
        <v>2</v>
      </c>
      <c r="E12" s="4">
        <f>COUNTIF(Resp4[4.60],B12)</f>
        <v>4</v>
      </c>
      <c r="F12" s="22">
        <f t="shared" si="0"/>
        <v>16.670000000000002</v>
      </c>
      <c r="G12" s="3">
        <f t="shared" si="1"/>
        <v>26.667000000000002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25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1</v>
      </c>
      <c r="E19" s="15">
        <f t="shared" ref="E19:E21" si="2">ROUND(D19/SUM(D$18:D$21)*100,3)</f>
        <v>25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27.273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27.273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45.454999999999998</v>
      </c>
    </row>
  </sheetData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5703125" style="2" customWidth="1"/>
    <col min="3" max="3" width="16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117</v>
      </c>
    </row>
    <row r="2" spans="1:7" x14ac:dyDescent="0.25">
      <c r="A2" s="2" t="str">
        <f>TEXT(A1,"0.00")</f>
        <v>4.61</v>
      </c>
      <c r="B2" s="2" t="str">
        <f>VLOOKUP(A$2,Eixo4[],3,FALSE)</f>
        <v>Como você avalia as ações institucionais de incentivo e apoio para o desenvolvimento integrado de atividades extensionistas (SIEPE integrando os campi, Ações articuladas fomentadas pelo Edital de Fortalecimento da Extensão, Criação de Redes Temáticas)?</v>
      </c>
    </row>
    <row r="3" spans="1:7" x14ac:dyDescent="0.25">
      <c r="A3" s="2" t="s">
        <v>494</v>
      </c>
      <c r="B3" s="2" t="str">
        <f>VLOOKUP(A$2,Eixo4[],4,FALSE)</f>
        <v>Eixo 4: Questão 61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2</v>
      </c>
      <c r="E6" s="4">
        <f>E13-SUM(E7:E12)</f>
        <v>9</v>
      </c>
      <c r="F6" s="4">
        <f>ROUND($E6/E$13*100,2)</f>
        <v>37.5</v>
      </c>
    </row>
    <row r="7" spans="1:7" x14ac:dyDescent="0.25">
      <c r="B7" s="2" t="s">
        <v>203</v>
      </c>
      <c r="C7" s="4">
        <f>COUNTIFS(Resp4[Vínculo],"tecnico",Resp4[4.61],B7)</f>
        <v>1</v>
      </c>
      <c r="D7" s="4">
        <f>COUNTIFS(Resp4[Vínculo],"docente",Resp4[4.61],B7)</f>
        <v>4</v>
      </c>
      <c r="E7" s="4">
        <f>COUNTIF(Resp4[4.61],B7)</f>
        <v>5</v>
      </c>
      <c r="F7" s="4">
        <f t="shared" ref="F7:F13" si="0">ROUND($E7/E$13*100,2)</f>
        <v>20.83</v>
      </c>
      <c r="G7" s="3">
        <f t="shared" ref="G7:G12" si="1">ROUND($E7/SUM($E$7:$E$12)*100,3)</f>
        <v>33.332999999999998</v>
      </c>
    </row>
    <row r="8" spans="1:7" x14ac:dyDescent="0.25">
      <c r="B8" s="2" t="s">
        <v>204</v>
      </c>
      <c r="C8" s="4">
        <f>COUNTIFS(Resp4[Vínculo],"tecnico",Resp4[4.61],B8)</f>
        <v>1</v>
      </c>
      <c r="D8" s="4">
        <f>COUNTIFS(Resp4[Vínculo],"docente",Resp4[4.61],B8)</f>
        <v>1</v>
      </c>
      <c r="E8" s="4">
        <f>COUNTIF(Resp4[4.61],B8)</f>
        <v>2</v>
      </c>
      <c r="F8" s="4">
        <f t="shared" si="0"/>
        <v>8.33</v>
      </c>
      <c r="G8" s="3">
        <f t="shared" si="1"/>
        <v>13.333</v>
      </c>
    </row>
    <row r="9" spans="1:7" x14ac:dyDescent="0.25">
      <c r="B9" s="2" t="s">
        <v>202</v>
      </c>
      <c r="C9" s="4">
        <f>COUNTIFS(Resp4[Vínculo],"tecnico",Resp4[4.61],B9)</f>
        <v>0</v>
      </c>
      <c r="D9" s="4">
        <f>COUNTIFS(Resp4[Vínculo],"docente",Resp4[4.61],B9)</f>
        <v>1</v>
      </c>
      <c r="E9" s="4">
        <f>COUNTIF(Resp4[4.61],B9)</f>
        <v>1</v>
      </c>
      <c r="F9" s="4">
        <f t="shared" si="0"/>
        <v>4.17</v>
      </c>
      <c r="G9" s="3">
        <f t="shared" si="1"/>
        <v>6.6669999999999998</v>
      </c>
    </row>
    <row r="10" spans="1:7" x14ac:dyDescent="0.25">
      <c r="B10" s="2" t="s">
        <v>30</v>
      </c>
      <c r="C10" s="4">
        <f>COUNTIFS(Resp4[Vínculo],"tecnico",Resp4[4.61],B10)</f>
        <v>0</v>
      </c>
      <c r="D10" s="4">
        <f>COUNTIFS(Resp4[Vínculo],"docente",Resp4[4.61],B10)</f>
        <v>2</v>
      </c>
      <c r="E10" s="4">
        <f>COUNTIF(Resp4[4.61],B10)</f>
        <v>2</v>
      </c>
      <c r="F10" s="4">
        <f t="shared" si="0"/>
        <v>8.33</v>
      </c>
      <c r="G10" s="3">
        <f t="shared" si="1"/>
        <v>13.333</v>
      </c>
    </row>
    <row r="11" spans="1:7" x14ac:dyDescent="0.25">
      <c r="B11" s="2" t="s">
        <v>200</v>
      </c>
      <c r="C11" s="4">
        <f>COUNTIFS(Resp4[Vínculo],"tecnico",Resp4[4.61],B11)</f>
        <v>0</v>
      </c>
      <c r="D11" s="4">
        <f>COUNTIFS(Resp4[Vínculo],"docente",Resp4[4.61],B11)</f>
        <v>2</v>
      </c>
      <c r="E11" s="4">
        <f>COUNTIF(Resp4[4.61],B11)</f>
        <v>2</v>
      </c>
      <c r="F11" s="4">
        <f t="shared" si="0"/>
        <v>8.33</v>
      </c>
      <c r="G11" s="3">
        <f t="shared" si="1"/>
        <v>13.333</v>
      </c>
    </row>
    <row r="12" spans="1:7" x14ac:dyDescent="0.25">
      <c r="B12" s="7" t="s">
        <v>197</v>
      </c>
      <c r="C12" s="4">
        <f>COUNTIFS(Resp4[Vínculo],"tecnico",Resp4[4.61],B12)</f>
        <v>2</v>
      </c>
      <c r="D12" s="4">
        <f>COUNTIFS(Resp4[Vínculo],"docente",Resp4[4.61],B12)</f>
        <v>1</v>
      </c>
      <c r="E12" s="4">
        <f>COUNTIF(Resp4[4.61],B12)</f>
        <v>3</v>
      </c>
      <c r="F12" s="22">
        <f t="shared" si="0"/>
        <v>12.5</v>
      </c>
      <c r="G12" s="3">
        <f t="shared" si="1"/>
        <v>20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25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1</v>
      </c>
      <c r="E19" s="15">
        <f t="shared" ref="E19:E21" si="2">ROUND(D19/SUM(D$18:D$21)*100,3)</f>
        <v>25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18.181999999999999</v>
      </c>
    </row>
    <row r="26" spans="2:7" x14ac:dyDescent="0.25">
      <c r="B26" s="16" t="s">
        <v>505</v>
      </c>
      <c r="C26" s="16" t="s">
        <v>23</v>
      </c>
      <c r="D26" s="14">
        <f>D7</f>
        <v>4</v>
      </c>
      <c r="E26" s="15">
        <f>ROUND(D26/SUM(D$25:D$28)*100,3)</f>
        <v>36.363999999999997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18.181999999999999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27.273</v>
      </c>
    </row>
  </sheetData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7109375" style="2" customWidth="1"/>
    <col min="3" max="3" width="20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118</v>
      </c>
    </row>
    <row r="2" spans="1:7" x14ac:dyDescent="0.25">
      <c r="A2" s="2" t="str">
        <f>TEXT(A1,"0.00")</f>
        <v>4.62</v>
      </c>
      <c r="B2" s="2" t="str">
        <f>VLOOKUP(A$2,Eixo4[],3,FALSE)</f>
        <v>Avalie a contribuição da extensão no processo de formação de estudantes (de graduação e pós-graduação), considerando: [A formação acadêmica e profissional (habilidades e competências teóricas e metodológicas)]</v>
      </c>
    </row>
    <row r="3" spans="1:7" x14ac:dyDescent="0.25">
      <c r="A3" s="2" t="s">
        <v>494</v>
      </c>
      <c r="B3" s="2" t="str">
        <f>VLOOKUP(A$2,Eixo4[],4,FALSE)</f>
        <v>Eixo 4: Questão 62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3</v>
      </c>
      <c r="E6" s="4">
        <f>E13-SUM(E7:E12)</f>
        <v>10</v>
      </c>
      <c r="F6" s="4">
        <f>ROUND($E6/E$13*100,2)</f>
        <v>41.67</v>
      </c>
    </row>
    <row r="7" spans="1:7" x14ac:dyDescent="0.25">
      <c r="B7" s="2" t="s">
        <v>203</v>
      </c>
      <c r="C7" s="4">
        <f>COUNTIFS(Resp4[Vínculo],"tecnico",Resp4[4.62],B7)</f>
        <v>0</v>
      </c>
      <c r="D7" s="4">
        <f>COUNTIFS(Resp4[Vínculo],"docente",Resp4[4.62],B7)</f>
        <v>0</v>
      </c>
      <c r="E7" s="4">
        <f>COUNTIF(Resp4[4.62],B7)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COUNTIFS(Resp4[Vínculo],"tecnico",Resp4[4.62],B8)</f>
        <v>0</v>
      </c>
      <c r="D8" s="4">
        <f>COUNTIFS(Resp4[Vínculo],"docente",Resp4[4.62],B8)</f>
        <v>0</v>
      </c>
      <c r="E8" s="4">
        <f>COUNTIF(Resp4[4.62],B8)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COUNTIFS(Resp4[Vínculo],"tecnico",Resp4[4.62],B9)</f>
        <v>0</v>
      </c>
      <c r="D9" s="4">
        <f>COUNTIFS(Resp4[Vínculo],"docente",Resp4[4.62],B9)</f>
        <v>0</v>
      </c>
      <c r="E9" s="4">
        <f>COUNTIF(Resp4[4.62],B9)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COUNTIFS(Resp4[Vínculo],"tecnico",Resp4[4.62],B10)</f>
        <v>0</v>
      </c>
      <c r="D10" s="4">
        <f>COUNTIFS(Resp4[Vínculo],"docente",Resp4[4.62],B10)</f>
        <v>0</v>
      </c>
      <c r="E10" s="4">
        <f>COUNTIF(Resp4[4.62],B10)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COUNTIFS(Resp4[Vínculo],"tecnico",Resp4[4.62],B11)</f>
        <v>2</v>
      </c>
      <c r="D11" s="4">
        <f>COUNTIFS(Resp4[Vínculo],"docente",Resp4[4.62],B11)</f>
        <v>5</v>
      </c>
      <c r="E11" s="4">
        <f>COUNTIF(Resp4[4.62],B11)</f>
        <v>7</v>
      </c>
      <c r="F11" s="4">
        <f t="shared" si="0"/>
        <v>29.17</v>
      </c>
      <c r="G11" s="3">
        <f t="shared" si="1"/>
        <v>50</v>
      </c>
    </row>
    <row r="12" spans="1:7" x14ac:dyDescent="0.25">
      <c r="B12" s="7" t="s">
        <v>197</v>
      </c>
      <c r="C12" s="4">
        <f>COUNTIFS(Resp4[Vínculo],"tecnico",Resp4[4.62],B12)</f>
        <v>2</v>
      </c>
      <c r="D12" s="4">
        <f>COUNTIFS(Resp4[Vínculo],"docente",Resp4[4.62],B12)</f>
        <v>5</v>
      </c>
      <c r="E12" s="4">
        <f>COUNTIF(Resp4[4.62],B12)</f>
        <v>7</v>
      </c>
      <c r="F12" s="22">
        <f>ROUND($E12/E$13*100,2)</f>
        <v>29.17</v>
      </c>
      <c r="G12" s="3">
        <f t="shared" si="1"/>
        <v>50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10</v>
      </c>
      <c r="E28" s="19">
        <f>ROUND(D28/SUM(D$25:D$28)*100,3)</f>
        <v>100</v>
      </c>
    </row>
  </sheetData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5703125" style="2" customWidth="1"/>
    <col min="3" max="3" width="15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119</v>
      </c>
    </row>
    <row r="2" spans="1:7" x14ac:dyDescent="0.25">
      <c r="A2" s="2" t="str">
        <f>TEXT(A1,"0.00")</f>
        <v>4.63</v>
      </c>
      <c r="B2" s="2" t="str">
        <f>VLOOKUP(A$2,Eixo4[],3,FALSE)</f>
        <v>Avalie a contribuição da extensão no processo de formação de estudantes (de graduação e pós-graduação), considerando: [A formação cidadã]</v>
      </c>
    </row>
    <row r="3" spans="1:7" x14ac:dyDescent="0.25">
      <c r="A3" s="2" t="s">
        <v>494</v>
      </c>
      <c r="B3" s="2" t="str">
        <f>VLOOKUP(A$2,Eixo4[],4,FALSE)</f>
        <v>Eixo 4: Questão 63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3</v>
      </c>
      <c r="E6" s="4">
        <f>E13-SUM(E7:E12)</f>
        <v>10</v>
      </c>
      <c r="F6" s="4">
        <f>ROUND($E6/E$13*100,2)</f>
        <v>41.67</v>
      </c>
    </row>
    <row r="7" spans="1:7" x14ac:dyDescent="0.25">
      <c r="B7" s="2" t="s">
        <v>203</v>
      </c>
      <c r="C7" s="4">
        <f>COUNTIFS(Resp4[Vínculo],"tecnico",Resp4[4.63],B7)</f>
        <v>0</v>
      </c>
      <c r="D7" s="4">
        <f>COUNTIFS(Resp4[Vínculo],"docente",Resp4[4.63],B7)</f>
        <v>0</v>
      </c>
      <c r="E7" s="4">
        <f>COUNTIF(Resp4[4.63],B7)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COUNTIFS(Resp4[Vínculo],"tecnico",Resp4[4.63],B8)</f>
        <v>0</v>
      </c>
      <c r="D8" s="4">
        <f>COUNTIFS(Resp4[Vínculo],"docente",Resp4[4.63],B8)</f>
        <v>0</v>
      </c>
      <c r="E8" s="4">
        <f>COUNTIF(Resp4[4.63],B8)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COUNTIFS(Resp4[Vínculo],"tecnico",Resp4[4.63],B9)</f>
        <v>0</v>
      </c>
      <c r="D9" s="4">
        <f>COUNTIFS(Resp4[Vínculo],"docente",Resp4[4.63],B9)</f>
        <v>0</v>
      </c>
      <c r="E9" s="4">
        <f>COUNTIF(Resp4[4.63],B9)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COUNTIFS(Resp4[Vínculo],"tecnico",Resp4[4.63],B10)</f>
        <v>0</v>
      </c>
      <c r="D10" s="4">
        <f>COUNTIFS(Resp4[Vínculo],"docente",Resp4[4.63],B10)</f>
        <v>0</v>
      </c>
      <c r="E10" s="4">
        <f>COUNTIF(Resp4[4.63],B10)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COUNTIFS(Resp4[Vínculo],"tecnico",Resp4[4.63],B11)</f>
        <v>2</v>
      </c>
      <c r="D11" s="4">
        <f>COUNTIFS(Resp4[Vínculo],"docente",Resp4[4.63],B11)</f>
        <v>3</v>
      </c>
      <c r="E11" s="4">
        <f>COUNTIF(Resp4[4.63],B11)</f>
        <v>5</v>
      </c>
      <c r="F11" s="4">
        <f t="shared" si="0"/>
        <v>20.83</v>
      </c>
      <c r="G11" s="3">
        <f t="shared" si="1"/>
        <v>35.713999999999999</v>
      </c>
    </row>
    <row r="12" spans="1:7" x14ac:dyDescent="0.25">
      <c r="B12" s="7" t="s">
        <v>197</v>
      </c>
      <c r="C12" s="4">
        <f>COUNTIFS(Resp4[Vínculo],"tecnico",Resp4[4.63],B12)</f>
        <v>2</v>
      </c>
      <c r="D12" s="4">
        <f>COUNTIFS(Resp4[Vínculo],"docente",Resp4[4.63],B12)</f>
        <v>7</v>
      </c>
      <c r="E12" s="4">
        <f>COUNTIF(Resp4[4.63],B12)</f>
        <v>9</v>
      </c>
      <c r="F12" s="22">
        <f t="shared" si="0"/>
        <v>37.5</v>
      </c>
      <c r="G12" s="3">
        <f t="shared" si="1"/>
        <v>64.286000000000001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10</v>
      </c>
      <c r="E28" s="19">
        <f>ROUND(D28/SUM(D$25:D$28)*100,3)</f>
        <v>100</v>
      </c>
    </row>
  </sheetData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6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" style="2" customWidth="1"/>
    <col min="3" max="3" width="19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120</v>
      </c>
    </row>
    <row r="2" spans="1:7" x14ac:dyDescent="0.25">
      <c r="A2" s="2" t="str">
        <f>TEXT(A1,"0.00")</f>
        <v>4.64</v>
      </c>
      <c r="B2" s="2" t="str">
        <f>VLOOKUP(A$2,Eixo4[],3,FALSE)</f>
        <v>Avalie o suporte financeiro para a realização das ações extensionistas, nos quesitos: [Editais de bolsas para estudantes]</v>
      </c>
    </row>
    <row r="3" spans="1:7" x14ac:dyDescent="0.25">
      <c r="A3" s="2" t="s">
        <v>494</v>
      </c>
      <c r="B3" s="2" t="str">
        <f>VLOOKUP(A$2,Eixo4[],4,FALSE)</f>
        <v>Eixo 4: Questão 64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2</v>
      </c>
      <c r="E6" s="4">
        <f>E13-SUM(E7:E12)</f>
        <v>9</v>
      </c>
      <c r="F6" s="4">
        <f>ROUND($E6/E$13*100,2)</f>
        <v>37.5</v>
      </c>
    </row>
    <row r="7" spans="1:7" x14ac:dyDescent="0.25">
      <c r="B7" s="2" t="s">
        <v>203</v>
      </c>
      <c r="C7" s="4">
        <f>COUNTIFS(Resp4[Vínculo],"tecnico",Resp4[4.64],B7)</f>
        <v>1</v>
      </c>
      <c r="D7" s="4">
        <f>COUNTIFS(Resp4[Vínculo],"docente",Resp4[4.64],B7)</f>
        <v>1</v>
      </c>
      <c r="E7" s="4">
        <f>COUNTIF(Resp4[4.64],B7)</f>
        <v>2</v>
      </c>
      <c r="F7" s="4">
        <f t="shared" ref="F7:F13" si="0">ROUND($E7/E$13*100,2)</f>
        <v>8.33</v>
      </c>
      <c r="G7" s="3">
        <f t="shared" ref="G7:G12" si="1">ROUND($E7/SUM($E$7:$E$12)*100,3)</f>
        <v>13.333</v>
      </c>
    </row>
    <row r="8" spans="1:7" x14ac:dyDescent="0.25">
      <c r="B8" s="2" t="s">
        <v>204</v>
      </c>
      <c r="C8" s="4">
        <f>COUNTIFS(Resp4[Vínculo],"tecnico",Resp4[4.64],B8)</f>
        <v>0</v>
      </c>
      <c r="D8" s="4">
        <f>COUNTIFS(Resp4[Vínculo],"docente",Resp4[4.64],B8)</f>
        <v>0</v>
      </c>
      <c r="E8" s="4">
        <f>COUNTIF(Resp4[4.64],B8)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COUNTIFS(Resp4[Vínculo],"tecnico",Resp4[4.64],B9)</f>
        <v>0</v>
      </c>
      <c r="D9" s="4">
        <f>COUNTIFS(Resp4[Vínculo],"docente",Resp4[4.64],B9)</f>
        <v>2</v>
      </c>
      <c r="E9" s="4">
        <f>COUNTIF(Resp4[4.64],B9)</f>
        <v>2</v>
      </c>
      <c r="F9" s="4">
        <f t="shared" si="0"/>
        <v>8.33</v>
      </c>
      <c r="G9" s="3">
        <f t="shared" si="1"/>
        <v>13.333</v>
      </c>
    </row>
    <row r="10" spans="1:7" x14ac:dyDescent="0.25">
      <c r="B10" s="2" t="s">
        <v>30</v>
      </c>
      <c r="C10" s="4">
        <f>COUNTIFS(Resp4[Vínculo],"tecnico",Resp4[4.64],B10)</f>
        <v>0</v>
      </c>
      <c r="D10" s="4">
        <f>COUNTIFS(Resp4[Vínculo],"docente",Resp4[4.64],B10)</f>
        <v>3</v>
      </c>
      <c r="E10" s="4">
        <f>COUNTIF(Resp4[4.64],B10)</f>
        <v>3</v>
      </c>
      <c r="F10" s="4">
        <f t="shared" si="0"/>
        <v>12.5</v>
      </c>
      <c r="G10" s="3">
        <f t="shared" si="1"/>
        <v>20</v>
      </c>
    </row>
    <row r="11" spans="1:7" x14ac:dyDescent="0.25">
      <c r="B11" s="2" t="s">
        <v>200</v>
      </c>
      <c r="C11" s="4">
        <f>COUNTIFS(Resp4[Vínculo],"tecnico",Resp4[4.64],B11)</f>
        <v>2</v>
      </c>
      <c r="D11" s="4">
        <f>COUNTIFS(Resp4[Vínculo],"docente",Resp4[4.64],B11)</f>
        <v>4</v>
      </c>
      <c r="E11" s="4">
        <f>COUNTIF(Resp4[4.64],B11)</f>
        <v>6</v>
      </c>
      <c r="F11" s="4">
        <f t="shared" si="0"/>
        <v>25</v>
      </c>
      <c r="G11" s="3">
        <f t="shared" si="1"/>
        <v>40</v>
      </c>
    </row>
    <row r="12" spans="1:7" x14ac:dyDescent="0.25">
      <c r="B12" s="7" t="s">
        <v>197</v>
      </c>
      <c r="C12" s="4">
        <f>COUNTIFS(Resp4[Vínculo],"tecnico",Resp4[4.64],B12)</f>
        <v>1</v>
      </c>
      <c r="D12" s="4">
        <f>COUNTIFS(Resp4[Vínculo],"docente",Resp4[4.64],B12)</f>
        <v>1</v>
      </c>
      <c r="E12" s="4">
        <f>COUNTIF(Resp4[4.64],B12)</f>
        <v>2</v>
      </c>
      <c r="F12" s="22">
        <f t="shared" si="0"/>
        <v>8.33</v>
      </c>
      <c r="G12" s="3">
        <f t="shared" si="1"/>
        <v>13.333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1</v>
      </c>
      <c r="E19" s="15">
        <f t="shared" ref="E19:E21" si="2">ROUND(D19/SUM(D$18:D$21)*100,3)</f>
        <v>25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75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18.181999999999999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9.0909999999999993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27.273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45.454999999999998</v>
      </c>
    </row>
    <row r="35" spans="12:15" x14ac:dyDescent="0.25">
      <c r="N35" s="66"/>
      <c r="O35" s="67"/>
    </row>
    <row r="36" spans="12:15" x14ac:dyDescent="0.25">
      <c r="L36"/>
      <c r="M36"/>
      <c r="N36" s="14"/>
      <c r="O36" s="15"/>
    </row>
    <row r="37" spans="12:15" x14ac:dyDescent="0.25">
      <c r="N37" s="14"/>
      <c r="O37" s="15"/>
    </row>
    <row r="38" spans="12:15" x14ac:dyDescent="0.25">
      <c r="N38" s="14"/>
      <c r="O38" s="15"/>
    </row>
    <row r="39" spans="12:15" x14ac:dyDescent="0.25">
      <c r="N39" s="14"/>
      <c r="O39" s="15"/>
    </row>
    <row r="40" spans="12:15" x14ac:dyDescent="0.25">
      <c r="O40" s="20"/>
    </row>
    <row r="41" spans="12:15" x14ac:dyDescent="0.25">
      <c r="O41" s="20"/>
    </row>
    <row r="42" spans="12:15" x14ac:dyDescent="0.25">
      <c r="N42" s="66"/>
      <c r="O42" s="67"/>
    </row>
    <row r="43" spans="12:15" x14ac:dyDescent="0.25">
      <c r="L43"/>
      <c r="M43"/>
      <c r="N43" s="14"/>
      <c r="O43" s="15"/>
    </row>
    <row r="44" spans="12:15" x14ac:dyDescent="0.25">
      <c r="N44" s="14"/>
      <c r="O44" s="15"/>
    </row>
    <row r="45" spans="12:15" x14ac:dyDescent="0.25">
      <c r="N45" s="14"/>
      <c r="O45" s="15"/>
    </row>
    <row r="46" spans="12:15" x14ac:dyDescent="0.25">
      <c r="N46" s="14"/>
      <c r="O46" s="15"/>
    </row>
  </sheetData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5703125" style="2" customWidth="1"/>
    <col min="3" max="3" width="18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121</v>
      </c>
    </row>
    <row r="2" spans="1:7" x14ac:dyDescent="0.25">
      <c r="A2" s="2" t="str">
        <f>TEXT(A1,"0.00")</f>
        <v>4.65</v>
      </c>
      <c r="B2" s="2" t="str">
        <f>VLOOKUP(A$2,Eixo4[],3,FALSE)</f>
        <v>Avalie o suporte financeiro para a realização das ações extensionistas, nos quesitos: [Editais de fomento para a Extensão]</v>
      </c>
    </row>
    <row r="3" spans="1:7" x14ac:dyDescent="0.25">
      <c r="A3" s="2" t="s">
        <v>494</v>
      </c>
      <c r="B3" s="2" t="str">
        <f>VLOOKUP(A$2,Eixo4[],4,FALSE)</f>
        <v>Eixo 4: Questão 65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2</v>
      </c>
      <c r="E6" s="4">
        <f>E13-SUM(E7:E12)</f>
        <v>9</v>
      </c>
      <c r="F6" s="4">
        <f>ROUND($E6/E$13*100,2)</f>
        <v>37.5</v>
      </c>
    </row>
    <row r="7" spans="1:7" x14ac:dyDescent="0.25">
      <c r="B7" s="2" t="s">
        <v>203</v>
      </c>
      <c r="C7" s="4">
        <f>COUNTIFS(Resp4[Vínculo],"tecnico",Resp4[4.65],B7)</f>
        <v>2</v>
      </c>
      <c r="D7" s="4">
        <f>COUNTIFS(Resp4[Vínculo],"docente",Resp4[4.65],B7)</f>
        <v>1</v>
      </c>
      <c r="E7" s="4">
        <f>COUNTIF(Resp4[4.65],B7)</f>
        <v>3</v>
      </c>
      <c r="F7" s="4">
        <f t="shared" ref="F7:F13" si="0">ROUND($E7/E$13*100,2)</f>
        <v>12.5</v>
      </c>
      <c r="G7" s="3">
        <f t="shared" ref="G7:G12" si="1">ROUND($E7/SUM($E$7:$E$12)*100,3)</f>
        <v>20</v>
      </c>
    </row>
    <row r="8" spans="1:7" x14ac:dyDescent="0.25">
      <c r="B8" s="2" t="s">
        <v>204</v>
      </c>
      <c r="C8" s="4">
        <f>COUNTIFS(Resp4[Vínculo],"tecnico",Resp4[4.65],B8)</f>
        <v>1</v>
      </c>
      <c r="D8" s="4">
        <f>COUNTIFS(Resp4[Vínculo],"docente",Resp4[4.65],B8)</f>
        <v>0</v>
      </c>
      <c r="E8" s="4">
        <f>COUNTIF(Resp4[4.65],B8)</f>
        <v>1</v>
      </c>
      <c r="F8" s="4">
        <f t="shared" si="0"/>
        <v>4.17</v>
      </c>
      <c r="G8" s="3">
        <f t="shared" si="1"/>
        <v>6.6669999999999998</v>
      </c>
    </row>
    <row r="9" spans="1:7" x14ac:dyDescent="0.25">
      <c r="B9" s="2" t="s">
        <v>202</v>
      </c>
      <c r="C9" s="4">
        <f>COUNTIFS(Resp4[Vínculo],"tecnico",Resp4[4.65],B9)</f>
        <v>0</v>
      </c>
      <c r="D9" s="4">
        <f>COUNTIFS(Resp4[Vínculo],"docente",Resp4[4.65],B9)</f>
        <v>2</v>
      </c>
      <c r="E9" s="4">
        <f>COUNTIF(Resp4[4.65],B9)</f>
        <v>2</v>
      </c>
      <c r="F9" s="4">
        <f t="shared" si="0"/>
        <v>8.33</v>
      </c>
      <c r="G9" s="3">
        <f t="shared" si="1"/>
        <v>13.333</v>
      </c>
    </row>
    <row r="10" spans="1:7" x14ac:dyDescent="0.25">
      <c r="B10" s="2" t="s">
        <v>30</v>
      </c>
      <c r="C10" s="4">
        <f>COUNTIFS(Resp4[Vínculo],"tecnico",Resp4[4.65],B10)</f>
        <v>0</v>
      </c>
      <c r="D10" s="4">
        <f>COUNTIFS(Resp4[Vínculo],"docente",Resp4[4.65],B10)</f>
        <v>5</v>
      </c>
      <c r="E10" s="4">
        <f>COUNTIF(Resp4[4.65],B10)</f>
        <v>5</v>
      </c>
      <c r="F10" s="4">
        <f t="shared" si="0"/>
        <v>20.83</v>
      </c>
      <c r="G10" s="3">
        <f t="shared" si="1"/>
        <v>33.332999999999998</v>
      </c>
    </row>
    <row r="11" spans="1:7" x14ac:dyDescent="0.25">
      <c r="B11" s="2" t="s">
        <v>200</v>
      </c>
      <c r="C11" s="4">
        <f>COUNTIFS(Resp4[Vínculo],"tecnico",Resp4[4.65],B11)</f>
        <v>0</v>
      </c>
      <c r="D11" s="4">
        <f>COUNTIFS(Resp4[Vínculo],"docente",Resp4[4.65],B11)</f>
        <v>2</v>
      </c>
      <c r="E11" s="4">
        <f>COUNTIF(Resp4[4.65],B11)</f>
        <v>2</v>
      </c>
      <c r="F11" s="4">
        <f t="shared" si="0"/>
        <v>8.33</v>
      </c>
      <c r="G11" s="3">
        <f t="shared" si="1"/>
        <v>13.333</v>
      </c>
    </row>
    <row r="12" spans="1:7" x14ac:dyDescent="0.25">
      <c r="B12" s="7" t="s">
        <v>197</v>
      </c>
      <c r="C12" s="4">
        <f>COUNTIFS(Resp4[Vínculo],"tecnico",Resp4[4.65],B12)</f>
        <v>1</v>
      </c>
      <c r="D12" s="4">
        <f>COUNTIFS(Resp4[Vínculo],"docente",Resp4[4.65],B12)</f>
        <v>1</v>
      </c>
      <c r="E12" s="4">
        <f>COUNTIF(Resp4[4.65],B12)</f>
        <v>2</v>
      </c>
      <c r="F12" s="22">
        <f t="shared" si="0"/>
        <v>8.33</v>
      </c>
      <c r="G12" s="3">
        <f t="shared" si="1"/>
        <v>13.333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25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2</v>
      </c>
      <c r="E19" s="15">
        <f t="shared" ref="E19:E21" si="2">ROUND(D19/SUM(D$18:D$21)*100,3)</f>
        <v>50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25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18.181999999999999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9.0909999999999993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45.454999999999998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27.273</v>
      </c>
    </row>
  </sheetData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5" style="2" customWidth="1"/>
    <col min="3" max="3" width="18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122</v>
      </c>
    </row>
    <row r="2" spans="1:7" x14ac:dyDescent="0.25">
      <c r="A2" s="2" t="str">
        <f>TEXT(A1,"0.00")</f>
        <v>4.66</v>
      </c>
      <c r="B2" s="2" t="str">
        <f>VLOOKUP(A$2,Eixo4[],3,FALSE)</f>
        <v>Com relação ao Edital de Bolsa Extensão, avalie: [A divulgação e as informações prestadas sobre o Edital]</v>
      </c>
    </row>
    <row r="3" spans="1:7" x14ac:dyDescent="0.25">
      <c r="A3" s="2" t="s">
        <v>494</v>
      </c>
      <c r="B3" s="2" t="str">
        <f>VLOOKUP(A$2,Eixo4[],4,FALSE)</f>
        <v>Eixo 4: Questão 66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2</v>
      </c>
      <c r="E6" s="4">
        <f>E13-SUM(E7:E12)</f>
        <v>9</v>
      </c>
      <c r="F6" s="4">
        <f>ROUND($E6/E$13*100,2)</f>
        <v>37.5</v>
      </c>
    </row>
    <row r="7" spans="1:7" x14ac:dyDescent="0.25">
      <c r="B7" s="2" t="s">
        <v>203</v>
      </c>
      <c r="C7" s="4">
        <f>COUNTIFS(Resp4[Vínculo],"tecnico",Resp4[4.66],B7)</f>
        <v>1</v>
      </c>
      <c r="D7" s="4">
        <f>COUNTIFS(Resp4[Vínculo],"docente",Resp4[4.66],B7)</f>
        <v>2</v>
      </c>
      <c r="E7" s="4">
        <f>COUNTIF(Resp4[4.66],B7)</f>
        <v>3</v>
      </c>
      <c r="F7" s="4">
        <f t="shared" ref="F7:F13" si="0">ROUND($E7/E$13*100,2)</f>
        <v>12.5</v>
      </c>
      <c r="G7" s="3">
        <f t="shared" ref="G7:G12" si="1">ROUND($E7/SUM($E$7:$E$12)*100,3)</f>
        <v>20</v>
      </c>
    </row>
    <row r="8" spans="1:7" x14ac:dyDescent="0.25">
      <c r="B8" s="2" t="s">
        <v>204</v>
      </c>
      <c r="C8" s="4">
        <f>COUNTIFS(Resp4[Vínculo],"tecnico",Resp4[4.66],B8)</f>
        <v>0</v>
      </c>
      <c r="D8" s="4">
        <f>COUNTIFS(Resp4[Vínculo],"docente",Resp4[4.66],B8)</f>
        <v>0</v>
      </c>
      <c r="E8" s="4">
        <f>COUNTIF(Resp4[4.66],B8)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COUNTIFS(Resp4[Vínculo],"tecnico",Resp4[4.66],B9)</f>
        <v>0</v>
      </c>
      <c r="D9" s="4">
        <f>COUNTIFS(Resp4[Vínculo],"docente",Resp4[4.66],B9)</f>
        <v>0</v>
      </c>
      <c r="E9" s="4">
        <f>COUNTIF(Resp4[4.66],B9)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COUNTIFS(Resp4[Vínculo],"tecnico",Resp4[4.66],B10)</f>
        <v>0</v>
      </c>
      <c r="D10" s="4">
        <f>COUNTIFS(Resp4[Vínculo],"docente",Resp4[4.66],B10)</f>
        <v>2</v>
      </c>
      <c r="E10" s="4">
        <f>COUNTIF(Resp4[4.66],B10)</f>
        <v>2</v>
      </c>
      <c r="F10" s="4">
        <f t="shared" si="0"/>
        <v>8.33</v>
      </c>
      <c r="G10" s="3">
        <f t="shared" si="1"/>
        <v>13.333</v>
      </c>
    </row>
    <row r="11" spans="1:7" x14ac:dyDescent="0.25">
      <c r="B11" s="2" t="s">
        <v>200</v>
      </c>
      <c r="C11" s="4">
        <f>COUNTIFS(Resp4[Vínculo],"tecnico",Resp4[4.66],B11)</f>
        <v>1</v>
      </c>
      <c r="D11" s="4">
        <f>COUNTIFS(Resp4[Vínculo],"docente",Resp4[4.66],B11)</f>
        <v>5</v>
      </c>
      <c r="E11" s="4">
        <f>COUNTIF(Resp4[4.66],B11)</f>
        <v>6</v>
      </c>
      <c r="F11" s="4">
        <f t="shared" si="0"/>
        <v>25</v>
      </c>
      <c r="G11" s="3">
        <f t="shared" si="1"/>
        <v>40</v>
      </c>
    </row>
    <row r="12" spans="1:7" x14ac:dyDescent="0.25">
      <c r="B12" s="7" t="s">
        <v>197</v>
      </c>
      <c r="C12" s="4">
        <f>COUNTIFS(Resp4[Vínculo],"tecnico",Resp4[4.66],B12)</f>
        <v>2</v>
      </c>
      <c r="D12" s="4">
        <f>COUNTIFS(Resp4[Vínculo],"docente",Resp4[4.66],B12)</f>
        <v>2</v>
      </c>
      <c r="E12" s="4">
        <f>COUNTIF(Resp4[4.66],B12)</f>
        <v>4</v>
      </c>
      <c r="F12" s="22">
        <f t="shared" si="0"/>
        <v>16.670000000000002</v>
      </c>
      <c r="G12" s="3">
        <f t="shared" si="1"/>
        <v>26.667000000000002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1</v>
      </c>
      <c r="E19" s="15">
        <f t="shared" ref="E19:E21" si="2">ROUND(D19/SUM(D$18:D$21)*100,3)</f>
        <v>25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75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2</v>
      </c>
      <c r="E26" s="15">
        <f>ROUND(D26/SUM(D$25:D$28)*100,3)</f>
        <v>18.181999999999999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18.181999999999999</v>
      </c>
    </row>
    <row r="28" spans="2:7" x14ac:dyDescent="0.25">
      <c r="B28" s="32" t="s">
        <v>33</v>
      </c>
      <c r="C28" s="32" t="s">
        <v>32</v>
      </c>
      <c r="D28" s="18">
        <f>SUM(D11:D12)</f>
        <v>7</v>
      </c>
      <c r="E28" s="19">
        <f>ROUND(D28/SUM(D$25:D$28)*100,3)</f>
        <v>63.636000000000003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E6" sqref="E6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57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4.01</v>
      </c>
      <c r="B2" s="2" t="str">
        <f>VLOOKUP(A$2, Eixo4[], 3, FALSE)</f>
        <v>Por gentileza, escolha Sim se você deseja avaliar temas do ensino da graduação; se quiser prosseguir, escolha Não: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1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196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3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COUNTIFS(Resp4[Vínculo],"tecnico",Resp4[4.01],B7)</f>
        <v>2</v>
      </c>
      <c r="D7" s="4">
        <f>COUNTIFS(Resp4[Vínculo],"docente",Resp4[4.01],B7)</f>
        <v>13</v>
      </c>
      <c r="E7" s="2">
        <f>COUNTIF(Resp4[4.01],B7)</f>
        <v>15</v>
      </c>
      <c r="F7" s="3">
        <f t="shared" ref="F7:F9" si="0">ROUND($E7/E$9*100,2)</f>
        <v>62.5</v>
      </c>
      <c r="G7" s="4">
        <f>ROUND($E7/SUM($E$7:$E$8)*100,2)</f>
        <v>62.5</v>
      </c>
      <c r="H7" s="2"/>
    </row>
    <row r="8" spans="1:8" x14ac:dyDescent="0.25">
      <c r="A8" s="2"/>
      <c r="B8" s="2" t="s">
        <v>194</v>
      </c>
      <c r="C8" s="4">
        <f>COUNTIFS(Resp4[Vínculo],"tecnico",Resp4[4.01],B8)</f>
        <v>9</v>
      </c>
      <c r="D8" s="4">
        <f>COUNTIFS(Resp4[Vínculo],"docente",Resp4[4.01],B8)</f>
        <v>0</v>
      </c>
      <c r="E8" s="2">
        <f>COUNTIF(Resp4[4.01],B8)</f>
        <v>9</v>
      </c>
      <c r="F8" s="24">
        <f t="shared" si="0"/>
        <v>37.5</v>
      </c>
      <c r="G8" s="4">
        <f>ROUND($E8/SUM($E$7:$E$8)*100,2)</f>
        <v>37.5</v>
      </c>
      <c r="H8" s="2"/>
    </row>
    <row r="9" spans="1:8" x14ac:dyDescent="0.25">
      <c r="A9" s="2"/>
      <c r="B9" s="8" t="s">
        <v>502</v>
      </c>
      <c r="C9" s="8">
        <f>SUM(C6:C8)</f>
        <v>11</v>
      </c>
      <c r="D9" s="8">
        <f>SUM(D6:D8)</f>
        <v>13</v>
      </c>
      <c r="E9" s="8">
        <f>SUM(C9:D9)</f>
        <v>24</v>
      </c>
      <c r="F9" s="3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19.570312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123</v>
      </c>
    </row>
    <row r="2" spans="1:7" x14ac:dyDescent="0.25">
      <c r="A2" s="2" t="str">
        <f>TEXT(A1,"0.00")</f>
        <v>4.67</v>
      </c>
      <c r="B2" s="2" t="str">
        <f>VLOOKUP(A$2,Eixo4[],3,FALSE)</f>
        <v>Com relação ao Edital de Bolsa Extensão, avalie: [O quantitativo de bolsas ofertadas no Edital]</v>
      </c>
    </row>
    <row r="3" spans="1:7" x14ac:dyDescent="0.25">
      <c r="A3" s="2" t="s">
        <v>494</v>
      </c>
      <c r="B3" s="2" t="str">
        <f>VLOOKUP(A$2,Eixo4[],4,FALSE)</f>
        <v>Eixo 4: Questão 67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2</v>
      </c>
      <c r="E6" s="4">
        <f>E13-SUM(E7:E12)</f>
        <v>9</v>
      </c>
      <c r="F6" s="15">
        <f>ROUND($E6/E$13*100,2)</f>
        <v>37.5</v>
      </c>
    </row>
    <row r="7" spans="1:7" x14ac:dyDescent="0.25">
      <c r="B7" s="2" t="s">
        <v>203</v>
      </c>
      <c r="C7" s="4">
        <f>COUNTIFS(Resp4[Vínculo],"tecnico",Resp4[4.67],B7)</f>
        <v>1</v>
      </c>
      <c r="D7" s="4">
        <f>COUNTIFS(Resp4[Vínculo],"docente",Resp4[4.67],B7)</f>
        <v>3</v>
      </c>
      <c r="E7" s="4">
        <f>COUNTIF(Resp4[4.67],B7)</f>
        <v>4</v>
      </c>
      <c r="F7" s="15">
        <f t="shared" ref="F7:F13" si="0">ROUND($E7/E$13*100,2)</f>
        <v>16.670000000000002</v>
      </c>
      <c r="G7" s="3">
        <f t="shared" ref="G7:G12" si="1">ROUND($E7/SUM($E$7:$E$12)*100,3)</f>
        <v>26.667000000000002</v>
      </c>
    </row>
    <row r="8" spans="1:7" x14ac:dyDescent="0.25">
      <c r="B8" s="2" t="s">
        <v>204</v>
      </c>
      <c r="C8" s="4">
        <f>COUNTIFS(Resp4[Vínculo],"tecnico",Resp4[4.67],B8)</f>
        <v>0</v>
      </c>
      <c r="D8" s="4">
        <f>COUNTIFS(Resp4[Vínculo],"docente",Resp4[4.67],B8)</f>
        <v>0</v>
      </c>
      <c r="E8" s="4">
        <f>COUNTIF(Resp4[4.67],B8)</f>
        <v>0</v>
      </c>
      <c r="F8" s="15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COUNTIFS(Resp4[Vínculo],"tecnico",Resp4[4.67],B9)</f>
        <v>0</v>
      </c>
      <c r="D9" s="4">
        <f>COUNTIFS(Resp4[Vínculo],"docente",Resp4[4.67],B9)</f>
        <v>3</v>
      </c>
      <c r="E9" s="4">
        <f>COUNTIF(Resp4[4.67],B9)</f>
        <v>3</v>
      </c>
      <c r="F9" s="15">
        <f t="shared" si="0"/>
        <v>12.5</v>
      </c>
      <c r="G9" s="3">
        <f t="shared" si="1"/>
        <v>20</v>
      </c>
    </row>
    <row r="10" spans="1:7" x14ac:dyDescent="0.25">
      <c r="B10" s="2" t="s">
        <v>30</v>
      </c>
      <c r="C10" s="4">
        <f>COUNTIFS(Resp4[Vínculo],"tecnico",Resp4[4.67],B10)</f>
        <v>1</v>
      </c>
      <c r="D10" s="4">
        <f>COUNTIFS(Resp4[Vínculo],"docente",Resp4[4.67],B10)</f>
        <v>1</v>
      </c>
      <c r="E10" s="4">
        <f>COUNTIF(Resp4[4.67],B10)</f>
        <v>2</v>
      </c>
      <c r="F10" s="15">
        <f t="shared" si="0"/>
        <v>8.33</v>
      </c>
      <c r="G10" s="3">
        <f t="shared" si="1"/>
        <v>13.333</v>
      </c>
    </row>
    <row r="11" spans="1:7" x14ac:dyDescent="0.25">
      <c r="B11" s="2" t="s">
        <v>200</v>
      </c>
      <c r="C11" s="4">
        <f>COUNTIFS(Resp4[Vínculo],"tecnico",Resp4[4.67],B11)</f>
        <v>1</v>
      </c>
      <c r="D11" s="4">
        <f>COUNTIFS(Resp4[Vínculo],"docente",Resp4[4.67],B11)</f>
        <v>3</v>
      </c>
      <c r="E11" s="4">
        <f>COUNTIF(Resp4[4.67],B11)</f>
        <v>4</v>
      </c>
      <c r="F11" s="15">
        <f t="shared" si="0"/>
        <v>16.670000000000002</v>
      </c>
      <c r="G11" s="3">
        <f t="shared" si="1"/>
        <v>26.667000000000002</v>
      </c>
    </row>
    <row r="12" spans="1:7" x14ac:dyDescent="0.25">
      <c r="B12" s="7" t="s">
        <v>197</v>
      </c>
      <c r="C12" s="4">
        <f>COUNTIFS(Resp4[Vínculo],"tecnico",Resp4[4.67],B12)</f>
        <v>1</v>
      </c>
      <c r="D12" s="4">
        <f>COUNTIFS(Resp4[Vínculo],"docente",Resp4[4.67],B12)</f>
        <v>1</v>
      </c>
      <c r="E12" s="4">
        <f>COUNTIF(Resp4[4.67],B12)</f>
        <v>2</v>
      </c>
      <c r="F12" s="19">
        <f t="shared" si="0"/>
        <v>8.33</v>
      </c>
      <c r="G12" s="3">
        <f t="shared" si="1"/>
        <v>13.333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1</v>
      </c>
      <c r="E19" s="15">
        <f t="shared" ref="E19:E21" si="2">ROUND(D19/SUM(D$18:D$21)*100,3)</f>
        <v>25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25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27.273</v>
      </c>
    </row>
    <row r="26" spans="2:7" x14ac:dyDescent="0.25">
      <c r="B26" s="16" t="s">
        <v>505</v>
      </c>
      <c r="C26" s="16" t="s">
        <v>23</v>
      </c>
      <c r="D26" s="14">
        <f>D7</f>
        <v>3</v>
      </c>
      <c r="E26" s="15">
        <f>ROUND(D26/SUM(D$25:D$28)*100,3)</f>
        <v>27.273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9.0909999999999993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36.363999999999997</v>
      </c>
    </row>
  </sheetData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124</v>
      </c>
    </row>
    <row r="2" spans="1:7" x14ac:dyDescent="0.25">
      <c r="A2" s="2" t="str">
        <f>TEXT(A1,"0.00")</f>
        <v>4.68</v>
      </c>
      <c r="B2" s="2" t="str">
        <f>VLOOKUP(A$2,Eixo4[],3,FALSE)</f>
        <v>Com relação ao Edital de Bolsa Extensão, avalie: [O processo de inscrição ao Edital e de distribuição das bolsas]</v>
      </c>
    </row>
    <row r="3" spans="1:7" x14ac:dyDescent="0.25">
      <c r="A3" s="2" t="s">
        <v>494</v>
      </c>
      <c r="B3" s="2" t="str">
        <f>VLOOKUP(A$2,Eixo4[],4,FALSE)</f>
        <v>Eixo 4: Questão 68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2</v>
      </c>
      <c r="E6" s="4">
        <f>E13-SUM(E7:E12)</f>
        <v>9</v>
      </c>
      <c r="F6" s="4">
        <f>ROUND($E6/E$13*100,2)</f>
        <v>37.5</v>
      </c>
    </row>
    <row r="7" spans="1:7" x14ac:dyDescent="0.25">
      <c r="B7" s="2" t="s">
        <v>203</v>
      </c>
      <c r="C7" s="4">
        <f>COUNTIFS(Resp4[Vínculo],"tecnico",Resp4[4.68],B7)</f>
        <v>1</v>
      </c>
      <c r="D7" s="4">
        <f>COUNTIFS(Resp4[Vínculo],"docente",Resp4[4.68],B7)</f>
        <v>3</v>
      </c>
      <c r="E7" s="4">
        <f>COUNTIF(Resp4[4.68],B7)</f>
        <v>4</v>
      </c>
      <c r="F7" s="4">
        <f t="shared" ref="F7:F13" si="0">ROUND($E7/E$13*100,2)</f>
        <v>16.670000000000002</v>
      </c>
      <c r="G7" s="3">
        <f t="shared" ref="G7:G12" si="1">ROUND($E7/SUM($E$7:$E$12)*100,3)</f>
        <v>26.667000000000002</v>
      </c>
    </row>
    <row r="8" spans="1:7" x14ac:dyDescent="0.25">
      <c r="B8" s="2" t="s">
        <v>204</v>
      </c>
      <c r="C8" s="4">
        <f>COUNTIFS(Resp4[Vínculo],"tecnico",Resp4[4.68],B8)</f>
        <v>0</v>
      </c>
      <c r="D8" s="4">
        <f>COUNTIFS(Resp4[Vínculo],"docente",Resp4[4.68],B8)</f>
        <v>1</v>
      </c>
      <c r="E8" s="4">
        <f>COUNTIF(Resp4[4.68],B8)</f>
        <v>1</v>
      </c>
      <c r="F8" s="4">
        <f t="shared" si="0"/>
        <v>4.17</v>
      </c>
      <c r="G8" s="3">
        <f t="shared" si="1"/>
        <v>6.6669999999999998</v>
      </c>
    </row>
    <row r="9" spans="1:7" x14ac:dyDescent="0.25">
      <c r="B9" s="2" t="s">
        <v>202</v>
      </c>
      <c r="C9" s="4">
        <f>COUNTIFS(Resp4[Vínculo],"tecnico",Resp4[4.68],B9)</f>
        <v>0</v>
      </c>
      <c r="D9" s="4">
        <f>COUNTIFS(Resp4[Vínculo],"docente",Resp4[4.68],B9)</f>
        <v>2</v>
      </c>
      <c r="E9" s="4">
        <f>COUNTIF(Resp4[4.68],B9)</f>
        <v>2</v>
      </c>
      <c r="F9" s="4">
        <f t="shared" si="0"/>
        <v>8.33</v>
      </c>
      <c r="G9" s="3">
        <f t="shared" si="1"/>
        <v>13.333</v>
      </c>
    </row>
    <row r="10" spans="1:7" x14ac:dyDescent="0.25">
      <c r="B10" s="2" t="s">
        <v>30</v>
      </c>
      <c r="C10" s="4">
        <f>COUNTIFS(Resp4[Vínculo],"tecnico",Resp4[4.68],B10)</f>
        <v>0</v>
      </c>
      <c r="D10" s="4">
        <f>COUNTIFS(Resp4[Vínculo],"docente",Resp4[4.68],B10)</f>
        <v>1</v>
      </c>
      <c r="E10" s="4">
        <f>COUNTIF(Resp4[4.68],B10)</f>
        <v>1</v>
      </c>
      <c r="F10" s="4">
        <f t="shared" si="0"/>
        <v>4.17</v>
      </c>
      <c r="G10" s="3">
        <f t="shared" si="1"/>
        <v>6.6669999999999998</v>
      </c>
    </row>
    <row r="11" spans="1:7" x14ac:dyDescent="0.25">
      <c r="B11" s="2" t="s">
        <v>200</v>
      </c>
      <c r="C11" s="4">
        <f>COUNTIFS(Resp4[Vínculo],"tecnico",Resp4[4.68],B11)</f>
        <v>2</v>
      </c>
      <c r="D11" s="4">
        <f>COUNTIFS(Resp4[Vínculo],"docente",Resp4[4.68],B11)</f>
        <v>3</v>
      </c>
      <c r="E11" s="4">
        <f>COUNTIF(Resp4[4.68],B11)</f>
        <v>5</v>
      </c>
      <c r="F11" s="4">
        <f t="shared" si="0"/>
        <v>20.83</v>
      </c>
      <c r="G11" s="3">
        <f t="shared" si="1"/>
        <v>33.332999999999998</v>
      </c>
    </row>
    <row r="12" spans="1:7" x14ac:dyDescent="0.25">
      <c r="B12" s="7" t="s">
        <v>197</v>
      </c>
      <c r="C12" s="4">
        <f>COUNTIFS(Resp4[Vínculo],"tecnico",Resp4[4.68],B12)</f>
        <v>1</v>
      </c>
      <c r="D12" s="4">
        <f>COUNTIFS(Resp4[Vínculo],"docente",Resp4[4.68],B12)</f>
        <v>1</v>
      </c>
      <c r="E12" s="4">
        <f>COUNTIF(Resp4[4.68],B12)</f>
        <v>2</v>
      </c>
      <c r="F12" s="22">
        <f t="shared" si="0"/>
        <v>8.33</v>
      </c>
      <c r="G12" s="3">
        <f t="shared" si="1"/>
        <v>13.333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1</v>
      </c>
      <c r="E19" s="15">
        <f t="shared" ref="E19:E21" si="2">ROUND(D19/SUM(D$18:D$21)*100,3)</f>
        <v>25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75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27.273</v>
      </c>
    </row>
    <row r="26" spans="2:7" x14ac:dyDescent="0.25">
      <c r="B26" s="16" t="s">
        <v>505</v>
      </c>
      <c r="C26" s="16" t="s">
        <v>23</v>
      </c>
      <c r="D26" s="14">
        <f>D7</f>
        <v>3</v>
      </c>
      <c r="E26" s="15">
        <f>ROUND(D26/SUM(D$25:D$28)*100,3)</f>
        <v>27.273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9.0909999999999993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36.363999999999997</v>
      </c>
    </row>
  </sheetData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28515625" style="2" customWidth="1"/>
    <col min="3" max="3" width="24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125</v>
      </c>
    </row>
    <row r="2" spans="1:7" x14ac:dyDescent="0.25">
      <c r="A2" s="2" t="str">
        <f>TEXT(A1,"0.00")</f>
        <v>4.69</v>
      </c>
      <c r="B2" s="2" t="str">
        <f>VLOOKUP(A$2,Eixo4[],3,FALSE)</f>
        <v>Com relação ao Edital de Bolsa Extensão, avalie: [A vigência das bolsas]</v>
      </c>
    </row>
    <row r="3" spans="1:7" x14ac:dyDescent="0.25">
      <c r="A3" s="2" t="s">
        <v>494</v>
      </c>
      <c r="B3" s="2" t="str">
        <f>VLOOKUP(A$2,Eixo4[],4,FALSE)</f>
        <v>Eixo 4: Questão 69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7</v>
      </c>
      <c r="D6" s="2">
        <f>COUNTIF(Resp4[Vínculo],"docente")-SUM(D$7:D$12)</f>
        <v>2</v>
      </c>
      <c r="E6" s="4">
        <f>E13-SUM(E7:E12)</f>
        <v>9</v>
      </c>
      <c r="F6" s="4">
        <f>ROUND($E6/E$13*100,2)</f>
        <v>37.5</v>
      </c>
    </row>
    <row r="7" spans="1:7" x14ac:dyDescent="0.25">
      <c r="B7" s="2" t="s">
        <v>203</v>
      </c>
      <c r="C7" s="4">
        <f>COUNTIFS(Resp4[Vínculo],"tecnico",Resp4[4.69],B7)</f>
        <v>1</v>
      </c>
      <c r="D7" s="4">
        <f>COUNTIFS(Resp4[Vínculo],"docente",Resp4[4.69],B7)</f>
        <v>3</v>
      </c>
      <c r="E7" s="4">
        <f>COUNTIF(Resp4[4.69],B7)</f>
        <v>4</v>
      </c>
      <c r="F7" s="4">
        <f t="shared" ref="F7:F13" si="0">ROUND($E7/E$13*100,2)</f>
        <v>16.670000000000002</v>
      </c>
      <c r="G7" s="3">
        <f t="shared" ref="G7:G12" si="1">ROUND($E7/SUM($E$7:$E$12)*100,3)</f>
        <v>26.667000000000002</v>
      </c>
    </row>
    <row r="8" spans="1:7" x14ac:dyDescent="0.25">
      <c r="B8" s="2" t="s">
        <v>204</v>
      </c>
      <c r="C8" s="4">
        <f>COUNTIFS(Resp4[Vínculo],"tecnico",Resp4[4.69],B8)</f>
        <v>0</v>
      </c>
      <c r="D8" s="4">
        <f>COUNTIFS(Resp4[Vínculo],"docente",Resp4[4.69],B8)</f>
        <v>2</v>
      </c>
      <c r="E8" s="4">
        <f>COUNTIF(Resp4[4.69],B8)</f>
        <v>2</v>
      </c>
      <c r="F8" s="4">
        <f t="shared" si="0"/>
        <v>8.33</v>
      </c>
      <c r="G8" s="3">
        <f t="shared" si="1"/>
        <v>13.333</v>
      </c>
    </row>
    <row r="9" spans="1:7" x14ac:dyDescent="0.25">
      <c r="B9" s="2" t="s">
        <v>202</v>
      </c>
      <c r="C9" s="4">
        <f>COUNTIFS(Resp4[Vínculo],"tecnico",Resp4[4.69],B9)</f>
        <v>1</v>
      </c>
      <c r="D9" s="4">
        <f>COUNTIFS(Resp4[Vínculo],"docente",Resp4[4.69],B9)</f>
        <v>2</v>
      </c>
      <c r="E9" s="4">
        <f>COUNTIF(Resp4[4.69],B9)</f>
        <v>3</v>
      </c>
      <c r="F9" s="4">
        <f t="shared" si="0"/>
        <v>12.5</v>
      </c>
      <c r="G9" s="3">
        <f t="shared" si="1"/>
        <v>20</v>
      </c>
    </row>
    <row r="10" spans="1:7" x14ac:dyDescent="0.25">
      <c r="B10" s="2" t="s">
        <v>30</v>
      </c>
      <c r="C10" s="4">
        <f>COUNTIFS(Resp4[Vínculo],"tecnico",Resp4[4.69],B10)</f>
        <v>0</v>
      </c>
      <c r="D10" s="4">
        <f>COUNTIFS(Resp4[Vínculo],"docente",Resp4[4.69],B10)</f>
        <v>1</v>
      </c>
      <c r="E10" s="4">
        <f>COUNTIF(Resp4[4.69],B10)</f>
        <v>1</v>
      </c>
      <c r="F10" s="4">
        <f t="shared" si="0"/>
        <v>4.17</v>
      </c>
      <c r="G10" s="3">
        <f t="shared" si="1"/>
        <v>6.6669999999999998</v>
      </c>
    </row>
    <row r="11" spans="1:7" x14ac:dyDescent="0.25">
      <c r="B11" s="2" t="s">
        <v>200</v>
      </c>
      <c r="C11" s="4">
        <f>COUNTIFS(Resp4[Vínculo],"tecnico",Resp4[4.69],B11)</f>
        <v>1</v>
      </c>
      <c r="D11" s="4">
        <f>COUNTIFS(Resp4[Vínculo],"docente",Resp4[4.69],B11)</f>
        <v>2</v>
      </c>
      <c r="E11" s="4">
        <f>COUNTIF(Resp4[4.69],B11)</f>
        <v>3</v>
      </c>
      <c r="F11" s="4">
        <f t="shared" si="0"/>
        <v>12.5</v>
      </c>
      <c r="G11" s="3">
        <f t="shared" si="1"/>
        <v>20</v>
      </c>
    </row>
    <row r="12" spans="1:7" x14ac:dyDescent="0.25">
      <c r="B12" s="7" t="s">
        <v>197</v>
      </c>
      <c r="C12" s="4">
        <f>COUNTIFS(Resp4[Vínculo],"tecnico",Resp4[4.69],B12)</f>
        <v>1</v>
      </c>
      <c r="D12" s="4">
        <f>COUNTIFS(Resp4[Vínculo],"docente",Resp4[4.69],B12)</f>
        <v>1</v>
      </c>
      <c r="E12" s="4">
        <f>COUNTIF(Resp4[4.69],B12)</f>
        <v>2</v>
      </c>
      <c r="F12" s="22">
        <f t="shared" si="0"/>
        <v>8.33</v>
      </c>
      <c r="G12" s="3">
        <f t="shared" si="1"/>
        <v>13.333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25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1</v>
      </c>
      <c r="E19" s="15">
        <f t="shared" ref="E19:E21" si="2">ROUND(D19/SUM(D$18:D$21)*100,3)</f>
        <v>25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36.363999999999997</v>
      </c>
    </row>
    <row r="26" spans="2:7" x14ac:dyDescent="0.25">
      <c r="B26" s="16" t="s">
        <v>505</v>
      </c>
      <c r="C26" s="16" t="s">
        <v>23</v>
      </c>
      <c r="D26" s="14">
        <f>D7</f>
        <v>3</v>
      </c>
      <c r="E26" s="15">
        <f>ROUND(D26/SUM(D$25:D$28)*100,3)</f>
        <v>27.273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9.0909999999999993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27.273</v>
      </c>
    </row>
  </sheetData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5.85546875" style="2" customWidth="1"/>
    <col min="3" max="3" width="1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127</v>
      </c>
    </row>
    <row r="2" spans="1:7" x14ac:dyDescent="0.25">
      <c r="A2" s="2" t="str">
        <f>TEXT(A1,"0.00")</f>
        <v>4.71</v>
      </c>
      <c r="B2" s="2" t="str">
        <f>VLOOKUP(A$2,Eixo4[],3,FALSE)</f>
        <v>Com relação às atividades artístico-culturais, avalie as ações a seguir: [Festival de Inverno da UFPR]</v>
      </c>
    </row>
    <row r="3" spans="1:7" x14ac:dyDescent="0.25">
      <c r="A3" s="2" t="s">
        <v>494</v>
      </c>
      <c r="B3" s="2" t="str">
        <f>VLOOKUP(A$2,Eixo4[],4,FALSE)</f>
        <v>Eixo 4: Questão 71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0</v>
      </c>
      <c r="D6" s="2">
        <f>COUNTIF(Resp4[Vínculo],"docente")-SUM(D$7:D$12)</f>
        <v>0</v>
      </c>
      <c r="E6" s="4">
        <f>E13-SUM(E7:E12)</f>
        <v>0</v>
      </c>
      <c r="F6" s="4">
        <f>ROUND($E6/E$13*100,2)</f>
        <v>0</v>
      </c>
    </row>
    <row r="7" spans="1:7" x14ac:dyDescent="0.25">
      <c r="B7" t="s">
        <v>205</v>
      </c>
      <c r="C7" s="4">
        <f>COUNTIFS(Resp4[Vínculo],"tecnico",Resp4[4.71],B7)</f>
        <v>1</v>
      </c>
      <c r="D7" s="4">
        <f>COUNTIFS(Resp4[Vínculo],"docente",Resp4[4.71],B7)</f>
        <v>6</v>
      </c>
      <c r="E7" s="4">
        <f>COUNTIF(Resp4[4.71],B7)</f>
        <v>7</v>
      </c>
      <c r="F7" s="4">
        <f t="shared" ref="F7:F13" si="0">ROUND($E7/E$13*100,2)</f>
        <v>29.17</v>
      </c>
      <c r="G7" s="3">
        <f t="shared" ref="G7:G12" si="1">ROUND($E7/SUM($E$7:$E$12)*100,3)</f>
        <v>29.167000000000002</v>
      </c>
    </row>
    <row r="8" spans="1:7" x14ac:dyDescent="0.25">
      <c r="B8" s="2" t="s">
        <v>204</v>
      </c>
      <c r="C8" s="4">
        <f>COUNTIFS(Resp4[Vínculo],"tecnico",Resp4[4.71],B8)</f>
        <v>0</v>
      </c>
      <c r="D8" s="4">
        <f>COUNTIFS(Resp4[Vínculo],"docente",Resp4[4.71],B8)</f>
        <v>0</v>
      </c>
      <c r="E8" s="4">
        <f>COUNTIF(Resp4[4.71],B8)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COUNTIFS(Resp4[Vínculo],"tecnico",Resp4[4.71],B9)</f>
        <v>3</v>
      </c>
      <c r="D9" s="4">
        <f>COUNTIFS(Resp4[Vínculo],"docente",Resp4[4.71],B9)</f>
        <v>0</v>
      </c>
      <c r="E9" s="4">
        <f>COUNTIF(Resp4[4.71],B9)</f>
        <v>3</v>
      </c>
      <c r="F9" s="4">
        <f t="shared" si="0"/>
        <v>12.5</v>
      </c>
      <c r="G9" s="3">
        <f t="shared" si="1"/>
        <v>12.5</v>
      </c>
    </row>
    <row r="10" spans="1:7" x14ac:dyDescent="0.25">
      <c r="B10" s="2" t="s">
        <v>30</v>
      </c>
      <c r="C10" s="4">
        <f>COUNTIFS(Resp4[Vínculo],"tecnico",Resp4[4.71],B10)</f>
        <v>1</v>
      </c>
      <c r="D10" s="4">
        <f>COUNTIFS(Resp4[Vínculo],"docente",Resp4[4.71],B10)</f>
        <v>2</v>
      </c>
      <c r="E10" s="4">
        <f>COUNTIF(Resp4[4.71],B10)</f>
        <v>3</v>
      </c>
      <c r="F10" s="4">
        <f t="shared" si="0"/>
        <v>12.5</v>
      </c>
      <c r="G10" s="3">
        <f t="shared" si="1"/>
        <v>12.5</v>
      </c>
    </row>
    <row r="11" spans="1:7" x14ac:dyDescent="0.25">
      <c r="B11" s="2" t="s">
        <v>200</v>
      </c>
      <c r="C11" s="4">
        <f>COUNTIFS(Resp4[Vínculo],"tecnico",Resp4[4.71],B11)</f>
        <v>4</v>
      </c>
      <c r="D11" s="4">
        <f>COUNTIFS(Resp4[Vínculo],"docente",Resp4[4.71],B11)</f>
        <v>1</v>
      </c>
      <c r="E11" s="4">
        <f>COUNTIF(Resp4[4.71],B11)</f>
        <v>5</v>
      </c>
      <c r="F11" s="4">
        <f t="shared" si="0"/>
        <v>20.83</v>
      </c>
      <c r="G11" s="3">
        <f t="shared" si="1"/>
        <v>20.832999999999998</v>
      </c>
    </row>
    <row r="12" spans="1:7" x14ac:dyDescent="0.25">
      <c r="B12" s="7" t="s">
        <v>197</v>
      </c>
      <c r="C12" s="4">
        <f>COUNTIFS(Resp4[Vínculo],"tecnico",Resp4[4.71],B12)</f>
        <v>2</v>
      </c>
      <c r="D12" s="4">
        <f>COUNTIFS(Resp4[Vínculo],"docente",Resp4[4.71],B12)</f>
        <v>4</v>
      </c>
      <c r="E12" s="4">
        <f>COUNTIF(Resp4[4.71],B12)</f>
        <v>6</v>
      </c>
      <c r="F12" s="22">
        <f t="shared" si="0"/>
        <v>25</v>
      </c>
      <c r="G12" s="3">
        <f t="shared" si="1"/>
        <v>25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3</v>
      </c>
      <c r="E18" s="15">
        <f>ROUND(D18/SUM(D$18:D$21)*100,3)</f>
        <v>27.273</v>
      </c>
      <c r="F18" s="12"/>
      <c r="G18" s="13"/>
    </row>
    <row r="19" spans="2:7" x14ac:dyDescent="0.25">
      <c r="B19" s="16" t="s">
        <v>205</v>
      </c>
      <c r="C19" s="16" t="s">
        <v>23</v>
      </c>
      <c r="D19" s="14">
        <f>C7</f>
        <v>1</v>
      </c>
      <c r="E19" s="15">
        <f t="shared" ref="E19:E21" si="2">ROUND(D19/SUM(D$18:D$21)*100,3)</f>
        <v>9.0909999999999993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9.0909999999999993</v>
      </c>
    </row>
    <row r="21" spans="2:7" x14ac:dyDescent="0.25">
      <c r="B21" s="32" t="s">
        <v>33</v>
      </c>
      <c r="C21" s="32" t="s">
        <v>32</v>
      </c>
      <c r="D21" s="18">
        <f>SUM(C11:C12)</f>
        <v>6</v>
      </c>
      <c r="E21" s="19">
        <f t="shared" si="2"/>
        <v>54.545000000000002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205</v>
      </c>
      <c r="C26" s="16" t="s">
        <v>23</v>
      </c>
      <c r="D26" s="14">
        <f>D7</f>
        <v>6</v>
      </c>
      <c r="E26" s="15">
        <f>ROUND(D26/SUM(D$25:D$28)*100,3)</f>
        <v>46.154000000000003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15.385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38.462000000000003</v>
      </c>
    </row>
  </sheetData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42578125" style="2" customWidth="1"/>
    <col min="3" max="3" width="23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128</v>
      </c>
    </row>
    <row r="2" spans="1:7" x14ac:dyDescent="0.25">
      <c r="A2" s="2" t="str">
        <f>TEXT(A1,"0.00")</f>
        <v>4.72</v>
      </c>
      <c r="B2" s="2" t="str">
        <f>VLOOKUP(A$2,Eixo4[],3,FALSE)</f>
        <v>Com relação às atividades artístico-culturais, avalie as ações a seguir: [Meses temáticos (Março da Mulher, Abril Indígena, Junho LGBTI, Mês da Consciência Negra)]</v>
      </c>
    </row>
    <row r="3" spans="1:7" x14ac:dyDescent="0.25">
      <c r="A3" s="2" t="s">
        <v>494</v>
      </c>
      <c r="B3" s="2" t="str">
        <f>VLOOKUP(A$2,Eixo4[],4,FALSE)</f>
        <v>Eixo 4: Questão 72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</v>
      </c>
      <c r="D6" s="2">
        <f>COUNTIF(Resp4[Vínculo],"docente")-SUM(D$7:D$12)</f>
        <v>1</v>
      </c>
      <c r="E6" s="4">
        <f>E13-SUM(E7:E12)</f>
        <v>4</v>
      </c>
      <c r="F6" s="4">
        <f>ROUND($E6/E$13*100,2)</f>
        <v>16.670000000000002</v>
      </c>
    </row>
    <row r="7" spans="1:7" x14ac:dyDescent="0.25">
      <c r="B7" s="90" t="s">
        <v>205</v>
      </c>
      <c r="C7" s="4">
        <f>COUNTIFS(Resp4[Vínculo],"tecnico",Resp4[4.72],B7)</f>
        <v>1</v>
      </c>
      <c r="D7" s="4">
        <f>COUNTIFS(Resp4[Vínculo],"docente",Resp4[4.72],B7)</f>
        <v>5</v>
      </c>
      <c r="E7" s="4">
        <f>COUNTIF(Resp4[4.72],B7)</f>
        <v>6</v>
      </c>
      <c r="F7" s="4">
        <f t="shared" ref="F7:F13" si="0">ROUND($E7/E$13*100,2)</f>
        <v>25</v>
      </c>
      <c r="G7" s="3">
        <f t="shared" ref="G7:G12" si="1">ROUND($E7/SUM($E$7:$E$12)*100,3)</f>
        <v>30</v>
      </c>
    </row>
    <row r="8" spans="1:7" x14ac:dyDescent="0.25">
      <c r="B8" s="2" t="s">
        <v>204</v>
      </c>
      <c r="C8" s="4">
        <f>COUNTIFS(Resp4[Vínculo],"tecnico",Resp4[4.72],B8)</f>
        <v>1</v>
      </c>
      <c r="D8" s="4">
        <f>COUNTIFS(Resp4[Vínculo],"docente",Resp4[4.72],B8)</f>
        <v>1</v>
      </c>
      <c r="E8" s="4">
        <f>COUNTIF(Resp4[4.72],B8)</f>
        <v>2</v>
      </c>
      <c r="F8" s="4">
        <f t="shared" si="0"/>
        <v>8.33</v>
      </c>
      <c r="G8" s="3">
        <f t="shared" si="1"/>
        <v>10</v>
      </c>
    </row>
    <row r="9" spans="1:7" x14ac:dyDescent="0.25">
      <c r="B9" s="2" t="s">
        <v>202</v>
      </c>
      <c r="C9" s="4">
        <f>COUNTIFS(Resp4[Vínculo],"tecnico",Resp4[4.72],B9)</f>
        <v>0</v>
      </c>
      <c r="D9" s="4">
        <f>COUNTIFS(Resp4[Vínculo],"docente",Resp4[4.72],B9)</f>
        <v>1</v>
      </c>
      <c r="E9" s="4">
        <f>COUNTIF(Resp4[4.72],B9)</f>
        <v>1</v>
      </c>
      <c r="F9" s="4">
        <f t="shared" si="0"/>
        <v>4.17</v>
      </c>
      <c r="G9" s="3">
        <f t="shared" si="1"/>
        <v>5</v>
      </c>
    </row>
    <row r="10" spans="1:7" x14ac:dyDescent="0.25">
      <c r="B10" s="2" t="s">
        <v>30</v>
      </c>
      <c r="C10" s="4">
        <f>COUNTIFS(Resp4[Vínculo],"tecnico",Resp4[4.72],B10)</f>
        <v>1</v>
      </c>
      <c r="D10" s="4">
        <f>COUNTIFS(Resp4[Vínculo],"docente",Resp4[4.72],B10)</f>
        <v>2</v>
      </c>
      <c r="E10" s="4">
        <f>COUNTIF(Resp4[4.72],B10)</f>
        <v>3</v>
      </c>
      <c r="F10" s="4">
        <f t="shared" si="0"/>
        <v>12.5</v>
      </c>
      <c r="G10" s="3">
        <f t="shared" si="1"/>
        <v>15</v>
      </c>
    </row>
    <row r="11" spans="1:7" x14ac:dyDescent="0.25">
      <c r="B11" s="2" t="s">
        <v>200</v>
      </c>
      <c r="C11" s="4">
        <f>COUNTIFS(Resp4[Vínculo],"tecnico",Resp4[4.72],B11)</f>
        <v>3</v>
      </c>
      <c r="D11" s="4">
        <f>COUNTIFS(Resp4[Vínculo],"docente",Resp4[4.72],B11)</f>
        <v>1</v>
      </c>
      <c r="E11" s="4">
        <f>COUNTIF(Resp4[4.72],B11)</f>
        <v>4</v>
      </c>
      <c r="F11" s="4">
        <f t="shared" si="0"/>
        <v>16.670000000000002</v>
      </c>
      <c r="G11" s="3">
        <f t="shared" si="1"/>
        <v>20</v>
      </c>
    </row>
    <row r="12" spans="1:7" x14ac:dyDescent="0.25">
      <c r="B12" s="7" t="s">
        <v>197</v>
      </c>
      <c r="C12" s="4">
        <f>COUNTIFS(Resp4[Vínculo],"tecnico",Resp4[4.72],B12)</f>
        <v>2</v>
      </c>
      <c r="D12" s="4">
        <f>COUNTIFS(Resp4[Vínculo],"docente",Resp4[4.72],B12)</f>
        <v>2</v>
      </c>
      <c r="E12" s="4">
        <f>COUNTIF(Resp4[4.72],B12)</f>
        <v>4</v>
      </c>
      <c r="F12" s="22">
        <f t="shared" si="0"/>
        <v>16.670000000000002</v>
      </c>
      <c r="G12" s="3">
        <f t="shared" si="1"/>
        <v>20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12.5</v>
      </c>
      <c r="F18" s="12"/>
      <c r="G18" s="13"/>
    </row>
    <row r="19" spans="2:7" x14ac:dyDescent="0.25">
      <c r="B19" s="16" t="s">
        <v>205</v>
      </c>
      <c r="C19" s="16" t="s">
        <v>23</v>
      </c>
      <c r="D19" s="14">
        <f>C7</f>
        <v>1</v>
      </c>
      <c r="E19" s="15">
        <f t="shared" ref="E19:E21" si="2">ROUND(D19/SUM(D$18:D$21)*100,3)</f>
        <v>12.5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12.5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62.5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16.667000000000002</v>
      </c>
    </row>
    <row r="26" spans="2:7" x14ac:dyDescent="0.25">
      <c r="B26" s="16" t="s">
        <v>205</v>
      </c>
      <c r="C26" s="16" t="s">
        <v>23</v>
      </c>
      <c r="D26" s="14">
        <f>D7</f>
        <v>5</v>
      </c>
      <c r="E26" s="15">
        <f>ROUND(D26/SUM(D$25:D$28)*100,3)</f>
        <v>41.667000000000002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16.667000000000002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25</v>
      </c>
    </row>
  </sheetData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129</v>
      </c>
    </row>
    <row r="2" spans="1:7" x14ac:dyDescent="0.25">
      <c r="A2" s="2" t="str">
        <f>TEXT(A1,"0.00")</f>
        <v>4.73</v>
      </c>
      <c r="B2" s="2" t="str">
        <f>VLOOKUP(A$2,Eixo4[],3,FALSE)</f>
        <v>Com relação às atividades artístico-culturais, avalie as ações a seguir: [Temporada Grupos Artísticos (Companhia de Teatro, Coro, Grupo de MPB, Orquestra Filarmônica, Téssera Companhia de Dança)]</v>
      </c>
    </row>
    <row r="3" spans="1:7" x14ac:dyDescent="0.25">
      <c r="A3" s="2" t="s">
        <v>494</v>
      </c>
      <c r="B3" s="2" t="str">
        <f>VLOOKUP(A$2,Eixo4[],4,FALSE)</f>
        <v>Eixo 4: Questão 73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</v>
      </c>
      <c r="D6" s="2">
        <f>COUNTIF(Resp4[Vínculo],"docente")-SUM(D$7:D$12)</f>
        <v>1</v>
      </c>
      <c r="E6" s="4">
        <f>E13-SUM(E7:E12)</f>
        <v>2</v>
      </c>
      <c r="F6" s="4">
        <f>ROUND($E6/E$13*100,2)</f>
        <v>8.33</v>
      </c>
    </row>
    <row r="7" spans="1:7" x14ac:dyDescent="0.25">
      <c r="B7" s="90" t="s">
        <v>205</v>
      </c>
      <c r="C7" s="4">
        <f>COUNTIFS(Resp4[Vínculo],"tecnico",Resp4[4.73],B7)</f>
        <v>1</v>
      </c>
      <c r="D7" s="4">
        <f>COUNTIFS(Resp4[Vínculo],"docente",Resp4[4.73],B7)</f>
        <v>6</v>
      </c>
      <c r="E7" s="4">
        <f>COUNTIF(Resp4[4.73],B7)</f>
        <v>7</v>
      </c>
      <c r="F7" s="4">
        <f t="shared" ref="F7:F12" si="0">ROUND($E7/E$13*100,2)</f>
        <v>29.17</v>
      </c>
      <c r="G7" s="3">
        <f t="shared" ref="G7:G12" si="1">ROUND($E7/SUM($E$7:$E$12)*100,3)</f>
        <v>31.818000000000001</v>
      </c>
    </row>
    <row r="8" spans="1:7" x14ac:dyDescent="0.25">
      <c r="B8" s="2" t="s">
        <v>204</v>
      </c>
      <c r="C8" s="4">
        <f>COUNTIFS(Resp4[Vínculo],"tecnico",Resp4[4.73],B8)</f>
        <v>1</v>
      </c>
      <c r="D8" s="4">
        <f>COUNTIFS(Resp4[Vínculo],"docente",Resp4[4.73],B8)</f>
        <v>0</v>
      </c>
      <c r="E8" s="4">
        <f>COUNTIF(Resp4[4.73],B8)</f>
        <v>1</v>
      </c>
      <c r="F8" s="4">
        <f t="shared" si="0"/>
        <v>4.17</v>
      </c>
      <c r="G8" s="3">
        <f t="shared" si="1"/>
        <v>4.5449999999999999</v>
      </c>
    </row>
    <row r="9" spans="1:7" x14ac:dyDescent="0.25">
      <c r="B9" s="2" t="s">
        <v>202</v>
      </c>
      <c r="C9" s="4">
        <f>COUNTIFS(Resp4[Vínculo],"tecnico",Resp4[4.73],B9)</f>
        <v>1</v>
      </c>
      <c r="D9" s="4">
        <f>COUNTIFS(Resp4[Vínculo],"docente",Resp4[4.73],B9)</f>
        <v>1</v>
      </c>
      <c r="E9" s="4">
        <f>COUNTIF(Resp4[4.73],B9)</f>
        <v>2</v>
      </c>
      <c r="F9" s="4">
        <f t="shared" si="0"/>
        <v>8.33</v>
      </c>
      <c r="G9" s="3">
        <f t="shared" si="1"/>
        <v>9.0909999999999993</v>
      </c>
    </row>
    <row r="10" spans="1:7" x14ac:dyDescent="0.25">
      <c r="B10" s="2" t="s">
        <v>30</v>
      </c>
      <c r="C10" s="4">
        <f>COUNTIFS(Resp4[Vínculo],"tecnico",Resp4[4.73],B10)</f>
        <v>1</v>
      </c>
      <c r="D10" s="4">
        <f>COUNTIFS(Resp4[Vínculo],"docente",Resp4[4.73],B10)</f>
        <v>1</v>
      </c>
      <c r="E10" s="4">
        <f>COUNTIF(Resp4[4.73],B10)</f>
        <v>2</v>
      </c>
      <c r="F10" s="4">
        <f t="shared" si="0"/>
        <v>8.33</v>
      </c>
      <c r="G10" s="3">
        <f t="shared" si="1"/>
        <v>9.0909999999999993</v>
      </c>
    </row>
    <row r="11" spans="1:7" x14ac:dyDescent="0.25">
      <c r="B11" s="2" t="s">
        <v>200</v>
      </c>
      <c r="C11" s="4">
        <f>COUNTIFS(Resp4[Vínculo],"tecnico",Resp4[4.73],B11)</f>
        <v>4</v>
      </c>
      <c r="D11" s="4">
        <f>COUNTIFS(Resp4[Vínculo],"docente",Resp4[4.73],B11)</f>
        <v>1</v>
      </c>
      <c r="E11" s="4">
        <f>COUNTIF(Resp4[4.73],B11)</f>
        <v>5</v>
      </c>
      <c r="F11" s="4">
        <f t="shared" si="0"/>
        <v>20.83</v>
      </c>
      <c r="G11" s="3">
        <f t="shared" si="1"/>
        <v>22.727</v>
      </c>
    </row>
    <row r="12" spans="1:7" x14ac:dyDescent="0.25">
      <c r="B12" s="7" t="s">
        <v>197</v>
      </c>
      <c r="C12" s="4">
        <f>COUNTIFS(Resp4[Vínculo],"tecnico",Resp4[4.73],B12)</f>
        <v>2</v>
      </c>
      <c r="D12" s="4">
        <f>COUNTIFS(Resp4[Vínculo],"docente",Resp4[4.73],B12)</f>
        <v>3</v>
      </c>
      <c r="E12" s="4">
        <f>COUNTIF(Resp4[4.73],B12)</f>
        <v>5</v>
      </c>
      <c r="F12" s="22">
        <f t="shared" si="0"/>
        <v>20.83</v>
      </c>
      <c r="G12" s="3">
        <f t="shared" si="1"/>
        <v>22.727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>ROUND($E13/E$13*100,2)</f>
        <v>100</v>
      </c>
      <c r="G13" s="9">
        <f>SUM(G7:G12)</f>
        <v>99.999000000000009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2</v>
      </c>
      <c r="E18" s="15">
        <f>ROUND(D18/SUM(D$18:D$21)*100,3)</f>
        <v>20</v>
      </c>
      <c r="F18" s="12"/>
      <c r="G18" s="13"/>
    </row>
    <row r="19" spans="2:7" x14ac:dyDescent="0.25">
      <c r="B19" s="16" t="s">
        <v>205</v>
      </c>
      <c r="C19" s="16" t="s">
        <v>23</v>
      </c>
      <c r="D19" s="14">
        <f>C7</f>
        <v>1</v>
      </c>
      <c r="E19" s="15">
        <f t="shared" ref="E19:E21" si="2">ROUND(D19/SUM(D$18:D$21)*100,3)</f>
        <v>10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10</v>
      </c>
    </row>
    <row r="21" spans="2:7" x14ac:dyDescent="0.25">
      <c r="B21" s="32" t="s">
        <v>33</v>
      </c>
      <c r="C21" s="32" t="s">
        <v>32</v>
      </c>
      <c r="D21" s="18">
        <f>SUM(C11:C12)</f>
        <v>6</v>
      </c>
      <c r="E21" s="19">
        <f t="shared" si="2"/>
        <v>60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8.3330000000000002</v>
      </c>
    </row>
    <row r="26" spans="2:7" x14ac:dyDescent="0.25">
      <c r="B26" s="16" t="s">
        <v>205</v>
      </c>
      <c r="C26" s="16" t="s">
        <v>23</v>
      </c>
      <c r="D26" s="14">
        <f>D7</f>
        <v>6</v>
      </c>
      <c r="E26" s="15">
        <f>ROUND(D26/SUM(D$25:D$28)*100,3)</f>
        <v>50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8.3330000000000002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33.332999999999998</v>
      </c>
    </row>
  </sheetData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6.5703125" style="2" customWidth="1"/>
    <col min="3" max="3" width="15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130</v>
      </c>
    </row>
    <row r="2" spans="1:7" x14ac:dyDescent="0.25">
      <c r="A2" s="2" t="str">
        <f>TEXT(A1,"0.00")</f>
        <v>4.74</v>
      </c>
      <c r="B2" s="2" t="str">
        <f>VLOOKUP(A$2,Eixo4[],3,FALSE)</f>
        <v>Com relação às atividades artístico-culturais, avalie as ações a seguir: [Exposições e atividades educativas do Museu de Arte da UFPR – MusA]</v>
      </c>
    </row>
    <row r="3" spans="1:7" x14ac:dyDescent="0.25">
      <c r="A3" s="2" t="s">
        <v>494</v>
      </c>
      <c r="B3" s="2" t="str">
        <f>VLOOKUP(A$2,Eixo4[],4,FALSE)</f>
        <v>Eixo 4: Questão 74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</v>
      </c>
      <c r="D6" s="2">
        <f>COUNTIF(Resp4[Vínculo],"docente")-SUM(D$7:D$12)</f>
        <v>0</v>
      </c>
      <c r="E6" s="4">
        <f>E13-SUM(E7:E12)</f>
        <v>1</v>
      </c>
      <c r="F6" s="4">
        <f>ROUND($E6/E$13*100,2)</f>
        <v>4.17</v>
      </c>
    </row>
    <row r="7" spans="1:7" x14ac:dyDescent="0.25">
      <c r="B7" t="s">
        <v>205</v>
      </c>
      <c r="C7" s="4">
        <f>COUNTIFS(Resp4[Vínculo],"tecnico",Resp4[4.74],B7)</f>
        <v>1</v>
      </c>
      <c r="D7" s="4">
        <f>COUNTIFS(Resp4[Vínculo],"docente",Resp4[4.74],B7)</f>
        <v>6</v>
      </c>
      <c r="E7" s="4">
        <f>COUNTIF(Resp4[4.74],B7)</f>
        <v>7</v>
      </c>
      <c r="F7" s="4">
        <f t="shared" ref="F7:F13" si="0">ROUND($E7/E$13*100,2)</f>
        <v>29.17</v>
      </c>
      <c r="G7" s="3">
        <f t="shared" ref="G7:G12" si="1">ROUND($E7/SUM($E$7:$E$12)*100,3)</f>
        <v>30.434999999999999</v>
      </c>
    </row>
    <row r="8" spans="1:7" x14ac:dyDescent="0.25">
      <c r="B8" s="2" t="s">
        <v>204</v>
      </c>
      <c r="C8" s="4">
        <f>COUNTIFS(Resp4[Vínculo],"tecnico",Resp4[4.74],B8)</f>
        <v>1</v>
      </c>
      <c r="D8" s="4">
        <f>COUNTIFS(Resp4[Vínculo],"docente",Resp4[4.74],B8)</f>
        <v>0</v>
      </c>
      <c r="E8" s="4">
        <f>COUNTIF(Resp4[4.74],B8)</f>
        <v>1</v>
      </c>
      <c r="F8" s="4">
        <f t="shared" si="0"/>
        <v>4.17</v>
      </c>
      <c r="G8" s="3">
        <f t="shared" si="1"/>
        <v>4.3479999999999999</v>
      </c>
    </row>
    <row r="9" spans="1:7" x14ac:dyDescent="0.25">
      <c r="B9" s="2" t="s">
        <v>202</v>
      </c>
      <c r="C9" s="4">
        <f>COUNTIFS(Resp4[Vínculo],"tecnico",Resp4[4.74],B9)</f>
        <v>1</v>
      </c>
      <c r="D9" s="4">
        <f>COUNTIFS(Resp4[Vínculo],"docente",Resp4[4.74],B9)</f>
        <v>1</v>
      </c>
      <c r="E9" s="4">
        <f>COUNTIF(Resp4[4.74],B9)</f>
        <v>2</v>
      </c>
      <c r="F9" s="4">
        <f t="shared" si="0"/>
        <v>8.33</v>
      </c>
      <c r="G9" s="3">
        <f t="shared" si="1"/>
        <v>8.6959999999999997</v>
      </c>
    </row>
    <row r="10" spans="1:7" x14ac:dyDescent="0.25">
      <c r="B10" s="2" t="s">
        <v>30</v>
      </c>
      <c r="C10" s="4">
        <f>COUNTIFS(Resp4[Vínculo],"tecnico",Resp4[4.74],B10)</f>
        <v>1</v>
      </c>
      <c r="D10" s="4">
        <f>COUNTIFS(Resp4[Vínculo],"docente",Resp4[4.74],B10)</f>
        <v>0</v>
      </c>
      <c r="E10" s="4">
        <f>COUNTIF(Resp4[4.74],B10)</f>
        <v>1</v>
      </c>
      <c r="F10" s="4">
        <f t="shared" si="0"/>
        <v>4.17</v>
      </c>
      <c r="G10" s="3">
        <f t="shared" si="1"/>
        <v>4.3479999999999999</v>
      </c>
    </row>
    <row r="11" spans="1:7" x14ac:dyDescent="0.25">
      <c r="B11" s="2" t="s">
        <v>200</v>
      </c>
      <c r="C11" s="4">
        <f>COUNTIFS(Resp4[Vínculo],"tecnico",Resp4[4.74],B11)</f>
        <v>3</v>
      </c>
      <c r="D11" s="4">
        <f>COUNTIFS(Resp4[Vínculo],"docente",Resp4[4.74],B11)</f>
        <v>2</v>
      </c>
      <c r="E11" s="4">
        <f>COUNTIF(Resp4[4.74],B11)</f>
        <v>5</v>
      </c>
      <c r="F11" s="4">
        <f t="shared" si="0"/>
        <v>20.83</v>
      </c>
      <c r="G11" s="3">
        <f t="shared" si="1"/>
        <v>21.739000000000001</v>
      </c>
    </row>
    <row r="12" spans="1:7" x14ac:dyDescent="0.25">
      <c r="B12" s="7" t="s">
        <v>197</v>
      </c>
      <c r="C12" s="4">
        <f>COUNTIFS(Resp4[Vínculo],"tecnico",Resp4[4.74],B12)</f>
        <v>3</v>
      </c>
      <c r="D12" s="4">
        <f>COUNTIFS(Resp4[Vínculo],"docente",Resp4[4.74],B12)</f>
        <v>4</v>
      </c>
      <c r="E12" s="4">
        <f>COUNTIF(Resp4[4.74],B12)</f>
        <v>7</v>
      </c>
      <c r="F12" s="22">
        <f t="shared" si="0"/>
        <v>29.17</v>
      </c>
      <c r="G12" s="3">
        <f t="shared" si="1"/>
        <v>30.434999999999999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2</v>
      </c>
      <c r="E18" s="15">
        <f>ROUND(D18/SUM(D$18:D$21)*100,3)</f>
        <v>20</v>
      </c>
      <c r="F18" s="12"/>
      <c r="G18" s="13"/>
    </row>
    <row r="19" spans="2:7" x14ac:dyDescent="0.25">
      <c r="B19" s="16" t="s">
        <v>205</v>
      </c>
      <c r="C19" s="16" t="s">
        <v>23</v>
      </c>
      <c r="D19" s="14">
        <f>C7</f>
        <v>1</v>
      </c>
      <c r="E19" s="15">
        <f t="shared" ref="E19:E21" si="2">ROUND(D19/SUM(D$18:D$21)*100,3)</f>
        <v>10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10</v>
      </c>
    </row>
    <row r="21" spans="2:7" x14ac:dyDescent="0.25">
      <c r="B21" s="32" t="s">
        <v>33</v>
      </c>
      <c r="C21" s="32" t="s">
        <v>32</v>
      </c>
      <c r="D21" s="18">
        <f>SUM(C11:C12)</f>
        <v>6</v>
      </c>
      <c r="E21" s="19">
        <f t="shared" si="2"/>
        <v>60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7.6920000000000002</v>
      </c>
    </row>
    <row r="26" spans="2:7" x14ac:dyDescent="0.25">
      <c r="B26" s="16" t="s">
        <v>205</v>
      </c>
      <c r="C26" s="16" t="s">
        <v>23</v>
      </c>
      <c r="D26" s="14">
        <f>D7</f>
        <v>6</v>
      </c>
      <c r="E26" s="15">
        <f>ROUND(D26/SUM(D$25:D$28)*100,3)</f>
        <v>46.154000000000003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6</v>
      </c>
      <c r="E28" s="19">
        <f>ROUND(D28/SUM(D$25:D$28)*100,3)</f>
        <v>46.154000000000003</v>
      </c>
    </row>
  </sheetData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" style="2" customWidth="1"/>
    <col min="3" max="3" width="22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131</v>
      </c>
    </row>
    <row r="2" spans="1:7" x14ac:dyDescent="0.25">
      <c r="A2" s="2" t="str">
        <f>TEXT(A1,"0.00")</f>
        <v>4.75</v>
      </c>
      <c r="B2" s="2" t="str">
        <f>VLOOKUP(A$2,Eixo4[],3,FALSE)</f>
        <v>Com relação às atividades artístico-culturais, avalie as ações a seguir: [Exposições virtuais do Museu de Arqueologia e Etnologia da UFPR – MAE]</v>
      </c>
    </row>
    <row r="3" spans="1:7" x14ac:dyDescent="0.25">
      <c r="A3" s="2" t="s">
        <v>494</v>
      </c>
      <c r="B3" s="2" t="str">
        <f>VLOOKUP(A$2,Eixo4[],4,FALSE)</f>
        <v>Eixo 4: Questão 75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</v>
      </c>
      <c r="D6" s="2">
        <f>COUNTIF(Resp4[Vínculo],"docente")-SUM(D$7:D$12)</f>
        <v>3</v>
      </c>
      <c r="E6" s="4">
        <f>E13-SUM(E7:E12)</f>
        <v>6</v>
      </c>
      <c r="F6" s="4">
        <f>ROUND($E6/E$13*100,2)</f>
        <v>25</v>
      </c>
    </row>
    <row r="7" spans="1:7" x14ac:dyDescent="0.25">
      <c r="B7" t="s">
        <v>205</v>
      </c>
      <c r="C7" s="4">
        <f>COUNTIFS(Resp4[Vínculo],"tecnico",Resp4[4.75],B7)</f>
        <v>1</v>
      </c>
      <c r="D7" s="4">
        <f>COUNTIFS(Resp4[Vínculo],"docente",Resp4[4.75],B7)</f>
        <v>6</v>
      </c>
      <c r="E7" s="4">
        <f>COUNTIF(Resp4[4.75],B7)</f>
        <v>7</v>
      </c>
      <c r="F7" s="4">
        <f t="shared" ref="F7:F12" si="0">ROUND($E7/E$13*100,2)</f>
        <v>29.17</v>
      </c>
      <c r="G7" s="3">
        <f t="shared" ref="G7:G12" si="1">ROUND($E7/SUM($E$7:$E$12)*100,3)</f>
        <v>38.889000000000003</v>
      </c>
    </row>
    <row r="8" spans="1:7" x14ac:dyDescent="0.25">
      <c r="B8" s="2" t="s">
        <v>204</v>
      </c>
      <c r="C8" s="4">
        <f>COUNTIFS(Resp4[Vínculo],"tecnico",Resp4[4.75],B8)</f>
        <v>1</v>
      </c>
      <c r="D8" s="4">
        <f>COUNTIFS(Resp4[Vínculo],"docente",Resp4[4.75],B8)</f>
        <v>0</v>
      </c>
      <c r="E8" s="4">
        <f>COUNTIF(Resp4[4.75],B8)</f>
        <v>1</v>
      </c>
      <c r="F8" s="4">
        <f t="shared" si="0"/>
        <v>4.17</v>
      </c>
      <c r="G8" s="3">
        <f t="shared" si="1"/>
        <v>5.556</v>
      </c>
    </row>
    <row r="9" spans="1:7" x14ac:dyDescent="0.25">
      <c r="B9" s="2" t="s">
        <v>202</v>
      </c>
      <c r="C9" s="4">
        <f>COUNTIFS(Resp4[Vínculo],"tecnico",Resp4[4.75],B9)</f>
        <v>1</v>
      </c>
      <c r="D9" s="4">
        <f>COUNTIFS(Resp4[Vínculo],"docente",Resp4[4.75],B9)</f>
        <v>1</v>
      </c>
      <c r="E9" s="4">
        <f>COUNTIF(Resp4[4.75],B9)</f>
        <v>2</v>
      </c>
      <c r="F9" s="4">
        <f t="shared" si="0"/>
        <v>8.33</v>
      </c>
      <c r="G9" s="3">
        <f t="shared" si="1"/>
        <v>11.111000000000001</v>
      </c>
    </row>
    <row r="10" spans="1:7" x14ac:dyDescent="0.25">
      <c r="B10" s="2" t="s">
        <v>30</v>
      </c>
      <c r="C10" s="4">
        <f>COUNTIFS(Resp4[Vínculo],"tecnico",Resp4[4.75],B10)</f>
        <v>0</v>
      </c>
      <c r="D10" s="4">
        <f>COUNTIFS(Resp4[Vínculo],"docente",Resp4[4.75],B10)</f>
        <v>0</v>
      </c>
      <c r="E10" s="4">
        <f>COUNTIF(Resp4[4.75],B10)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COUNTIFS(Resp4[Vínculo],"tecnico",Resp4[4.75],B11)</f>
        <v>3</v>
      </c>
      <c r="D11" s="4">
        <f>COUNTIFS(Resp4[Vínculo],"docente",Resp4[4.75],B11)</f>
        <v>1</v>
      </c>
      <c r="E11" s="4">
        <f>COUNTIF(Resp4[4.75],B11)</f>
        <v>4</v>
      </c>
      <c r="F11" s="4">
        <f t="shared" si="0"/>
        <v>16.670000000000002</v>
      </c>
      <c r="G11" s="3">
        <f t="shared" si="1"/>
        <v>22.222000000000001</v>
      </c>
    </row>
    <row r="12" spans="1:7" x14ac:dyDescent="0.25">
      <c r="B12" s="7" t="s">
        <v>197</v>
      </c>
      <c r="C12" s="4">
        <f>COUNTIFS(Resp4[Vínculo],"tecnico",Resp4[4.75],B12)</f>
        <v>2</v>
      </c>
      <c r="D12" s="4">
        <f>COUNTIFS(Resp4[Vínculo],"docente",Resp4[4.75],B12)</f>
        <v>2</v>
      </c>
      <c r="E12" s="4">
        <f>COUNTIF(Resp4[4.75],B12)</f>
        <v>4</v>
      </c>
      <c r="F12" s="22">
        <f t="shared" si="0"/>
        <v>16.670000000000002</v>
      </c>
      <c r="G12" s="3">
        <f t="shared" si="1"/>
        <v>22.222000000000001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3">
        <f>SUM(F6:F12)</f>
        <v>100.01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2</v>
      </c>
      <c r="E18" s="15">
        <f>ROUND(D18/SUM(D$18:D$21)*100,3)</f>
        <v>25</v>
      </c>
      <c r="F18" s="12"/>
      <c r="G18" s="13"/>
    </row>
    <row r="19" spans="2:7" x14ac:dyDescent="0.25">
      <c r="B19" s="16" t="s">
        <v>205</v>
      </c>
      <c r="C19" s="16" t="s">
        <v>23</v>
      </c>
      <c r="D19" s="14">
        <f>C7</f>
        <v>1</v>
      </c>
      <c r="E19" s="15">
        <f t="shared" ref="E19:E21" si="2">ROUND(D19/SUM(D$18:D$21)*100,3)</f>
        <v>12.5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62.5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10</v>
      </c>
    </row>
    <row r="26" spans="2:7" x14ac:dyDescent="0.25">
      <c r="B26" s="16" t="s">
        <v>205</v>
      </c>
      <c r="C26" s="16" t="s">
        <v>23</v>
      </c>
      <c r="D26" s="14">
        <f>D7</f>
        <v>6</v>
      </c>
      <c r="E26" s="15">
        <f>ROUND(D26/SUM(D$25:D$28)*100,3)</f>
        <v>60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30</v>
      </c>
    </row>
  </sheetData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G13" sqref="G13"/>
    </sheetView>
  </sheetViews>
  <sheetFormatPr defaultRowHeight="15" x14ac:dyDescent="0.25"/>
  <cols>
    <col min="1" max="1" width="5.7109375" style="2" customWidth="1"/>
    <col min="2" max="2" width="18" style="2" customWidth="1"/>
    <col min="3" max="3" width="19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132</v>
      </c>
    </row>
    <row r="2" spans="1:7" x14ac:dyDescent="0.25">
      <c r="A2" s="2" t="str">
        <f>TEXT(A1,"0.00")</f>
        <v>4.76</v>
      </c>
      <c r="B2" s="2" t="str">
        <f>VLOOKUP(A$2,Eixo4[],3,FALSE)</f>
        <v>Com relação às atividades artístico-culturais, avalie as ações a seguir: [Materiais educativos e outras programações do Museu de Arqueologia e Etnologia da UFPR – MAE (mesas redondas, entrevistas, oficinas)]</v>
      </c>
    </row>
    <row r="3" spans="1:7" x14ac:dyDescent="0.25">
      <c r="A3" s="2" t="s">
        <v>494</v>
      </c>
      <c r="B3" s="2" t="str">
        <f>VLOOKUP(A$2,Eixo4[],4,FALSE)</f>
        <v>Eixo 4: Questão 76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</v>
      </c>
      <c r="D6" s="2">
        <f>COUNTIF(Resp4[Vínculo],"docente")-SUM(D$7:D$12)</f>
        <v>3</v>
      </c>
      <c r="E6" s="4">
        <f>E13-SUM(E7:E12)</f>
        <v>6</v>
      </c>
      <c r="F6" s="4">
        <f>ROUND($E6/E$13*100,2)</f>
        <v>25</v>
      </c>
    </row>
    <row r="7" spans="1:7" x14ac:dyDescent="0.25">
      <c r="B7" t="s">
        <v>205</v>
      </c>
      <c r="C7" s="4">
        <f>COUNTIFS(Resp4[Vínculo],"tecnico",Resp4[4.76],B7)</f>
        <v>1</v>
      </c>
      <c r="D7" s="4">
        <f>COUNTIFS(Resp4[Vínculo],"docente",Resp4[4.76],B7)</f>
        <v>6</v>
      </c>
      <c r="E7" s="4">
        <f>COUNTIF(Resp4[4.76],B7)</f>
        <v>7</v>
      </c>
      <c r="F7" s="4">
        <f t="shared" ref="F7:F12" si="0">ROUND($E7/E$13*100,2)</f>
        <v>29.17</v>
      </c>
      <c r="G7" s="3">
        <f t="shared" ref="G7:G12" si="1">ROUND($E7/SUM($E$7:$E$12)*100,3)</f>
        <v>38.889000000000003</v>
      </c>
    </row>
    <row r="8" spans="1:7" x14ac:dyDescent="0.25">
      <c r="B8" s="2" t="s">
        <v>204</v>
      </c>
      <c r="C8" s="4">
        <f>COUNTIFS(Resp4[Vínculo],"tecnico",Resp4[4.76],B8)</f>
        <v>1</v>
      </c>
      <c r="D8" s="4">
        <f>COUNTIFS(Resp4[Vínculo],"docente",Resp4[4.76],B8)</f>
        <v>0</v>
      </c>
      <c r="E8" s="4">
        <f>COUNTIF(Resp4[4.76],B8)</f>
        <v>1</v>
      </c>
      <c r="F8" s="4">
        <f t="shared" si="0"/>
        <v>4.17</v>
      </c>
      <c r="G8" s="3">
        <f t="shared" si="1"/>
        <v>5.556</v>
      </c>
    </row>
    <row r="9" spans="1:7" x14ac:dyDescent="0.25">
      <c r="B9" s="2" t="s">
        <v>202</v>
      </c>
      <c r="C9" s="4">
        <f>COUNTIFS(Resp4[Vínculo],"tecnico",Resp4[4.76],B9)</f>
        <v>1</v>
      </c>
      <c r="D9" s="4">
        <f>COUNTIFS(Resp4[Vínculo],"docente",Resp4[4.76],B9)</f>
        <v>1</v>
      </c>
      <c r="E9" s="4">
        <f>COUNTIF(Resp4[4.76],B9)</f>
        <v>2</v>
      </c>
      <c r="F9" s="4">
        <f t="shared" si="0"/>
        <v>8.33</v>
      </c>
      <c r="G9" s="3">
        <f t="shared" si="1"/>
        <v>11.111000000000001</v>
      </c>
    </row>
    <row r="10" spans="1:7" x14ac:dyDescent="0.25">
      <c r="B10" s="2" t="s">
        <v>30</v>
      </c>
      <c r="C10" s="4">
        <f>COUNTIFS(Resp4[Vínculo],"tecnico",Resp4[4.76],B10)</f>
        <v>0</v>
      </c>
      <c r="D10" s="4">
        <f>COUNTIFS(Resp4[Vínculo],"docente",Resp4[4.76],B10)</f>
        <v>1</v>
      </c>
      <c r="E10" s="4">
        <f>COUNTIF(Resp4[4.76],B10)</f>
        <v>1</v>
      </c>
      <c r="F10" s="4">
        <f t="shared" si="0"/>
        <v>4.17</v>
      </c>
      <c r="G10" s="3">
        <f t="shared" si="1"/>
        <v>5.556</v>
      </c>
    </row>
    <row r="11" spans="1:7" x14ac:dyDescent="0.25">
      <c r="B11" s="2" t="s">
        <v>200</v>
      </c>
      <c r="C11" s="4">
        <f>COUNTIFS(Resp4[Vínculo],"tecnico",Resp4[4.76],B11)</f>
        <v>3</v>
      </c>
      <c r="D11" s="4">
        <f>COUNTIFS(Resp4[Vínculo],"docente",Resp4[4.76],B11)</f>
        <v>0</v>
      </c>
      <c r="E11" s="4">
        <f>COUNTIF(Resp4[4.76],B11)</f>
        <v>3</v>
      </c>
      <c r="F11" s="4">
        <f t="shared" si="0"/>
        <v>12.5</v>
      </c>
      <c r="G11" s="3">
        <f t="shared" si="1"/>
        <v>16.667000000000002</v>
      </c>
    </row>
    <row r="12" spans="1:7" x14ac:dyDescent="0.25">
      <c r="B12" s="7" t="s">
        <v>197</v>
      </c>
      <c r="C12" s="4">
        <f>COUNTIFS(Resp4[Vínculo],"tecnico",Resp4[4.76],B12)</f>
        <v>2</v>
      </c>
      <c r="D12" s="4">
        <f>COUNTIFS(Resp4[Vínculo],"docente",Resp4[4.76],B12)</f>
        <v>2</v>
      </c>
      <c r="E12" s="4">
        <f>COUNTIF(Resp4[4.76],B12)</f>
        <v>4</v>
      </c>
      <c r="F12" s="4">
        <f t="shared" si="0"/>
        <v>16.670000000000002</v>
      </c>
      <c r="G12" s="3">
        <f t="shared" si="1"/>
        <v>22.222000000000001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88">
        <f>SUM(F6:F12)</f>
        <v>100.01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2</v>
      </c>
      <c r="E18" s="15">
        <f>ROUND(D18/SUM(D$18:D$21)*100,3)</f>
        <v>25</v>
      </c>
      <c r="F18" s="12"/>
      <c r="G18" s="13"/>
    </row>
    <row r="19" spans="2:7" x14ac:dyDescent="0.25">
      <c r="B19" s="16" t="s">
        <v>205</v>
      </c>
      <c r="C19" s="16" t="s">
        <v>23</v>
      </c>
      <c r="D19" s="14">
        <f>C7</f>
        <v>1</v>
      </c>
      <c r="E19" s="15">
        <f t="shared" ref="E19:E21" si="2">ROUND(D19/SUM(D$18:D$21)*100,3)</f>
        <v>12.5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62.5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10</v>
      </c>
    </row>
    <row r="26" spans="2:7" x14ac:dyDescent="0.25">
      <c r="B26" s="16" t="s">
        <v>205</v>
      </c>
      <c r="C26" s="16" t="s">
        <v>23</v>
      </c>
      <c r="D26" s="14">
        <f>D7</f>
        <v>6</v>
      </c>
      <c r="E26" s="15">
        <f>ROUND(D26/SUM(D$25:D$28)*100,3)</f>
        <v>60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10</v>
      </c>
    </row>
    <row r="28" spans="2:7" x14ac:dyDescent="0.25">
      <c r="B28" s="32" t="s">
        <v>33</v>
      </c>
      <c r="C28" s="32" t="s">
        <v>32</v>
      </c>
      <c r="D28" s="18">
        <f>SUM(D11:D12)</f>
        <v>2</v>
      </c>
      <c r="E28" s="19">
        <f>ROUND(D28/SUM(D$25:D$28)*100,3)</f>
        <v>20</v>
      </c>
    </row>
  </sheetData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G13" sqref="G13"/>
    </sheetView>
  </sheetViews>
  <sheetFormatPr defaultRowHeight="15" x14ac:dyDescent="0.25"/>
  <cols>
    <col min="1" max="1" width="3.85546875" style="2" customWidth="1"/>
    <col min="2" max="2" width="18.85546875" style="2" customWidth="1"/>
    <col min="3" max="3" width="14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133</v>
      </c>
    </row>
    <row r="2" spans="1:7" x14ac:dyDescent="0.25">
      <c r="A2" s="2" t="str">
        <f>TEXT(A1,"0.00")</f>
        <v>4.77</v>
      </c>
      <c r="B2" s="2" t="str">
        <f>VLOOKUP(A$2,Eixo4[],3,FALSE)</f>
        <v>Com relação às atividades artístico-culturais, avalie as ações a seguir: [Feira do Livro]</v>
      </c>
    </row>
    <row r="3" spans="1:7" x14ac:dyDescent="0.25">
      <c r="A3" s="2" t="s">
        <v>494</v>
      </c>
      <c r="B3" s="2" t="str">
        <f>VLOOKUP(A$2,Eixo4[],4,FALSE)</f>
        <v>Eixo 4: Questão 77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1</v>
      </c>
      <c r="D6" s="2">
        <f>COUNTIF(Resp4[Vínculo],"docente")-SUM(D$7:D$12)</f>
        <v>2</v>
      </c>
      <c r="E6" s="4">
        <f>E13-SUM(E7:E12)</f>
        <v>3</v>
      </c>
      <c r="F6" s="4">
        <f>ROUND($E6/E$13*100,2)</f>
        <v>12.5</v>
      </c>
    </row>
    <row r="7" spans="1:7" x14ac:dyDescent="0.25">
      <c r="B7" t="s">
        <v>205</v>
      </c>
      <c r="C7" s="4">
        <f>COUNTIFS(Resp4[Vínculo],"tecnico",Resp4[4.77],B7)</f>
        <v>1</v>
      </c>
      <c r="D7" s="4">
        <f>COUNTIFS(Resp4[Vínculo],"docente",Resp4[4.77],B7)</f>
        <v>4</v>
      </c>
      <c r="E7" s="4">
        <f>COUNTIF(Resp4[4.77],B7)</f>
        <v>5</v>
      </c>
      <c r="F7" s="4">
        <f t="shared" ref="F7:F12" si="0">ROUND($E7/E$13*100,2)</f>
        <v>20.83</v>
      </c>
      <c r="G7" s="3">
        <f t="shared" ref="G7:G12" si="1">ROUND($E7/SUM($E$7:$E$12)*100,3)</f>
        <v>23.81</v>
      </c>
    </row>
    <row r="8" spans="1:7" x14ac:dyDescent="0.25">
      <c r="B8" s="2" t="s">
        <v>204</v>
      </c>
      <c r="C8" s="4">
        <f>COUNTIFS(Resp4[Vínculo],"tecnico",Resp4[4.74],B8)</f>
        <v>1</v>
      </c>
      <c r="D8" s="4">
        <f>COUNTIFS(Resp4[Vínculo],"docente",Resp4[4.74],B8)</f>
        <v>0</v>
      </c>
      <c r="E8" s="4">
        <f>COUNTIF(Resp4[4.74],B8)</f>
        <v>1</v>
      </c>
      <c r="F8" s="4">
        <f t="shared" si="0"/>
        <v>4.17</v>
      </c>
      <c r="G8" s="3">
        <f t="shared" si="1"/>
        <v>4.7619999999999996</v>
      </c>
    </row>
    <row r="9" spans="1:7" x14ac:dyDescent="0.25">
      <c r="B9" s="2" t="s">
        <v>202</v>
      </c>
      <c r="C9" s="4">
        <f>COUNTIFS(Resp4[Vínculo],"tecnico",Resp4[4.74],B9)</f>
        <v>1</v>
      </c>
      <c r="D9" s="4">
        <f>COUNTIFS(Resp4[Vínculo],"docente",Resp4[4.74],B9)</f>
        <v>1</v>
      </c>
      <c r="E9" s="4">
        <f>COUNTIF(Resp4[4.74],B9)</f>
        <v>2</v>
      </c>
      <c r="F9" s="4">
        <f t="shared" si="0"/>
        <v>8.33</v>
      </c>
      <c r="G9" s="3">
        <f t="shared" si="1"/>
        <v>9.5239999999999991</v>
      </c>
    </row>
    <row r="10" spans="1:7" x14ac:dyDescent="0.25">
      <c r="B10" s="2" t="s">
        <v>30</v>
      </c>
      <c r="C10" s="4">
        <f>COUNTIFS(Resp4[Vínculo],"tecnico",Resp4[4.74],B10)</f>
        <v>1</v>
      </c>
      <c r="D10" s="4">
        <f>COUNTIFS(Resp4[Vínculo],"docente",Resp4[4.74],B10)</f>
        <v>0</v>
      </c>
      <c r="E10" s="4">
        <f>COUNTIF(Resp4[4.74],B10)</f>
        <v>1</v>
      </c>
      <c r="F10" s="4">
        <f t="shared" si="0"/>
        <v>4.17</v>
      </c>
      <c r="G10" s="3">
        <f t="shared" si="1"/>
        <v>4.7619999999999996</v>
      </c>
    </row>
    <row r="11" spans="1:7" x14ac:dyDescent="0.25">
      <c r="B11" s="2" t="s">
        <v>200</v>
      </c>
      <c r="C11" s="4">
        <f>COUNTIFS(Resp4[Vínculo],"tecnico",Resp4[4.74],B11)</f>
        <v>3</v>
      </c>
      <c r="D11" s="4">
        <f>COUNTIFS(Resp4[Vínculo],"docente",Resp4[4.74],B11)</f>
        <v>2</v>
      </c>
      <c r="E11" s="4">
        <f>COUNTIF(Resp4[4.74],B11)</f>
        <v>5</v>
      </c>
      <c r="F11" s="4">
        <f t="shared" si="0"/>
        <v>20.83</v>
      </c>
      <c r="G11" s="3">
        <f t="shared" si="1"/>
        <v>23.81</v>
      </c>
    </row>
    <row r="12" spans="1:7" x14ac:dyDescent="0.25">
      <c r="B12" s="7" t="s">
        <v>197</v>
      </c>
      <c r="C12" s="4">
        <f>COUNTIFS(Resp4[Vínculo],"tecnico",Resp4[4.74],B12)</f>
        <v>3</v>
      </c>
      <c r="D12" s="4">
        <f>COUNTIFS(Resp4[Vínculo],"docente",Resp4[4.74],B12)</f>
        <v>4</v>
      </c>
      <c r="E12" s="4">
        <f>COUNTIF(Resp4[4.74],B12)</f>
        <v>7</v>
      </c>
      <c r="F12" s="22">
        <f t="shared" si="0"/>
        <v>29.17</v>
      </c>
      <c r="G12" s="3">
        <f t="shared" si="1"/>
        <v>33.332999999999998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89">
        <f>SUM(F6:F12)</f>
        <v>100</v>
      </c>
      <c r="G13" s="9">
        <f>SUM(G7:G12)</f>
        <v>100.00099999999999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2</v>
      </c>
      <c r="E18" s="15">
        <f>ROUND(D18/SUM(D$18:D$21)*100,3)</f>
        <v>20</v>
      </c>
      <c r="F18" s="12"/>
      <c r="G18" s="13"/>
    </row>
    <row r="19" spans="2:7" x14ac:dyDescent="0.25">
      <c r="B19" s="16" t="s">
        <v>205</v>
      </c>
      <c r="C19" s="16" t="s">
        <v>23</v>
      </c>
      <c r="D19" s="14">
        <f>C7</f>
        <v>1</v>
      </c>
      <c r="E19" s="15">
        <f t="shared" ref="E19:E21" si="2">ROUND(D19/SUM(D$18:D$21)*100,3)</f>
        <v>10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10</v>
      </c>
    </row>
    <row r="21" spans="2:7" x14ac:dyDescent="0.25">
      <c r="B21" s="32" t="s">
        <v>33</v>
      </c>
      <c r="C21" s="32" t="s">
        <v>32</v>
      </c>
      <c r="D21" s="18">
        <f>SUM(C11:C12)</f>
        <v>6</v>
      </c>
      <c r="E21" s="19">
        <f t="shared" si="2"/>
        <v>60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9.0909999999999993</v>
      </c>
    </row>
    <row r="26" spans="2:7" x14ac:dyDescent="0.25">
      <c r="B26" s="16" t="s">
        <v>205</v>
      </c>
      <c r="C26" s="16" t="s">
        <v>23</v>
      </c>
      <c r="D26" s="14">
        <f>D7</f>
        <v>4</v>
      </c>
      <c r="E26" s="15">
        <f>ROUND(D26/SUM(D$25:D$28)*100,3)</f>
        <v>36.363999999999997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6</v>
      </c>
      <c r="E28" s="19">
        <f>ROUND(D28/SUM(D$25:D$28)*100,3)</f>
        <v>54.545000000000002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9"/>
  <sheetViews>
    <sheetView topLeftCell="A4" workbookViewId="0">
      <selection activeCell="D28" sqref="D28"/>
    </sheetView>
  </sheetViews>
  <sheetFormatPr defaultRowHeight="15" x14ac:dyDescent="0.25"/>
  <cols>
    <col min="1" max="1" width="4" style="2" customWidth="1"/>
    <col min="2" max="2" width="20.7109375" style="2" customWidth="1"/>
    <col min="3" max="3" width="16.42578125" style="2" customWidth="1"/>
    <col min="4" max="4" width="10.5703125" style="2" customWidth="1"/>
    <col min="5" max="5" width="9.5703125" style="2" customWidth="1"/>
    <col min="6" max="6" width="9" style="2" customWidth="1"/>
    <col min="7" max="7" width="11.14062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58</v>
      </c>
    </row>
    <row r="2" spans="1:7" x14ac:dyDescent="0.25">
      <c r="A2" s="2" t="str">
        <f>TEXT(A1,"0.00")</f>
        <v>4.02</v>
      </c>
      <c r="B2" s="2" t="str">
        <f>VLOOKUP(A$2,Eixo4[],3,FALSE)</f>
        <v>Com relação ao ensino da graduação, avalie: [A consonância entre os fins da instituição e o currículo e a organização didático-pedagógica (métodos, metodologias, planos de ensino e de aprendizagem e avaliação da aprendizagem)]</v>
      </c>
    </row>
    <row r="3" spans="1:7" x14ac:dyDescent="0.25">
      <c r="A3" s="2" t="s">
        <v>494</v>
      </c>
      <c r="B3" s="2" t="str">
        <f>VLOOKUP(A$2,Eixo4[],4,FALSE)</f>
        <v>Eixo 4: Questão 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0</v>
      </c>
      <c r="E6" s="4">
        <f>E13-SUM(E7:E12)</f>
        <v>9</v>
      </c>
      <c r="F6" s="3">
        <f>ROUND($E6/E$13*100,2)</f>
        <v>37.5</v>
      </c>
    </row>
    <row r="7" spans="1:7" x14ac:dyDescent="0.25">
      <c r="B7" s="2" t="s">
        <v>203</v>
      </c>
      <c r="C7" s="4">
        <f>COUNTIFS(Resp4[Vínculo],"tecnico",Resp4[4.02],B$7)</f>
        <v>0</v>
      </c>
      <c r="D7" s="4">
        <f>COUNTIFS(Resp4[Vínculo],"docente",Resp4[4.02],B$7)</f>
        <v>1</v>
      </c>
      <c r="E7" s="4">
        <f>COUNTIF(Resp4[4.02],B7)</f>
        <v>1</v>
      </c>
      <c r="F7" s="3">
        <f t="shared" ref="F7:F13" si="0">ROUND($E7/E$13*100,2)</f>
        <v>4.17</v>
      </c>
      <c r="G7" s="3">
        <f t="shared" ref="G7:G12" si="1">ROUND($E7/SUM($E$7:$E$12)*100,3)</f>
        <v>6.6669999999999998</v>
      </c>
    </row>
    <row r="8" spans="1:7" x14ac:dyDescent="0.25">
      <c r="B8" s="2" t="s">
        <v>204</v>
      </c>
      <c r="C8" s="4">
        <f>COUNTIFS(Resp4[Vínculo],"tecnico",Resp4[4.02],B$8)</f>
        <v>0</v>
      </c>
      <c r="D8" s="4">
        <f>COUNTIFS(Resp4[Vínculo],"docente",Resp4[4.02],B8)</f>
        <v>1</v>
      </c>
      <c r="E8" s="4">
        <f>COUNTIF(Resp4[4.02],B8)</f>
        <v>1</v>
      </c>
      <c r="F8" s="3">
        <f t="shared" si="0"/>
        <v>4.17</v>
      </c>
      <c r="G8" s="3">
        <f t="shared" si="1"/>
        <v>6.6669999999999998</v>
      </c>
    </row>
    <row r="9" spans="1:7" x14ac:dyDescent="0.25">
      <c r="B9" s="2" t="s">
        <v>202</v>
      </c>
      <c r="C9" s="4">
        <f>COUNTIFS(Resp4[Vínculo],"tecnico",Resp4[4.02],B$9)</f>
        <v>1</v>
      </c>
      <c r="D9" s="4">
        <f>COUNTIFS(Resp4[Vínculo],"docente",Resp4[4.02],B9)</f>
        <v>0</v>
      </c>
      <c r="E9" s="4">
        <f>COUNTIF(Resp4[4.02],B9)</f>
        <v>1</v>
      </c>
      <c r="F9" s="3">
        <f t="shared" si="0"/>
        <v>4.17</v>
      </c>
      <c r="G9" s="3">
        <f t="shared" si="1"/>
        <v>6.6669999999999998</v>
      </c>
    </row>
    <row r="10" spans="1:7" x14ac:dyDescent="0.25">
      <c r="B10" s="2" t="s">
        <v>30</v>
      </c>
      <c r="C10" s="4">
        <f>COUNTIFS(Resp4[Vínculo],"tecnico",Resp4[4.02],B$10)</f>
        <v>1</v>
      </c>
      <c r="D10" s="4">
        <f>COUNTIFS(Resp4[Vínculo],"docente",Resp4[4.02],B10)</f>
        <v>2</v>
      </c>
      <c r="E10" s="4">
        <f>COUNTIF(Resp4[4.02],B10)</f>
        <v>3</v>
      </c>
      <c r="F10" s="3">
        <f t="shared" si="0"/>
        <v>12.5</v>
      </c>
      <c r="G10" s="3">
        <f t="shared" si="1"/>
        <v>20</v>
      </c>
    </row>
    <row r="11" spans="1:7" x14ac:dyDescent="0.25">
      <c r="B11" s="2" t="s">
        <v>200</v>
      </c>
      <c r="C11" s="4">
        <f>COUNTIFS(Resp4[Vínculo],"tecnico",Resp4[4.02],B$11)</f>
        <v>0</v>
      </c>
      <c r="D11" s="4">
        <f>COUNTIFS(Resp4[Vínculo],"docente",Resp4[4.02],B11)</f>
        <v>6</v>
      </c>
      <c r="E11" s="4">
        <f>COUNTIF(Resp4[4.02],B11)</f>
        <v>6</v>
      </c>
      <c r="F11" s="3">
        <f t="shared" si="0"/>
        <v>25</v>
      </c>
      <c r="G11" s="3">
        <f t="shared" si="1"/>
        <v>40</v>
      </c>
    </row>
    <row r="12" spans="1:7" x14ac:dyDescent="0.25">
      <c r="B12" s="7" t="s">
        <v>197</v>
      </c>
      <c r="C12" s="4">
        <f>COUNTIFS(Resp4[Vínculo],"tecnico",Resp4[4.02],B$12)</f>
        <v>0</v>
      </c>
      <c r="D12" s="4">
        <f>COUNTIFS(Resp4[Vínculo],"docente",Resp4[4.02],B12)</f>
        <v>3</v>
      </c>
      <c r="E12" s="4">
        <f>COUNTIF(Resp4[4.02],B12)</f>
        <v>3</v>
      </c>
      <c r="F12" s="24">
        <f t="shared" si="0"/>
        <v>12.5</v>
      </c>
      <c r="G12" s="3">
        <f t="shared" si="1"/>
        <v>20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3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50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7.6920000000000002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7.6920000000000002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15.385</v>
      </c>
    </row>
    <row r="28" spans="2:7" x14ac:dyDescent="0.25">
      <c r="B28" s="32" t="s">
        <v>33</v>
      </c>
      <c r="C28" s="32" t="s">
        <v>32</v>
      </c>
      <c r="D28" s="18">
        <f>SUM(D11:D12)</f>
        <v>9</v>
      </c>
      <c r="E28" s="19">
        <f>ROUND(D28/SUM(D$25:D$28)*100,3)</f>
        <v>69.230999999999995</v>
      </c>
    </row>
    <row r="33" spans="5:13" x14ac:dyDescent="0.25">
      <c r="E33" s="33"/>
      <c r="F33" s="33"/>
      <c r="G33" s="34"/>
      <c r="H33" s="33"/>
      <c r="I33" s="33"/>
      <c r="J33" s="33"/>
      <c r="K33" s="33"/>
      <c r="L33" s="33"/>
      <c r="M33" s="33"/>
    </row>
    <row r="34" spans="5:13" x14ac:dyDescent="0.25">
      <c r="E34" s="33"/>
      <c r="F34" s="33"/>
      <c r="G34" s="34"/>
      <c r="H34" s="33"/>
      <c r="I34" s="33"/>
      <c r="J34" s="33"/>
      <c r="K34" s="33"/>
      <c r="L34" s="33"/>
      <c r="M34" s="33"/>
    </row>
    <row r="35" spans="5:13" x14ac:dyDescent="0.25">
      <c r="E35" s="33"/>
      <c r="F35" s="33"/>
      <c r="G35" s="34"/>
      <c r="H35" s="33"/>
      <c r="I35" s="33"/>
      <c r="J35" s="33"/>
      <c r="K35" s="33"/>
      <c r="L35" s="33"/>
      <c r="M35" s="33"/>
    </row>
    <row r="36" spans="5:13" x14ac:dyDescent="0.25">
      <c r="E36" s="33"/>
      <c r="F36" s="33"/>
      <c r="G36" s="35"/>
      <c r="H36" s="36"/>
      <c r="I36" s="33"/>
      <c r="J36" s="33"/>
      <c r="K36" s="33"/>
      <c r="L36" s="33"/>
      <c r="M36" s="33"/>
    </row>
    <row r="37" spans="5:13" x14ac:dyDescent="0.25">
      <c r="E37" s="33"/>
      <c r="F37" s="33"/>
      <c r="G37" s="37"/>
      <c r="H37" s="38"/>
      <c r="I37" s="33"/>
      <c r="J37" s="33"/>
      <c r="K37" s="33"/>
      <c r="L37" s="33"/>
      <c r="M37" s="33"/>
    </row>
    <row r="38" spans="5:13" x14ac:dyDescent="0.25">
      <c r="E38" s="33"/>
      <c r="F38" s="33"/>
      <c r="G38" s="37"/>
      <c r="H38" s="38"/>
      <c r="I38" s="33"/>
      <c r="J38" s="33"/>
      <c r="K38" s="33"/>
      <c r="L38" s="33"/>
      <c r="M38" s="33"/>
    </row>
    <row r="39" spans="5:13" x14ac:dyDescent="0.25">
      <c r="E39" s="33"/>
      <c r="F39" s="33"/>
      <c r="G39" s="37"/>
      <c r="H39" s="38"/>
      <c r="I39" s="33"/>
      <c r="J39" s="33"/>
      <c r="K39" s="33"/>
      <c r="L39" s="33"/>
      <c r="M39" s="33"/>
    </row>
    <row r="40" spans="5:13" x14ac:dyDescent="0.25">
      <c r="E40" s="33"/>
      <c r="F40" s="33"/>
      <c r="G40" s="37"/>
      <c r="H40" s="38"/>
      <c r="I40" s="33"/>
      <c r="J40" s="33"/>
      <c r="K40" s="33"/>
      <c r="L40" s="33"/>
      <c r="M40" s="33"/>
    </row>
    <row r="41" spans="5:13" x14ac:dyDescent="0.25">
      <c r="E41" s="33"/>
      <c r="F41" s="33"/>
      <c r="G41" s="33"/>
      <c r="H41" s="39"/>
      <c r="I41" s="33"/>
      <c r="J41" s="33"/>
      <c r="K41" s="33"/>
      <c r="L41" s="33"/>
      <c r="M41" s="33"/>
    </row>
    <row r="42" spans="5:13" x14ac:dyDescent="0.25">
      <c r="E42" s="33"/>
      <c r="F42" s="33"/>
      <c r="G42" s="33"/>
      <c r="H42" s="39"/>
      <c r="I42" s="33"/>
      <c r="J42" s="33"/>
      <c r="K42" s="33"/>
      <c r="L42" s="33"/>
      <c r="M42" s="33"/>
    </row>
    <row r="43" spans="5:13" x14ac:dyDescent="0.25">
      <c r="E43" s="33"/>
      <c r="F43" s="33"/>
      <c r="G43" s="35"/>
      <c r="H43" s="36"/>
      <c r="I43" s="33"/>
      <c r="J43" s="33"/>
      <c r="K43" s="33"/>
      <c r="L43" s="33"/>
      <c r="M43" s="33"/>
    </row>
    <row r="44" spans="5:13" x14ac:dyDescent="0.25">
      <c r="E44" s="33"/>
      <c r="F44" s="33"/>
      <c r="G44" s="37"/>
      <c r="H44" s="38"/>
      <c r="I44" s="33"/>
      <c r="J44" s="33"/>
      <c r="K44" s="33"/>
      <c r="L44" s="33"/>
      <c r="M44" s="33"/>
    </row>
    <row r="45" spans="5:13" x14ac:dyDescent="0.25">
      <c r="E45" s="33"/>
      <c r="F45" s="33"/>
      <c r="G45" s="37"/>
      <c r="H45" s="38"/>
      <c r="I45" s="33"/>
      <c r="J45" s="33"/>
      <c r="K45" s="33"/>
      <c r="L45" s="33"/>
      <c r="M45" s="33"/>
    </row>
    <row r="46" spans="5:13" x14ac:dyDescent="0.25">
      <c r="E46" s="33"/>
      <c r="F46" s="33"/>
      <c r="G46" s="37"/>
      <c r="H46" s="38"/>
      <c r="I46" s="33"/>
      <c r="J46" s="33"/>
      <c r="K46" s="33"/>
      <c r="L46" s="33"/>
      <c r="M46" s="33"/>
    </row>
    <row r="47" spans="5:13" x14ac:dyDescent="0.25">
      <c r="E47" s="33"/>
      <c r="F47" s="33"/>
      <c r="G47" s="37"/>
      <c r="H47" s="38"/>
      <c r="I47" s="33"/>
      <c r="J47" s="33"/>
      <c r="K47" s="33"/>
      <c r="L47" s="33"/>
      <c r="M47" s="33"/>
    </row>
    <row r="48" spans="5:13" x14ac:dyDescent="0.25">
      <c r="E48" s="33"/>
      <c r="F48" s="33"/>
      <c r="G48" s="34"/>
      <c r="H48" s="33"/>
      <c r="I48" s="33"/>
      <c r="J48" s="33"/>
      <c r="K48" s="33"/>
      <c r="L48" s="33"/>
      <c r="M48" s="33"/>
    </row>
    <row r="49" spans="5:13" x14ac:dyDescent="0.25">
      <c r="E49" s="33"/>
      <c r="F49" s="33"/>
      <c r="G49" s="34"/>
      <c r="H49" s="33"/>
      <c r="I49" s="33"/>
      <c r="J49" s="33"/>
      <c r="K49" s="33"/>
      <c r="L49" s="33"/>
      <c r="M49" s="33"/>
    </row>
  </sheetData>
  <pageMargins left="0.7" right="0.7" top="0.75" bottom="0.75" header="0.3" footer="0.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"/>
  <sheetViews>
    <sheetView workbookViewId="0">
      <selection activeCell="F11" sqref="F11"/>
    </sheetView>
  </sheetViews>
  <sheetFormatPr defaultRowHeight="15" x14ac:dyDescent="0.25"/>
  <sheetData>
    <row r="1" spans="1:7" x14ac:dyDescent="0.25">
      <c r="A1" s="2" t="s">
        <v>135</v>
      </c>
      <c r="B1" s="2"/>
    </row>
    <row r="2" spans="1:7" x14ac:dyDescent="0.25">
      <c r="A2" s="2" t="str">
        <f>TEXT(A1,"0.00")</f>
        <v>4.79</v>
      </c>
      <c r="B2" s="2" t="str">
        <f>VLOOKUP(A$2,Eixo4[],3,FALSE)</f>
        <v>Se você não participou de nenhuma atividade artístico-cultural ofertada pela UFPR, marque o motivo:</v>
      </c>
    </row>
    <row r="3" spans="1:7" x14ac:dyDescent="0.25">
      <c r="A3" s="2" t="s">
        <v>494</v>
      </c>
      <c r="B3" s="2" t="str">
        <f>VLOOKUP(A$2,Eixo4[],4,FALSE)</f>
        <v>Eixo 4: Questão 79</v>
      </c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t="s">
        <v>506</v>
      </c>
      <c r="C6" s="2">
        <f>COUNTIF(Resp4[Vínculo],"tecnico")-SUM(C$7:C$10)</f>
        <v>0</v>
      </c>
      <c r="D6" s="2">
        <f>COUNTIF(Resp4[Vínculo],"docente")-SUM(D$7:D$10)</f>
        <v>0</v>
      </c>
      <c r="E6" s="4">
        <f>E11-SUM(E7:E10)</f>
        <v>0</v>
      </c>
      <c r="F6" s="4">
        <f>ROUND($E6/E$11*100,2)</f>
        <v>0</v>
      </c>
      <c r="G6" s="3"/>
    </row>
    <row r="7" spans="1:7" x14ac:dyDescent="0.25">
      <c r="B7" t="s">
        <v>507</v>
      </c>
      <c r="C7" s="4">
        <f>COUNTIFS(Resp4[Vínculo],"tecnico",Resp4[4.79],C14)</f>
        <v>4</v>
      </c>
      <c r="D7" s="4">
        <f>COUNTIFS(Resp4[Vínculo],"docente",Resp4[4.79],C14)</f>
        <v>0</v>
      </c>
      <c r="E7" s="4">
        <f>COUNTIF(Resp4[4.79],C14)</f>
        <v>4</v>
      </c>
      <c r="F7" s="4">
        <f t="shared" ref="F7:F11" si="0">ROUND($E7/E$11*100,2)</f>
        <v>16.670000000000002</v>
      </c>
      <c r="G7" s="3">
        <f>ROUND($E7/SUM($E$7:$E$10)*100,3)</f>
        <v>16.667000000000002</v>
      </c>
    </row>
    <row r="8" spans="1:7" x14ac:dyDescent="0.25">
      <c r="B8" t="s">
        <v>508</v>
      </c>
      <c r="C8" s="4">
        <f>COUNTIFS(Resp4[Vínculo],"tecnico",Resp4[4.79],C15)</f>
        <v>0</v>
      </c>
      <c r="D8" s="4">
        <f>COUNTIFS(Resp4[Vínculo],"docente",Resp4[4.79],C15)</f>
        <v>2</v>
      </c>
      <c r="E8" s="4">
        <f>COUNTIF(Resp4[4.79],C15)</f>
        <v>2</v>
      </c>
      <c r="F8" s="4">
        <f t="shared" si="0"/>
        <v>8.33</v>
      </c>
      <c r="G8" s="3">
        <f>ROUND($E8/SUM($E$7:$E$10)*100,3)</f>
        <v>8.3330000000000002</v>
      </c>
    </row>
    <row r="9" spans="1:7" x14ac:dyDescent="0.25">
      <c r="B9" t="s">
        <v>509</v>
      </c>
      <c r="C9" s="4">
        <f>COUNTIFS(Resp4[Vínculo],"tecnico",Resp4[4.79],C16)</f>
        <v>3</v>
      </c>
      <c r="D9" s="4">
        <f>COUNTIFS(Resp4[Vínculo],"docente",Resp4[4.79],C16)</f>
        <v>5</v>
      </c>
      <c r="E9" s="4">
        <f>COUNTIF(Resp4[4.79],C16)</f>
        <v>8</v>
      </c>
      <c r="F9" s="4">
        <f t="shared" si="0"/>
        <v>33.33</v>
      </c>
      <c r="G9" s="3">
        <f>ROUND($E9/SUM($E$7:$E$10)*100,3)</f>
        <v>33.332999999999998</v>
      </c>
    </row>
    <row r="10" spans="1:7" x14ac:dyDescent="0.25">
      <c r="B10" s="23" t="s">
        <v>201</v>
      </c>
      <c r="C10" s="22">
        <f>COUNTIFS(Resp4[Vínculo],"tecnico",Resp4[4.79],B10)</f>
        <v>4</v>
      </c>
      <c r="D10" s="22">
        <f>COUNTIFS(Resp4[Vínculo],"docente",Resp4[4.79],B10)</f>
        <v>6</v>
      </c>
      <c r="E10" s="22">
        <f>COUNTIF(Resp4[4.79],B10)</f>
        <v>10</v>
      </c>
      <c r="F10" s="22">
        <f t="shared" si="0"/>
        <v>41.67</v>
      </c>
      <c r="G10" s="24">
        <f>ROUND($E10/SUM($E$7:$E$10)*100,3)</f>
        <v>41.667000000000002</v>
      </c>
    </row>
    <row r="11" spans="1:7" x14ac:dyDescent="0.25">
      <c r="B11" t="s">
        <v>502</v>
      </c>
      <c r="C11">
        <f>SUM(C6:C10)</f>
        <v>11</v>
      </c>
      <c r="D11">
        <f>SUM(D6:D10)</f>
        <v>13</v>
      </c>
      <c r="E11">
        <f>SUM(C11:D11)</f>
        <v>24</v>
      </c>
      <c r="F11" s="15">
        <f t="shared" si="0"/>
        <v>100</v>
      </c>
      <c r="G11" s="25">
        <f>SUM(G7:G10)</f>
        <v>100</v>
      </c>
    </row>
    <row r="13" spans="1:7" x14ac:dyDescent="0.25">
      <c r="B13" s="26" t="s">
        <v>510</v>
      </c>
      <c r="C13" s="26" t="s">
        <v>511</v>
      </c>
      <c r="D13" s="26"/>
      <c r="E13" s="26"/>
      <c r="F13" s="26"/>
    </row>
    <row r="14" spans="1:7" x14ac:dyDescent="0.25">
      <c r="B14" t="s">
        <v>507</v>
      </c>
      <c r="C14" t="s">
        <v>198</v>
      </c>
    </row>
    <row r="15" spans="1:7" x14ac:dyDescent="0.25">
      <c r="B15" t="s">
        <v>508</v>
      </c>
      <c r="C15" t="s">
        <v>207</v>
      </c>
    </row>
    <row r="16" spans="1:7" x14ac:dyDescent="0.25">
      <c r="B16" t="s">
        <v>509</v>
      </c>
      <c r="C16" t="s">
        <v>206</v>
      </c>
    </row>
  </sheetData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137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4.81</v>
      </c>
      <c r="B2" s="2" t="str">
        <f>VLOOKUP(A$2, Eixo4[], 3, FALSE)</f>
        <v>Considerando as atividades mencionadas anteriormente, você julga importante o acesso por meio de plataformas digitais?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81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196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15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COUNTIFS(Resp4[Vínculo],"tecnico",Resp4[4.81],B7)</f>
        <v>10</v>
      </c>
      <c r="D7" s="4">
        <f>COUNTIFS(Resp4[Vínculo],"docente",Resp4[4.81],B7)</f>
        <v>12</v>
      </c>
      <c r="E7" s="2">
        <f>COUNTIF(Resp4[4.81],B7)</f>
        <v>22</v>
      </c>
      <c r="F7" s="15">
        <f t="shared" ref="F7:F9" si="0">ROUND($E7/E$9*100,2)</f>
        <v>91.67</v>
      </c>
      <c r="G7" s="4">
        <f>ROUND($E7/SUM($E$7:$E$8)*100,2)</f>
        <v>91.67</v>
      </c>
      <c r="H7" s="2"/>
    </row>
    <row r="8" spans="1:8" x14ac:dyDescent="0.25">
      <c r="A8" s="2"/>
      <c r="B8" s="2" t="s">
        <v>194</v>
      </c>
      <c r="C8" s="4">
        <f>COUNTIFS(Resp4[Vínculo],"tecnico",Resp4[4.81],B8)</f>
        <v>1</v>
      </c>
      <c r="D8" s="4">
        <f>COUNTIFS(Resp4[Vínculo],"docente",Resp4[4.81],B8)</f>
        <v>1</v>
      </c>
      <c r="E8" s="2">
        <f>COUNTIF(Resp4[4.81],B8)</f>
        <v>2</v>
      </c>
      <c r="F8" s="19">
        <f t="shared" si="0"/>
        <v>8.33</v>
      </c>
      <c r="G8" s="4">
        <f>ROUND($E8/SUM($E$7:$E$8)*100,2)</f>
        <v>8.33</v>
      </c>
      <c r="H8" s="2"/>
    </row>
    <row r="9" spans="1:8" s="30" customFormat="1" ht="14.25" customHeight="1" x14ac:dyDescent="0.25">
      <c r="A9" s="29"/>
      <c r="B9" s="28" t="s">
        <v>502</v>
      </c>
      <c r="C9" s="28">
        <f>SUM(C6:C8)</f>
        <v>11</v>
      </c>
      <c r="D9" s="28">
        <f>SUM(D6:D8)</f>
        <v>13</v>
      </c>
      <c r="E9" s="28">
        <f>SUM(C9:D9)</f>
        <v>24</v>
      </c>
      <c r="F9" s="15">
        <f t="shared" si="0"/>
        <v>100</v>
      </c>
      <c r="G9" s="28">
        <f>SUM(G7:G8)</f>
        <v>100</v>
      </c>
      <c r="H9" s="29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141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4.85</v>
      </c>
      <c r="B2" s="2" t="str">
        <f>VLOOKUP(A$2, Eixo4[], 3, FALSE)</f>
        <v>Por favor, escolha Sim se deseja contribuir com a avaliação da pós-graduação stricto sensu. Caso contrário, escolha Não para prosseguir: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85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196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199</v>
      </c>
      <c r="C7" s="4">
        <f>COUNTIFS(Resp4[Vínculo],"tecnico",Resp4[4.85],B7)</f>
        <v>2</v>
      </c>
      <c r="D7" s="4">
        <f>COUNTIFS(Resp4[Vínculo],"docente",Resp4[4.85],B7)</f>
        <v>8</v>
      </c>
      <c r="E7" s="2">
        <f>COUNTIF(Resp4[4.85],B7)</f>
        <v>10</v>
      </c>
      <c r="F7" s="4">
        <f t="shared" ref="F7:F9" si="0">ROUND($E7/E$9*100,2)</f>
        <v>41.67</v>
      </c>
      <c r="G7" s="4">
        <f>ROUND($E7/SUM($E$7:$E$8)*100,2)</f>
        <v>41.67</v>
      </c>
      <c r="H7" s="2"/>
    </row>
    <row r="8" spans="1:8" x14ac:dyDescent="0.25">
      <c r="A8" s="2"/>
      <c r="B8" s="2" t="s">
        <v>194</v>
      </c>
      <c r="C8" s="4">
        <f>COUNTIFS(Resp4[Vínculo],"tecnico",Resp4[4.85],B8)</f>
        <v>9</v>
      </c>
      <c r="D8" s="4">
        <f>COUNTIFS(Resp4[Vínculo],"docente",Resp4[4.85],B8)</f>
        <v>5</v>
      </c>
      <c r="E8" s="2">
        <f>COUNTIF(Resp4[4.85],B8)</f>
        <v>14</v>
      </c>
      <c r="F8" s="22">
        <f t="shared" si="0"/>
        <v>58.33</v>
      </c>
      <c r="G8" s="4">
        <f>ROUND($E8/SUM($E$7:$E$8)*100,2)</f>
        <v>58.33</v>
      </c>
      <c r="H8" s="2"/>
    </row>
    <row r="9" spans="1:8" x14ac:dyDescent="0.25">
      <c r="A9" s="2"/>
      <c r="B9" s="8" t="s">
        <v>502</v>
      </c>
      <c r="C9" s="8">
        <f>SUM(C6:C8)</f>
        <v>11</v>
      </c>
      <c r="D9" s="8">
        <f>SUM(D6:D8)</f>
        <v>13</v>
      </c>
      <c r="E9" s="8">
        <f>SUM(C9:D9)</f>
        <v>24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31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142</v>
      </c>
    </row>
    <row r="2" spans="1:7" x14ac:dyDescent="0.25">
      <c r="A2" s="2" t="str">
        <f>TEXT(A1,"0.00")</f>
        <v>4.86</v>
      </c>
      <c r="B2" s="2" t="str">
        <f>VLOOKUP(A$2,Eixo4[],3,FALSE)</f>
        <v>Considerando os programas de pós-graduação, avalie: [A clareza das normatizações sobre os programas de pós-graduação (regimento, processo seletivo, resoluções, etc.)]</v>
      </c>
    </row>
    <row r="3" spans="1:7" x14ac:dyDescent="0.25">
      <c r="A3" s="2" t="s">
        <v>494</v>
      </c>
      <c r="B3" s="2" t="str">
        <f>VLOOKUP(A$2,Eixo4[],4,FALSE)</f>
        <v>Eixo 4: Questão 86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5</v>
      </c>
      <c r="E6" s="4">
        <f>E13-SUM(E7:E12)</f>
        <v>14</v>
      </c>
      <c r="F6" s="4">
        <f>ROUND($E6/E$13*100,2)</f>
        <v>58.33</v>
      </c>
    </row>
    <row r="7" spans="1:7" x14ac:dyDescent="0.25">
      <c r="B7" s="2" t="s">
        <v>203</v>
      </c>
      <c r="C7" s="4">
        <f>COUNTIFS(Resp4[Vínculo],"tecnico",Resp4[4.86],B7)</f>
        <v>0</v>
      </c>
      <c r="D7" s="4">
        <f>COUNTIFS(Resp4[Vínculo],"docente",Resp4[4.86],B7)</f>
        <v>0</v>
      </c>
      <c r="E7" s="4">
        <f>COUNTIF(Resp4[4.86],B7)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COUNTIFS(Resp4[Vínculo],"tecnico",Resp4[4.86],B8)</f>
        <v>0</v>
      </c>
      <c r="D8" s="4">
        <f>COUNTIFS(Resp4[Vínculo],"docente",Resp4[4.86],B8)</f>
        <v>0</v>
      </c>
      <c r="E8" s="4">
        <f>COUNTIF(Resp4[4.86],B8)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COUNTIFS(Resp4[Vínculo],"tecnico",Resp4[4.86],B9)</f>
        <v>0</v>
      </c>
      <c r="D9" s="4">
        <f>COUNTIFS(Resp4[Vínculo],"docente",Resp4[4.86],B9)</f>
        <v>0</v>
      </c>
      <c r="E9" s="4">
        <f>COUNTIF(Resp4[4.86],B9)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COUNTIFS(Resp4[Vínculo],"tecnico",Resp4[4.86],B10)</f>
        <v>1</v>
      </c>
      <c r="D10" s="4">
        <f>COUNTIFS(Resp4[Vínculo],"docente",Resp4[4.86],B10)</f>
        <v>2</v>
      </c>
      <c r="E10" s="4">
        <f>COUNTIF(Resp4[4.86],B10)</f>
        <v>3</v>
      </c>
      <c r="F10" s="4">
        <f t="shared" si="0"/>
        <v>12.5</v>
      </c>
      <c r="G10" s="3">
        <f t="shared" si="1"/>
        <v>30</v>
      </c>
    </row>
    <row r="11" spans="1:7" x14ac:dyDescent="0.25">
      <c r="B11" s="2" t="s">
        <v>200</v>
      </c>
      <c r="C11" s="4">
        <f>COUNTIFS(Resp4[Vínculo],"tecnico",Resp4[4.86],B11)</f>
        <v>1</v>
      </c>
      <c r="D11" s="4">
        <f>COUNTIFS(Resp4[Vínculo],"docente",Resp4[4.86],B11)</f>
        <v>3</v>
      </c>
      <c r="E11" s="4">
        <f>COUNTIF(Resp4[4.86],B11)</f>
        <v>4</v>
      </c>
      <c r="F11" s="4">
        <f t="shared" si="0"/>
        <v>16.670000000000002</v>
      </c>
      <c r="G11" s="3">
        <f t="shared" si="1"/>
        <v>40</v>
      </c>
    </row>
    <row r="12" spans="1:7" x14ac:dyDescent="0.25">
      <c r="B12" s="7" t="s">
        <v>197</v>
      </c>
      <c r="C12" s="4">
        <f>COUNTIFS(Resp4[Vínculo],"tecnico",Resp4[4.86],B12)</f>
        <v>0</v>
      </c>
      <c r="D12" s="4">
        <f>COUNTIFS(Resp4[Vínculo],"docente",Resp4[4.86],B12)</f>
        <v>3</v>
      </c>
      <c r="E12" s="4">
        <f>COUNTIF(Resp4[4.86],B12)</f>
        <v>3</v>
      </c>
      <c r="F12" s="22">
        <f t="shared" si="0"/>
        <v>12.5</v>
      </c>
      <c r="G12" s="3">
        <f t="shared" si="1"/>
        <v>30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25</v>
      </c>
    </row>
    <row r="28" spans="2:7" x14ac:dyDescent="0.25">
      <c r="B28" s="32" t="s">
        <v>33</v>
      </c>
      <c r="C28" s="32" t="s">
        <v>32</v>
      </c>
      <c r="D28" s="18">
        <f>SUM(D11:D12)</f>
        <v>6</v>
      </c>
      <c r="E28" s="19">
        <f>ROUND(D28/SUM(D$25:D$28)*100,3)</f>
        <v>75</v>
      </c>
    </row>
  </sheetData>
  <pageMargins left="0.7" right="0.7" top="0.75" bottom="0.75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" style="2" customWidth="1"/>
    <col min="3" max="3" width="20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143</v>
      </c>
    </row>
    <row r="2" spans="1:7" x14ac:dyDescent="0.25">
      <c r="A2" s="2" t="str">
        <f>TEXT(A1,"0.00")</f>
        <v>4.87</v>
      </c>
      <c r="B2" s="2" t="str">
        <f>VLOOKUP(A$2,Eixo4[],3,FALSE)</f>
        <v>Considerando os programas de pós-graduação, avalie: [A oferta de disciplinas transversais]</v>
      </c>
    </row>
    <row r="3" spans="1:7" x14ac:dyDescent="0.25">
      <c r="A3" s="2" t="s">
        <v>494</v>
      </c>
      <c r="B3" s="2" t="str">
        <f>VLOOKUP(A$2,Eixo4[],4,FALSE)</f>
        <v>Eixo 4: Questão 87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5</v>
      </c>
      <c r="E6" s="4">
        <f>E13-SUM(E7:E12)</f>
        <v>14</v>
      </c>
      <c r="F6" s="4">
        <f>ROUND($E6/E$13*100,2)</f>
        <v>58.33</v>
      </c>
    </row>
    <row r="7" spans="1:7" x14ac:dyDescent="0.25">
      <c r="B7" s="2" t="s">
        <v>203</v>
      </c>
      <c r="C7" s="4">
        <f>COUNTIFS(Resp4[Vínculo],"tecnico",Resp4[4.87],B7)</f>
        <v>0</v>
      </c>
      <c r="D7" s="4">
        <f>COUNTIFS(Resp4[Vínculo],"docente",Resp4[4.87],B7)</f>
        <v>0</v>
      </c>
      <c r="E7" s="4">
        <f>COUNTIF(Resp4[4.87],B7)</f>
        <v>0</v>
      </c>
      <c r="F7" s="4">
        <f>ROUND($E7/E$13*100,2)</f>
        <v>0</v>
      </c>
      <c r="G7" s="3">
        <f t="shared" ref="G7:G12" si="0">ROUND($E7/SUM($E$7:$E$12)*100,3)</f>
        <v>0</v>
      </c>
    </row>
    <row r="8" spans="1:7" x14ac:dyDescent="0.25">
      <c r="B8" s="2" t="s">
        <v>204</v>
      </c>
      <c r="C8" s="4">
        <f>COUNTIFS(Resp4[Vínculo],"tecnico",Resp4[4.87],B8)</f>
        <v>0</v>
      </c>
      <c r="D8" s="4">
        <f>COUNTIFS(Resp4[Vínculo],"docente",Resp4[4.87],B8)</f>
        <v>0</v>
      </c>
      <c r="E8" s="4">
        <f>COUNTIF(Resp4[4.87],B8)</f>
        <v>0</v>
      </c>
      <c r="F8" s="4">
        <f t="shared" ref="F8:F13" si="1">ROUND($E8/E$13*100,2)</f>
        <v>0</v>
      </c>
      <c r="G8" s="3">
        <f t="shared" si="0"/>
        <v>0</v>
      </c>
    </row>
    <row r="9" spans="1:7" x14ac:dyDescent="0.25">
      <c r="B9" s="2" t="s">
        <v>202</v>
      </c>
      <c r="C9" s="4">
        <f>COUNTIFS(Resp4[Vínculo],"tecnico",Resp4[4.87],B9)</f>
        <v>0</v>
      </c>
      <c r="D9" s="4">
        <f>COUNTIFS(Resp4[Vínculo],"docente",Resp4[4.87],B9)</f>
        <v>1</v>
      </c>
      <c r="E9" s="4">
        <f>COUNTIF(Resp4[4.87],B9)</f>
        <v>1</v>
      </c>
      <c r="F9" s="4">
        <f>ROUND($E9/E$13*100,2)</f>
        <v>4.17</v>
      </c>
      <c r="G9" s="3">
        <f t="shared" si="0"/>
        <v>10</v>
      </c>
    </row>
    <row r="10" spans="1:7" x14ac:dyDescent="0.25">
      <c r="B10" s="2" t="s">
        <v>30</v>
      </c>
      <c r="C10" s="4">
        <f>COUNTIFS(Resp4[Vínculo],"tecnico",Resp4[4.87],B10)</f>
        <v>1</v>
      </c>
      <c r="D10" s="4">
        <f>COUNTIFS(Resp4[Vínculo],"docente",Resp4[4.87],B10)</f>
        <v>3</v>
      </c>
      <c r="E10" s="4">
        <f>COUNTIF(Resp4[4.87],B10)</f>
        <v>4</v>
      </c>
      <c r="F10" s="4">
        <f>ROUND($E10/E$13*100,2)</f>
        <v>16.670000000000002</v>
      </c>
      <c r="G10" s="3">
        <f t="shared" si="0"/>
        <v>40</v>
      </c>
    </row>
    <row r="11" spans="1:7" x14ac:dyDescent="0.25">
      <c r="B11" s="2" t="s">
        <v>200</v>
      </c>
      <c r="C11" s="4">
        <f>COUNTIFS(Resp4[Vínculo],"tecnico",Resp4[4.87],B11)</f>
        <v>1</v>
      </c>
      <c r="D11" s="4">
        <f>COUNTIFS(Resp4[Vínculo],"docente",Resp4[4.87],B11)</f>
        <v>3</v>
      </c>
      <c r="E11" s="4">
        <f>COUNTIF(Resp4[4.87],B11)</f>
        <v>4</v>
      </c>
      <c r="F11" s="4">
        <f>ROUND($E11/E$13*100,2)</f>
        <v>16.670000000000002</v>
      </c>
      <c r="G11" s="3">
        <f t="shared" si="0"/>
        <v>40</v>
      </c>
    </row>
    <row r="12" spans="1:7" x14ac:dyDescent="0.25">
      <c r="B12" s="7" t="s">
        <v>197</v>
      </c>
      <c r="C12" s="4">
        <f>COUNTIFS(Resp4[Vínculo],"tecnico",Resp4[4.87],B12)</f>
        <v>0</v>
      </c>
      <c r="D12" s="4">
        <f>COUNTIFS(Resp4[Vínculo],"docente",Resp4[4.87],B12)</f>
        <v>1</v>
      </c>
      <c r="E12" s="4">
        <f>COUNTIF(Resp4[4.87],B12)</f>
        <v>1</v>
      </c>
      <c r="F12" s="22">
        <f>ROUND($E12/E$13*100,2)</f>
        <v>4.17</v>
      </c>
      <c r="G12" s="3">
        <f t="shared" si="0"/>
        <v>10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1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12.5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37.5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50</v>
      </c>
    </row>
  </sheetData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:F12"/>
    </sheetView>
  </sheetViews>
  <sheetFormatPr defaultRowHeight="15" x14ac:dyDescent="0.25"/>
  <cols>
    <col min="1" max="1" width="5.7109375" style="2" customWidth="1"/>
    <col min="2" max="2" width="21.5703125" style="2" customWidth="1"/>
    <col min="3" max="3" width="23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144</v>
      </c>
    </row>
    <row r="2" spans="1:7" x14ac:dyDescent="0.25">
      <c r="A2" s="2" t="str">
        <f>TEXT(A1,"0.00")</f>
        <v>4.88</v>
      </c>
      <c r="B2" s="2" t="str">
        <f>VLOOKUP(A$2,Eixo4[],3,FALSE)</f>
        <v>Considerando os programas de pós-graduação, avalie: [A orientação e as normas para a revisão dos currículos dos programas]</v>
      </c>
    </row>
    <row r="3" spans="1:7" x14ac:dyDescent="0.25">
      <c r="A3" s="2" t="s">
        <v>494</v>
      </c>
      <c r="B3" s="2" t="str">
        <f>VLOOKUP(A$2,Eixo4[],4,FALSE)</f>
        <v>Eixo 4: Questão 88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5</v>
      </c>
      <c r="E6" s="4">
        <f>E13-SUM(E7:E12)</f>
        <v>14</v>
      </c>
      <c r="F6" s="15">
        <f>ROUND($E6/E$13*100,2)</f>
        <v>58.33</v>
      </c>
    </row>
    <row r="7" spans="1:7" x14ac:dyDescent="0.25">
      <c r="B7" s="2" t="s">
        <v>203</v>
      </c>
      <c r="C7" s="4">
        <f>COUNTIFS(Resp4[Vínculo],"tecnico",Resp4[4.88],B7)</f>
        <v>0</v>
      </c>
      <c r="D7" s="4">
        <f>COUNTIFS(Resp4[Vínculo],"docente",Resp4[4.88],B7)</f>
        <v>3</v>
      </c>
      <c r="E7" s="4">
        <f>COUNTIF(Resp4[4.88],B7)</f>
        <v>3</v>
      </c>
      <c r="F7" s="15">
        <f t="shared" ref="F7:F13" si="0">ROUND($E7/E$13*100,2)</f>
        <v>12.5</v>
      </c>
      <c r="G7" s="3">
        <f t="shared" ref="G7:G12" si="1">ROUND($E7/SUM($E$7:$E$12)*100,3)</f>
        <v>30</v>
      </c>
    </row>
    <row r="8" spans="1:7" x14ac:dyDescent="0.25">
      <c r="B8" s="2" t="s">
        <v>204</v>
      </c>
      <c r="C8" s="4">
        <f>COUNTIFS(Resp4[Vínculo],"tecnico",Resp4[4.88],B8)</f>
        <v>0</v>
      </c>
      <c r="D8" s="4">
        <f>COUNTIFS(Resp4[Vínculo],"docente",Resp4[4.88],B8)</f>
        <v>1</v>
      </c>
      <c r="E8" s="4">
        <f>COUNTIF(Resp4[4.88],B8)</f>
        <v>1</v>
      </c>
      <c r="F8" s="15">
        <f t="shared" si="0"/>
        <v>4.17</v>
      </c>
      <c r="G8" s="3">
        <f t="shared" si="1"/>
        <v>10</v>
      </c>
    </row>
    <row r="9" spans="1:7" x14ac:dyDescent="0.25">
      <c r="B9" s="2" t="s">
        <v>202</v>
      </c>
      <c r="C9" s="4">
        <f>COUNTIFS(Resp4[Vínculo],"tecnico",Resp4[4.88],B9)</f>
        <v>0</v>
      </c>
      <c r="D9" s="4">
        <f>COUNTIFS(Resp4[Vínculo],"docente",Resp4[4.88],B9)</f>
        <v>0</v>
      </c>
      <c r="E9" s="4">
        <f>COUNTIF(Resp4[4.88],B9)</f>
        <v>0</v>
      </c>
      <c r="F9" s="15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COUNTIFS(Resp4[Vínculo],"tecnico",Resp4[4.88],B10)</f>
        <v>2</v>
      </c>
      <c r="D10" s="4">
        <f>COUNTIFS(Resp4[Vínculo],"docente",Resp4[4.88],B10)</f>
        <v>1</v>
      </c>
      <c r="E10" s="4">
        <f>COUNTIF(Resp4[4.88],B10)</f>
        <v>3</v>
      </c>
      <c r="F10" s="15">
        <f t="shared" si="0"/>
        <v>12.5</v>
      </c>
      <c r="G10" s="3">
        <f t="shared" si="1"/>
        <v>30</v>
      </c>
    </row>
    <row r="11" spans="1:7" x14ac:dyDescent="0.25">
      <c r="B11" s="2" t="s">
        <v>200</v>
      </c>
      <c r="C11" s="4">
        <f>COUNTIFS(Resp4[Vínculo],"tecnico",Resp4[4.88],B11)</f>
        <v>0</v>
      </c>
      <c r="D11" s="4">
        <f>COUNTIFS(Resp4[Vínculo],"docente",Resp4[4.88],B11)</f>
        <v>2</v>
      </c>
      <c r="E11" s="4">
        <f>COUNTIF(Resp4[4.88],B11)</f>
        <v>2</v>
      </c>
      <c r="F11" s="15">
        <f t="shared" si="0"/>
        <v>8.33</v>
      </c>
      <c r="G11" s="3">
        <f t="shared" si="1"/>
        <v>20</v>
      </c>
    </row>
    <row r="12" spans="1:7" x14ac:dyDescent="0.25">
      <c r="B12" s="7" t="s">
        <v>197</v>
      </c>
      <c r="C12" s="4">
        <f>COUNTIFS(Resp4[Vínculo],"tecnico",Resp4[4.88],B12)</f>
        <v>0</v>
      </c>
      <c r="D12" s="4">
        <f>COUNTIFS(Resp4[Vínculo],"docente",Resp4[4.88],B12)</f>
        <v>1</v>
      </c>
      <c r="E12" s="4">
        <f>COUNTIF(Resp4[4.88],B12)</f>
        <v>1</v>
      </c>
      <c r="F12" s="19">
        <f t="shared" si="0"/>
        <v>4.17</v>
      </c>
      <c r="G12" s="3">
        <f t="shared" si="1"/>
        <v>10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100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12.5</v>
      </c>
    </row>
    <row r="26" spans="2:7" x14ac:dyDescent="0.25">
      <c r="B26" s="16" t="s">
        <v>203</v>
      </c>
      <c r="C26" s="16" t="s">
        <v>23</v>
      </c>
      <c r="D26" s="14">
        <f>D7</f>
        <v>3</v>
      </c>
      <c r="E26" s="15">
        <f>ROUND(D26/SUM(D$25:D$28)*100,3)</f>
        <v>37.5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12.5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37.5</v>
      </c>
    </row>
  </sheetData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:F12"/>
    </sheetView>
  </sheetViews>
  <sheetFormatPr defaultRowHeight="15" x14ac:dyDescent="0.25"/>
  <cols>
    <col min="1" max="1" width="5.7109375" style="2" customWidth="1"/>
    <col min="2" max="2" width="22.14062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145</v>
      </c>
    </row>
    <row r="2" spans="1:7" x14ac:dyDescent="0.25">
      <c r="A2" s="2" t="str">
        <f>TEXT(A1,"0.00")</f>
        <v>4.89</v>
      </c>
      <c r="B2" s="2" t="str">
        <f>VLOOKUP(A$2,Eixo4[],3,FALSE)</f>
        <v>Considerando os programas de pós-graduação, avalie: [As políticas de acolhimento de pesquisadores externos (exemplo: Editais PRINT/UFPR)]</v>
      </c>
    </row>
    <row r="3" spans="1:7" x14ac:dyDescent="0.25">
      <c r="A3" s="2" t="s">
        <v>494</v>
      </c>
      <c r="B3" s="2" t="str">
        <f>VLOOKUP(A$2,Eixo4[],4,FALSE)</f>
        <v>Eixo 4: Questão 89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5</v>
      </c>
      <c r="E6" s="4">
        <f>E13-SUM(E7:E12)</f>
        <v>14</v>
      </c>
      <c r="F6" s="4">
        <f>ROUND($E6/E$13*100,2)</f>
        <v>58.33</v>
      </c>
    </row>
    <row r="7" spans="1:7" x14ac:dyDescent="0.25">
      <c r="B7" s="2" t="s">
        <v>203</v>
      </c>
      <c r="C7" s="4">
        <f>COUNTIFS(Resp4[Vínculo],"tecnico",Resp4[4.89],B7)</f>
        <v>0</v>
      </c>
      <c r="D7" s="4">
        <f>COUNTIFS(Resp4[Vínculo],"docente",Resp4[4.89],B7)</f>
        <v>5</v>
      </c>
      <c r="E7" s="4">
        <f>COUNTIF(Resp4[4.89],B7)</f>
        <v>5</v>
      </c>
      <c r="F7" s="4">
        <f t="shared" ref="F7:F13" si="0">ROUND($E7/E$13*100,2)</f>
        <v>20.83</v>
      </c>
      <c r="G7" s="3">
        <f t="shared" ref="G7:G12" si="1">ROUND($E7/SUM($E$7:$E$12)*100,3)</f>
        <v>50</v>
      </c>
    </row>
    <row r="8" spans="1:7" x14ac:dyDescent="0.25">
      <c r="B8" s="2" t="s">
        <v>204</v>
      </c>
      <c r="C8" s="4">
        <f>COUNTIFS(Resp4[Vínculo],"tecnico",Resp4[4.89],B8)</f>
        <v>0</v>
      </c>
      <c r="D8" s="4">
        <f>COUNTIFS(Resp4[Vínculo],"docente",Resp4[4.89],B8)</f>
        <v>0</v>
      </c>
      <c r="E8" s="4">
        <f>COUNTIF(Resp4[4.89],B8)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COUNTIFS(Resp4[Vínculo],"tecnico",Resp4[4.89],B9)</f>
        <v>0</v>
      </c>
      <c r="D9" s="4">
        <f>COUNTIFS(Resp4[Vínculo],"docente",Resp4[4.89],B9)</f>
        <v>1</v>
      </c>
      <c r="E9" s="4">
        <f>COUNTIF(Resp4[4.89],B9)</f>
        <v>1</v>
      </c>
      <c r="F9" s="4">
        <f t="shared" si="0"/>
        <v>4.17</v>
      </c>
      <c r="G9" s="3">
        <f t="shared" si="1"/>
        <v>10</v>
      </c>
    </row>
    <row r="10" spans="1:7" x14ac:dyDescent="0.25">
      <c r="B10" s="2" t="s">
        <v>30</v>
      </c>
      <c r="C10" s="4">
        <f>COUNTIFS(Resp4[Vínculo],"tecnico",Resp4[4.89],B10)</f>
        <v>2</v>
      </c>
      <c r="D10" s="4">
        <f>COUNTIFS(Resp4[Vínculo],"docente",Resp4[4.89],B10)</f>
        <v>1</v>
      </c>
      <c r="E10" s="4">
        <f>COUNTIF(Resp4[4.89],B10)</f>
        <v>3</v>
      </c>
      <c r="F10" s="4">
        <f t="shared" si="0"/>
        <v>12.5</v>
      </c>
      <c r="G10" s="3">
        <f t="shared" si="1"/>
        <v>30</v>
      </c>
    </row>
    <row r="11" spans="1:7" x14ac:dyDescent="0.25">
      <c r="B11" s="2" t="s">
        <v>200</v>
      </c>
      <c r="C11" s="4">
        <f>COUNTIFS(Resp4[Vínculo],"tecnico",Resp4[4.89],B11)</f>
        <v>0</v>
      </c>
      <c r="D11" s="4">
        <f>COUNTIFS(Resp4[Vínculo],"docente",Resp4[4.89],B11)</f>
        <v>0</v>
      </c>
      <c r="E11" s="4">
        <f>COUNTIF(Resp4[4.89],B11)</f>
        <v>0</v>
      </c>
      <c r="F11" s="4">
        <f t="shared" si="0"/>
        <v>0</v>
      </c>
      <c r="G11" s="3">
        <f t="shared" si="1"/>
        <v>0</v>
      </c>
    </row>
    <row r="12" spans="1:7" x14ac:dyDescent="0.25">
      <c r="B12" s="7" t="s">
        <v>197</v>
      </c>
      <c r="C12" s="4">
        <f>COUNTIFS(Resp4[Vínculo],"tecnico",Resp4[4.89],B12)</f>
        <v>0</v>
      </c>
      <c r="D12" s="4">
        <f>COUNTIFS(Resp4[Vínculo],"docente",Resp4[4.89],B12)</f>
        <v>1</v>
      </c>
      <c r="E12" s="4">
        <f>COUNTIF(Resp4[4.89],B12)</f>
        <v>1</v>
      </c>
      <c r="F12" s="22">
        <f t="shared" si="0"/>
        <v>4.17</v>
      </c>
      <c r="G12" s="3">
        <f t="shared" si="1"/>
        <v>10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100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12.5</v>
      </c>
    </row>
    <row r="26" spans="2:7" x14ac:dyDescent="0.25">
      <c r="B26" s="16" t="s">
        <v>203</v>
      </c>
      <c r="C26" s="16" t="s">
        <v>23</v>
      </c>
      <c r="D26" s="14">
        <f>D7</f>
        <v>5</v>
      </c>
      <c r="E26" s="15">
        <f>ROUND(D26/SUM(D$25:D$28)*100,3)</f>
        <v>62.5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12.5</v>
      </c>
    </row>
    <row r="28" spans="2:7" x14ac:dyDescent="0.25">
      <c r="B28" s="32" t="s">
        <v>33</v>
      </c>
      <c r="C28" s="32" t="s">
        <v>32</v>
      </c>
      <c r="D28" s="18">
        <f>SUM(D11:D12)</f>
        <v>1</v>
      </c>
      <c r="E28" s="19">
        <f>ROUND(D28/SUM(D$25:D$28)*100,3)</f>
        <v>12.5</v>
      </c>
    </row>
  </sheetData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8.28515625" style="2" customWidth="1"/>
    <col min="3" max="3" width="22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146</v>
      </c>
    </row>
    <row r="2" spans="1:7" x14ac:dyDescent="0.25">
      <c r="A2" s="2" t="str">
        <f>TEXT(A1,"0.00")</f>
        <v>4.90</v>
      </c>
      <c r="B2" s="2" t="str">
        <f>VLOOKUP(A$2,Eixo4[],3,FALSE)</f>
        <v>Considerando os programas de pós-graduação, avalie: [As ações institucionais para criação, expansão e manutenção da pós-graduação stricto sensu]</v>
      </c>
    </row>
    <row r="3" spans="1:7" x14ac:dyDescent="0.25">
      <c r="A3" s="2" t="s">
        <v>494</v>
      </c>
      <c r="B3" s="2" t="str">
        <f>VLOOKUP(A$2,Eixo4[],4,FALSE)</f>
        <v>Eixo 4: Questão 90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5</v>
      </c>
      <c r="E6" s="4">
        <f>E13-SUM(E7:E12)</f>
        <v>14</v>
      </c>
      <c r="F6" s="4">
        <f>ROUND($E6/E$13*100,2)</f>
        <v>58.33</v>
      </c>
    </row>
    <row r="7" spans="1:7" x14ac:dyDescent="0.25">
      <c r="B7" s="2" t="s">
        <v>203</v>
      </c>
      <c r="C7" s="4">
        <f>COUNTIFS(Resp4[Vínculo],"tecnico",Resp4[4.90],B7)</f>
        <v>0</v>
      </c>
      <c r="D7" s="4">
        <f>COUNTIFS(Resp4[Vínculo],"docente",Resp4[4.90],B7)</f>
        <v>3</v>
      </c>
      <c r="E7" s="4">
        <f>COUNTIF(Resp4[4.90],B7)</f>
        <v>3</v>
      </c>
      <c r="F7" s="4">
        <f t="shared" ref="F7:F13" si="0">ROUND($E7/E$13*100,2)</f>
        <v>12.5</v>
      </c>
      <c r="G7" s="3">
        <f t="shared" ref="G7:G12" si="1">ROUND($E7/SUM($E$7:$E$12)*100,3)</f>
        <v>30</v>
      </c>
    </row>
    <row r="8" spans="1:7" x14ac:dyDescent="0.25">
      <c r="B8" s="2" t="s">
        <v>204</v>
      </c>
      <c r="C8" s="4">
        <f>COUNTIFS(Resp4[Vínculo],"tecnico",Resp4[4.90],B8)</f>
        <v>0</v>
      </c>
      <c r="D8" s="4">
        <f>COUNTIFS(Resp4[Vínculo],"docente",Resp4[4.90],B8)</f>
        <v>1</v>
      </c>
      <c r="E8" s="4">
        <f>COUNTIF(Resp4[4.90],B8)</f>
        <v>1</v>
      </c>
      <c r="F8" s="4">
        <f t="shared" si="0"/>
        <v>4.17</v>
      </c>
      <c r="G8" s="3">
        <f t="shared" si="1"/>
        <v>10</v>
      </c>
    </row>
    <row r="9" spans="1:7" x14ac:dyDescent="0.25">
      <c r="B9" s="2" t="s">
        <v>202</v>
      </c>
      <c r="C9" s="4">
        <f>COUNTIFS(Resp4[Vínculo],"tecnico",Resp4[4.90],B9)</f>
        <v>0</v>
      </c>
      <c r="D9" s="4">
        <f>COUNTIFS(Resp4[Vínculo],"docente",Resp4[4.90],B9)</f>
        <v>1</v>
      </c>
      <c r="E9" s="4">
        <f>COUNTIF(Resp4[4.90],B9)</f>
        <v>1</v>
      </c>
      <c r="F9" s="4">
        <f t="shared" si="0"/>
        <v>4.17</v>
      </c>
      <c r="G9" s="3">
        <f t="shared" si="1"/>
        <v>10</v>
      </c>
    </row>
    <row r="10" spans="1:7" x14ac:dyDescent="0.25">
      <c r="B10" s="2" t="s">
        <v>30</v>
      </c>
      <c r="C10" s="4">
        <f>COUNTIFS(Resp4[Vínculo],"tecnico",Resp4[4.90],B10)</f>
        <v>1</v>
      </c>
      <c r="D10" s="4">
        <f>COUNTIFS(Resp4[Vínculo],"docente",Resp4[4.90],B10)</f>
        <v>1</v>
      </c>
      <c r="E10" s="4">
        <f>COUNTIF(Resp4[4.90],B10)</f>
        <v>2</v>
      </c>
      <c r="F10" s="4">
        <f t="shared" si="0"/>
        <v>8.33</v>
      </c>
      <c r="G10" s="3">
        <f t="shared" si="1"/>
        <v>20</v>
      </c>
    </row>
    <row r="11" spans="1:7" x14ac:dyDescent="0.25">
      <c r="B11" s="2" t="s">
        <v>200</v>
      </c>
      <c r="C11" s="4">
        <f>COUNTIFS(Resp4[Vínculo],"tecnico",Resp4[4.90],B11)</f>
        <v>1</v>
      </c>
      <c r="D11" s="4">
        <f>COUNTIFS(Resp4[Vínculo],"docente",Resp4[4.90],B11)</f>
        <v>1</v>
      </c>
      <c r="E11" s="4">
        <f>COUNTIF(Resp4[4.90],B11)</f>
        <v>2</v>
      </c>
      <c r="F11" s="4">
        <f t="shared" si="0"/>
        <v>8.33</v>
      </c>
      <c r="G11" s="3">
        <f t="shared" si="1"/>
        <v>20</v>
      </c>
    </row>
    <row r="12" spans="1:7" x14ac:dyDescent="0.25">
      <c r="B12" s="7" t="s">
        <v>197</v>
      </c>
      <c r="C12" s="4">
        <f>COUNTIFS(Resp4[Vínculo],"tecnico",Resp4[4.90],B12)</f>
        <v>0</v>
      </c>
      <c r="D12" s="4">
        <f>COUNTIFS(Resp4[Vínculo],"docente",Resp4[4.90],B12)</f>
        <v>1</v>
      </c>
      <c r="E12" s="4">
        <f>COUNTIF(Resp4[4.90],B12)</f>
        <v>1</v>
      </c>
      <c r="F12" s="22">
        <f t="shared" si="0"/>
        <v>4.17</v>
      </c>
      <c r="G12" s="3">
        <f t="shared" si="1"/>
        <v>10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25</v>
      </c>
    </row>
    <row r="26" spans="2:7" x14ac:dyDescent="0.25">
      <c r="B26" s="16" t="s">
        <v>203</v>
      </c>
      <c r="C26" s="16" t="s">
        <v>23</v>
      </c>
      <c r="D26" s="14">
        <f>D7</f>
        <v>3</v>
      </c>
      <c r="E26" s="15">
        <f>ROUND(D26/SUM(D$25:D$28)*100,3)</f>
        <v>37.5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12.5</v>
      </c>
    </row>
    <row r="28" spans="2:7" x14ac:dyDescent="0.25">
      <c r="B28" s="32" t="s">
        <v>33</v>
      </c>
      <c r="C28" s="32" t="s">
        <v>32</v>
      </c>
      <c r="D28" s="18">
        <f>SUM(D11:D12)</f>
        <v>2</v>
      </c>
      <c r="E28" s="19">
        <f>ROUND(D28/SUM(D$25:D$28)*100,3)</f>
        <v>25</v>
      </c>
    </row>
  </sheetData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6.140625" style="2" customWidth="1"/>
    <col min="3" max="3" width="22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147</v>
      </c>
    </row>
    <row r="2" spans="1:7" x14ac:dyDescent="0.25">
      <c r="A2" s="2" t="str">
        <f>TEXT(A1,"0.00")</f>
        <v>4.91</v>
      </c>
      <c r="B2" s="2" t="str">
        <f>VLOOKUP(A$2,Eixo4[],3,FALSE)</f>
        <v>Considerando os programas de pós-graduação, avalie: [As ações de melhoria da qualidade da pós-graduação stricto sensu]</v>
      </c>
    </row>
    <row r="3" spans="1:7" x14ac:dyDescent="0.25">
      <c r="A3" s="2" t="s">
        <v>494</v>
      </c>
      <c r="B3" s="2" t="str">
        <f>VLOOKUP(A$2,Eixo4[],4,FALSE)</f>
        <v>Eixo 4: Questão 91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5</v>
      </c>
      <c r="E6" s="4">
        <f>E13-SUM(E7:E12)</f>
        <v>14</v>
      </c>
      <c r="F6" s="4">
        <f>ROUND($E6/E$13*100,2)</f>
        <v>58.33</v>
      </c>
    </row>
    <row r="7" spans="1:7" x14ac:dyDescent="0.25">
      <c r="B7" s="2" t="s">
        <v>203</v>
      </c>
      <c r="C7" s="4">
        <f>COUNTIFS(Resp4[Vínculo],"tecnico",Resp4[4.91],B7)</f>
        <v>0</v>
      </c>
      <c r="D7" s="4">
        <f>COUNTIFS(Resp4[Vínculo],"docente",Resp4[4.91],B7)</f>
        <v>2</v>
      </c>
      <c r="E7" s="4">
        <f>COUNTIF(Resp4[4.91],B7)</f>
        <v>2</v>
      </c>
      <c r="F7" s="4">
        <f t="shared" ref="F7:F13" si="0">ROUND($E7/E$13*100,2)</f>
        <v>8.33</v>
      </c>
      <c r="G7" s="3">
        <f t="shared" ref="G7:G12" si="1">ROUND($E7/SUM($E$7:$E$12)*100,3)</f>
        <v>20</v>
      </c>
    </row>
    <row r="8" spans="1:7" x14ac:dyDescent="0.25">
      <c r="B8" s="2" t="s">
        <v>204</v>
      </c>
      <c r="C8" s="4">
        <f>COUNTIFS(Resp4[Vínculo],"tecnico",Resp4[4.91],B8)</f>
        <v>0</v>
      </c>
      <c r="D8" s="4">
        <f>COUNTIFS(Resp4[Vínculo],"docente",Resp4[4.91],B8)</f>
        <v>1</v>
      </c>
      <c r="E8" s="4">
        <f>COUNTIF(Resp4[4.91],B8)</f>
        <v>1</v>
      </c>
      <c r="F8" s="4">
        <f t="shared" si="0"/>
        <v>4.17</v>
      </c>
      <c r="G8" s="3">
        <f t="shared" si="1"/>
        <v>10</v>
      </c>
    </row>
    <row r="9" spans="1:7" x14ac:dyDescent="0.25">
      <c r="B9" s="2" t="s">
        <v>202</v>
      </c>
      <c r="C9" s="4">
        <f>COUNTIFS(Resp4[Vínculo],"tecnico",Resp4[4.91],B9)</f>
        <v>1</v>
      </c>
      <c r="D9" s="4">
        <f>COUNTIFS(Resp4[Vínculo],"docente",Resp4[4.91],B9)</f>
        <v>1</v>
      </c>
      <c r="E9" s="4">
        <f>COUNTIF(Resp4[4.91],B9)</f>
        <v>2</v>
      </c>
      <c r="F9" s="4">
        <f t="shared" si="0"/>
        <v>8.33</v>
      </c>
      <c r="G9" s="3">
        <f t="shared" si="1"/>
        <v>20</v>
      </c>
    </row>
    <row r="10" spans="1:7" x14ac:dyDescent="0.25">
      <c r="B10" s="2" t="s">
        <v>30</v>
      </c>
      <c r="C10" s="4">
        <f>COUNTIFS(Resp4[Vínculo],"tecnico",Resp4[4.91],B10)</f>
        <v>0</v>
      </c>
      <c r="D10" s="4">
        <f>COUNTIFS(Resp4[Vínculo],"docente",Resp4[4.91],B10)</f>
        <v>1</v>
      </c>
      <c r="E10" s="4">
        <f>COUNTIF(Resp4[4.91],B10)</f>
        <v>1</v>
      </c>
      <c r="F10" s="4">
        <f t="shared" si="0"/>
        <v>4.17</v>
      </c>
      <c r="G10" s="3">
        <f t="shared" si="1"/>
        <v>10</v>
      </c>
    </row>
    <row r="11" spans="1:7" x14ac:dyDescent="0.25">
      <c r="B11" s="2" t="s">
        <v>200</v>
      </c>
      <c r="C11" s="4">
        <f>COUNTIFS(Resp4[Vínculo],"tecnico",Resp4[4.91],B11)</f>
        <v>1</v>
      </c>
      <c r="D11" s="4">
        <f>COUNTIFS(Resp4[Vínculo],"docente",Resp4[4.91],B11)</f>
        <v>2</v>
      </c>
      <c r="E11" s="4">
        <f>COUNTIF(Resp4[4.91],B11)</f>
        <v>3</v>
      </c>
      <c r="F11" s="4">
        <f t="shared" si="0"/>
        <v>12.5</v>
      </c>
      <c r="G11" s="3">
        <f t="shared" si="1"/>
        <v>30</v>
      </c>
    </row>
    <row r="12" spans="1:7" x14ac:dyDescent="0.25">
      <c r="B12" s="7" t="s">
        <v>197</v>
      </c>
      <c r="C12" s="4">
        <f>COUNTIFS(Resp4[Vínculo],"tecnico",Resp4[4.91],B12)</f>
        <v>0</v>
      </c>
      <c r="D12" s="4">
        <f>COUNTIFS(Resp4[Vínculo],"docente",Resp4[4.91],B12)</f>
        <v>1</v>
      </c>
      <c r="E12" s="4">
        <f>COUNTIF(Resp4[4.91],B12)</f>
        <v>1</v>
      </c>
      <c r="F12" s="22">
        <f t="shared" si="0"/>
        <v>4.17</v>
      </c>
      <c r="G12" s="3">
        <f t="shared" si="1"/>
        <v>10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50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25</v>
      </c>
    </row>
    <row r="26" spans="2:7" x14ac:dyDescent="0.25">
      <c r="B26" s="16" t="s">
        <v>203</v>
      </c>
      <c r="C26" s="16" t="s">
        <v>23</v>
      </c>
      <c r="D26" s="14">
        <f>D7</f>
        <v>2</v>
      </c>
      <c r="E26" s="15">
        <f>ROUND(D26/SUM(D$25:D$28)*100,3)</f>
        <v>25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12.5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37.5</v>
      </c>
    </row>
  </sheetData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.85546875" style="2" customWidth="1"/>
    <col min="3" max="3" width="21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148</v>
      </c>
    </row>
    <row r="2" spans="1:7" x14ac:dyDescent="0.25">
      <c r="A2" s="2" t="str">
        <f>TEXT(A1,"0.00")</f>
        <v>4.92</v>
      </c>
      <c r="B2" s="2" t="str">
        <f>VLOOKUP(A$2,Eixo4[],3,FALSE)</f>
        <v>Com relação ao programa de pós-graduação onde você atua majoritariamente, avalie os seguintes itens: [Planejamento]</v>
      </c>
    </row>
    <row r="3" spans="1:7" x14ac:dyDescent="0.25">
      <c r="A3" s="2" t="s">
        <v>494</v>
      </c>
      <c r="B3" s="2" t="str">
        <f>VLOOKUP(A$2,Eixo4[],4,FALSE)</f>
        <v>Eixo 4: Questão 92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6</v>
      </c>
      <c r="E6" s="4">
        <f>E13-SUM(E7:E12)</f>
        <v>15</v>
      </c>
      <c r="F6" s="4">
        <f>ROUND($E6/E$13*100,2)</f>
        <v>62.5</v>
      </c>
    </row>
    <row r="7" spans="1:7" x14ac:dyDescent="0.25">
      <c r="B7" s="2" t="s">
        <v>203</v>
      </c>
      <c r="C7" s="4">
        <f>COUNTIFS(Resp4[Vínculo],"tecnico",Resp4[4.92],B7)</f>
        <v>0</v>
      </c>
      <c r="D7" s="4">
        <f>COUNTIFS(Resp4[Vínculo],"docente",Resp4[4.92],B7)</f>
        <v>0</v>
      </c>
      <c r="E7" s="4">
        <f>COUNTIF(Resp4[4.92],B7)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COUNTIFS(Resp4[Vínculo],"tecnico",Resp4[4.92],B8)</f>
        <v>0</v>
      </c>
      <c r="D8" s="4">
        <f>COUNTIFS(Resp4[Vínculo],"docente",Resp4[4.92],B8)</f>
        <v>0</v>
      </c>
      <c r="E8" s="4">
        <f>COUNTIF(Resp4[4.92],B8)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COUNTIFS(Resp4[Vínculo],"tecnico",Resp4[4.92],B9)</f>
        <v>0</v>
      </c>
      <c r="D9" s="4">
        <f>COUNTIFS(Resp4[Vínculo],"docente",Resp4[4.92],B9)</f>
        <v>0</v>
      </c>
      <c r="E9" s="4">
        <f>COUNTIF(Resp4[4.92],B9)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COUNTIFS(Resp4[Vínculo],"tecnico",Resp4[4.92],B10)</f>
        <v>1</v>
      </c>
      <c r="D10" s="4">
        <f>COUNTIFS(Resp4[Vínculo],"docente",Resp4[4.92],B10)</f>
        <v>2</v>
      </c>
      <c r="E10" s="4">
        <f>COUNTIF(Resp4[4.92],B10)</f>
        <v>3</v>
      </c>
      <c r="F10" s="4">
        <f t="shared" si="0"/>
        <v>12.5</v>
      </c>
      <c r="G10" s="3">
        <f t="shared" si="1"/>
        <v>33.332999999999998</v>
      </c>
    </row>
    <row r="11" spans="1:7" x14ac:dyDescent="0.25">
      <c r="B11" s="2" t="s">
        <v>200</v>
      </c>
      <c r="C11" s="4">
        <f>COUNTIFS(Resp4[Vínculo],"tecnico",Resp4[4.92],B11)</f>
        <v>1</v>
      </c>
      <c r="D11" s="4">
        <f>COUNTIFS(Resp4[Vínculo],"docente",Resp4[4.92],B11)</f>
        <v>3</v>
      </c>
      <c r="E11" s="4">
        <f>COUNTIF(Resp4[4.92],B11)</f>
        <v>4</v>
      </c>
      <c r="F11" s="4">
        <f t="shared" si="0"/>
        <v>16.670000000000002</v>
      </c>
      <c r="G11" s="3">
        <f t="shared" si="1"/>
        <v>44.444000000000003</v>
      </c>
    </row>
    <row r="12" spans="1:7" x14ac:dyDescent="0.25">
      <c r="B12" s="7" t="s">
        <v>197</v>
      </c>
      <c r="C12" s="4">
        <f>COUNTIFS(Resp4[Vínculo],"tecnico",Resp4[4.92],B12)</f>
        <v>0</v>
      </c>
      <c r="D12" s="4">
        <f>COUNTIFS(Resp4[Vínculo],"docente",Resp4[4.92],B12)</f>
        <v>2</v>
      </c>
      <c r="E12" s="4">
        <f>COUNTIF(Resp4[4.92],B12)</f>
        <v>2</v>
      </c>
      <c r="F12" s="22">
        <f t="shared" si="0"/>
        <v>8.33</v>
      </c>
      <c r="G12" s="3">
        <f t="shared" si="1"/>
        <v>22.222000000000001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28.571000000000002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71.429000000000002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.28515625" style="2" customWidth="1"/>
    <col min="3" max="3" width="19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59</v>
      </c>
    </row>
    <row r="2" spans="1:7" x14ac:dyDescent="0.25">
      <c r="A2" s="2" t="str">
        <f>TEXT(A1,"0.00")</f>
        <v>4.03</v>
      </c>
      <c r="B2" s="2" t="str">
        <f>VLOOKUP(A$2,Eixo4[],3,FALSE)</f>
        <v>Com relação ao ensino da graduação, avalie: [As práticas pedagógicas que facilitam o processo participativo de construção do conhecimento]</v>
      </c>
    </row>
    <row r="3" spans="1:7" x14ac:dyDescent="0.25">
      <c r="A3" s="2" t="s">
        <v>494</v>
      </c>
      <c r="B3" s="2" t="str">
        <f>VLOOKUP(A$2,Eixo4[],4,FALSE)</f>
        <v>Eixo 4: Questão 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0</v>
      </c>
      <c r="E6" s="4">
        <f>E13-SUM(E7:E12)</f>
        <v>9</v>
      </c>
      <c r="F6" s="4">
        <f t="shared" ref="F6:F13" si="0">ROUND($E6/E$13*100,2)</f>
        <v>37.5</v>
      </c>
    </row>
    <row r="7" spans="1:7" x14ac:dyDescent="0.25">
      <c r="B7" s="2" t="s">
        <v>203</v>
      </c>
      <c r="C7" s="4">
        <f>COUNTIFS(Resp4[Vínculo],"tecnico",Resp4[4.03],B7)</f>
        <v>0</v>
      </c>
      <c r="D7" s="4">
        <f>COUNTIFS(Resp4[Vínculo],"docente",Resp4[4.03],B7)</f>
        <v>0</v>
      </c>
      <c r="E7" s="4">
        <f>COUNTIF(Resp4[4.03],B7)</f>
        <v>0</v>
      </c>
      <c r="F7" s="4">
        <f t="shared" si="0"/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COUNTIFS(Resp4[Vínculo],"tecnico",Resp4[4.03],B8)</f>
        <v>0</v>
      </c>
      <c r="D8" s="4">
        <f>COUNTIFS(Resp4[Vínculo],"docente",Resp4[4.03],B8)</f>
        <v>0</v>
      </c>
      <c r="E8" s="4">
        <f>COUNTIF(Resp4[4.03],B8)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COUNTIFS(Resp4[Vínculo],"tecnico",Resp4[4.03],B9)</f>
        <v>1</v>
      </c>
      <c r="D9" s="4">
        <f>COUNTIFS(Resp4[Vínculo],"docente",Resp4[4.03],B9)</f>
        <v>0</v>
      </c>
      <c r="E9" s="4">
        <f>COUNTIF(Resp4[4.03],B9)</f>
        <v>1</v>
      </c>
      <c r="F9" s="4">
        <f t="shared" si="0"/>
        <v>4.17</v>
      </c>
      <c r="G9" s="3">
        <f t="shared" si="1"/>
        <v>6.6669999999999998</v>
      </c>
    </row>
    <row r="10" spans="1:7" x14ac:dyDescent="0.25">
      <c r="B10" s="2" t="s">
        <v>30</v>
      </c>
      <c r="C10" s="4">
        <f>COUNTIFS(Resp4[Vínculo],"tecnico",Resp4[4.03],B10)</f>
        <v>1</v>
      </c>
      <c r="D10" s="4">
        <f>COUNTIFS(Resp4[Vínculo],"docente",Resp4[4.03],B10)</f>
        <v>3</v>
      </c>
      <c r="E10" s="4">
        <f>COUNTIF(Resp4[4.03],B10)</f>
        <v>4</v>
      </c>
      <c r="F10" s="4">
        <f t="shared" si="0"/>
        <v>16.670000000000002</v>
      </c>
      <c r="G10" s="3">
        <f t="shared" si="1"/>
        <v>26.667000000000002</v>
      </c>
    </row>
    <row r="11" spans="1:7" x14ac:dyDescent="0.25">
      <c r="B11" s="2" t="s">
        <v>200</v>
      </c>
      <c r="C11" s="4">
        <f>COUNTIFS(Resp4[Vínculo],"tecnico",Resp4[4.03],B11)</f>
        <v>0</v>
      </c>
      <c r="D11" s="4">
        <f>COUNTIFS(Resp4[Vínculo],"docente",Resp4[4.03],B11)</f>
        <v>7</v>
      </c>
      <c r="E11" s="4">
        <f>COUNTIF(Resp4[4.03],B11)</f>
        <v>7</v>
      </c>
      <c r="F11" s="4">
        <f t="shared" si="0"/>
        <v>29.17</v>
      </c>
      <c r="G11" s="3">
        <f t="shared" si="1"/>
        <v>46.667000000000002</v>
      </c>
    </row>
    <row r="12" spans="1:7" x14ac:dyDescent="0.25">
      <c r="B12" s="7" t="s">
        <v>197</v>
      </c>
      <c r="C12" s="4">
        <f>COUNTIFS(Resp4[Vínculo],"tecnico",Resp4[4.03],B12)</f>
        <v>0</v>
      </c>
      <c r="D12" s="4">
        <f>COUNTIFS(Resp4[Vínculo],"docente",Resp4[4.03],B12)</f>
        <v>3</v>
      </c>
      <c r="E12" s="4">
        <f>COUNTIF(Resp4[4.03],B12)</f>
        <v>3</v>
      </c>
      <c r="F12" s="22">
        <f t="shared" si="0"/>
        <v>12.5</v>
      </c>
      <c r="G12" s="3">
        <f t="shared" si="1"/>
        <v>20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50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23.077000000000002</v>
      </c>
    </row>
    <row r="28" spans="2:7" x14ac:dyDescent="0.25">
      <c r="B28" s="32" t="s">
        <v>33</v>
      </c>
      <c r="C28" s="32" t="s">
        <v>32</v>
      </c>
      <c r="D28" s="18">
        <f>SUM(D11:D12)</f>
        <v>10</v>
      </c>
      <c r="E28" s="19">
        <f>ROUND(D28/SUM(D$25:D$28)*100,3)</f>
        <v>76.923000000000002</v>
      </c>
    </row>
  </sheetData>
  <pageMargins left="0.7" right="0.7" top="0.75" bottom="0.75" header="0.3" footer="0.3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2.42578125" style="2" customWidth="1"/>
    <col min="3" max="3" width="29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149</v>
      </c>
    </row>
    <row r="2" spans="1:7" x14ac:dyDescent="0.25">
      <c r="A2" s="2" t="str">
        <f>TEXT(A1,"0.00")</f>
        <v>4.93</v>
      </c>
      <c r="B2" s="2" t="str">
        <f>VLOOKUP(A$2,Eixo4[],3,FALSE)</f>
        <v>Com relação ao programa de pós-graduação onde você atua majoritariamente, avalie os seguintes itens: [Processo Seletivo de Bolsas]</v>
      </c>
    </row>
    <row r="3" spans="1:7" x14ac:dyDescent="0.25">
      <c r="A3" s="2" t="s">
        <v>494</v>
      </c>
      <c r="B3" s="2" t="str">
        <f>VLOOKUP(A$2,Eixo4[],4,FALSE)</f>
        <v>Eixo 4: Questão 93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6</v>
      </c>
      <c r="E6" s="4">
        <f>E13-SUM(E7:E12)</f>
        <v>15</v>
      </c>
      <c r="F6" s="4">
        <f>ROUND($E6/E$13*100,2)</f>
        <v>62.5</v>
      </c>
    </row>
    <row r="7" spans="1:7" x14ac:dyDescent="0.25">
      <c r="B7" s="2" t="s">
        <v>203</v>
      </c>
      <c r="C7" s="4">
        <f>COUNTIFS(Resp4[Vínculo],"tecnico",Resp4[4.93],B7)</f>
        <v>0</v>
      </c>
      <c r="D7" s="4">
        <f>COUNTIFS(Resp4[Vínculo],"docente",Resp4[4.93],B7)</f>
        <v>1</v>
      </c>
      <c r="E7" s="4">
        <f>COUNTIF(Resp4[4.93],B7)</f>
        <v>1</v>
      </c>
      <c r="F7" s="4">
        <f t="shared" ref="F7:F13" si="0">ROUND($E7/E$13*100,2)</f>
        <v>4.17</v>
      </c>
      <c r="G7" s="3">
        <f t="shared" ref="G7:G12" si="1">ROUND($E7/SUM($E$7:$E$12)*100,3)</f>
        <v>11.111000000000001</v>
      </c>
    </row>
    <row r="8" spans="1:7" x14ac:dyDescent="0.25">
      <c r="B8" s="2" t="s">
        <v>204</v>
      </c>
      <c r="C8" s="4">
        <f>COUNTIFS(Resp4[Vínculo],"tecnico",Resp4[4.93],B8)</f>
        <v>0</v>
      </c>
      <c r="D8" s="4">
        <f>COUNTIFS(Resp4[Vínculo],"docente",Resp4[4.93],B8)</f>
        <v>0</v>
      </c>
      <c r="E8" s="4">
        <f>COUNTIF(Resp4[4.93],B8)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COUNTIFS(Resp4[Vínculo],"tecnico",Resp4[4.93],B9)</f>
        <v>0</v>
      </c>
      <c r="D9" s="4">
        <f>COUNTIFS(Resp4[Vínculo],"docente",Resp4[4.93],B9)</f>
        <v>0</v>
      </c>
      <c r="E9" s="4">
        <f>COUNTIF(Resp4[4.93],B9)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COUNTIFS(Resp4[Vínculo],"tecnico",Resp4[4.93],B10)</f>
        <v>0</v>
      </c>
      <c r="D10" s="4">
        <f>COUNTIFS(Resp4[Vínculo],"docente",Resp4[4.93],B10)</f>
        <v>3</v>
      </c>
      <c r="E10" s="4">
        <f>COUNTIF(Resp4[4.93],B10)</f>
        <v>3</v>
      </c>
      <c r="F10" s="4">
        <f t="shared" si="0"/>
        <v>12.5</v>
      </c>
      <c r="G10" s="3">
        <f t="shared" si="1"/>
        <v>33.332999999999998</v>
      </c>
    </row>
    <row r="11" spans="1:7" x14ac:dyDescent="0.25">
      <c r="B11" s="2" t="s">
        <v>200</v>
      </c>
      <c r="C11" s="4">
        <f>COUNTIFS(Resp4[Vínculo],"tecnico",Resp4[4.93],B11)</f>
        <v>2</v>
      </c>
      <c r="D11" s="4">
        <f>COUNTIFS(Resp4[Vínculo],"docente",Resp4[4.93],B11)</f>
        <v>2</v>
      </c>
      <c r="E11" s="4">
        <f>COUNTIF(Resp4[4.93],B11)</f>
        <v>4</v>
      </c>
      <c r="F11" s="4">
        <f t="shared" si="0"/>
        <v>16.670000000000002</v>
      </c>
      <c r="G11" s="3">
        <f t="shared" si="1"/>
        <v>44.444000000000003</v>
      </c>
    </row>
    <row r="12" spans="1:7" x14ac:dyDescent="0.25">
      <c r="B12" s="7" t="s">
        <v>197</v>
      </c>
      <c r="C12" s="4">
        <f>COUNTIFS(Resp4[Vínculo],"tecnico",Resp4[4.93],B12)</f>
        <v>0</v>
      </c>
      <c r="D12" s="4">
        <f>COUNTIFS(Resp4[Vínculo],"docente",Resp4[4.93],B12)</f>
        <v>1</v>
      </c>
      <c r="E12" s="4">
        <f>COUNTIF(Resp4[4.93],B12)</f>
        <v>1</v>
      </c>
      <c r="F12" s="22">
        <f t="shared" si="0"/>
        <v>4.17</v>
      </c>
      <c r="G12" s="3">
        <f t="shared" si="1"/>
        <v>11.111000000000001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4">
        <f t="shared" si="0"/>
        <v>100</v>
      </c>
      <c r="G13" s="9">
        <f>SUM(G7:G12)</f>
        <v>99.999000000000009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203</v>
      </c>
      <c r="C26" s="16" t="s">
        <v>23</v>
      </c>
      <c r="D26" s="14">
        <f>D7</f>
        <v>1</v>
      </c>
      <c r="E26" s="15">
        <f>ROUND(D26/SUM(D$25:D$28)*100,3)</f>
        <v>14.286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42.856999999999999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42.856999999999999</v>
      </c>
    </row>
  </sheetData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.85546875" style="2" customWidth="1"/>
    <col min="3" max="3" width="27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150</v>
      </c>
    </row>
    <row r="2" spans="1:7" x14ac:dyDescent="0.25">
      <c r="A2" s="2" t="str">
        <f>TEXT(A1,"0.00")</f>
        <v>4.94</v>
      </c>
      <c r="B2" s="2" t="str">
        <f>VLOOKUP(A$2,Eixo4[],3,FALSE)</f>
        <v>Com relação ao programa de pós-graduação onde você atua majoritariamente, avalie os seguintes itens: [Disponibilidade de Bolsas]</v>
      </c>
    </row>
    <row r="3" spans="1:7" x14ac:dyDescent="0.25">
      <c r="A3" s="2" t="s">
        <v>494</v>
      </c>
      <c r="B3" s="2" t="str">
        <f>VLOOKUP(A$2,Eixo4[],4,FALSE)</f>
        <v>Eixo 4: Questão 94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6</v>
      </c>
      <c r="E6" s="4">
        <f>E13-SUM(E7:E12)</f>
        <v>15</v>
      </c>
      <c r="F6" s="4">
        <f>ROUND($E6/E$13*100,2)</f>
        <v>62.5</v>
      </c>
    </row>
    <row r="7" spans="1:7" x14ac:dyDescent="0.25">
      <c r="B7" s="2" t="s">
        <v>203</v>
      </c>
      <c r="C7" s="4">
        <f>COUNTIFS(Resp4[Vínculo],"tecnico",Resp4[4.94],B7)</f>
        <v>0</v>
      </c>
      <c r="D7" s="4">
        <f>COUNTIFS(Resp4[Vínculo],"docente",Resp4[4.94],B7)</f>
        <v>0</v>
      </c>
      <c r="E7" s="4">
        <f>COUNTIF(Resp4[4.94],B7)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COUNTIFS(Resp4[Vínculo],"tecnico",Resp4[4.94],B8)</f>
        <v>0</v>
      </c>
      <c r="D8" s="4">
        <f>COUNTIFS(Resp4[Vínculo],"docente",Resp4[4.94],B8)</f>
        <v>2</v>
      </c>
      <c r="E8" s="4">
        <f>COUNTIF(Resp4[4.94],B8)</f>
        <v>2</v>
      </c>
      <c r="F8" s="4">
        <f t="shared" si="0"/>
        <v>8.33</v>
      </c>
      <c r="G8" s="3">
        <f t="shared" si="1"/>
        <v>22.222000000000001</v>
      </c>
    </row>
    <row r="9" spans="1:7" x14ac:dyDescent="0.25">
      <c r="B9" s="2" t="s">
        <v>202</v>
      </c>
      <c r="C9" s="4">
        <f>COUNTIFS(Resp4[Vínculo],"tecnico",Resp4[4.94],B9)</f>
        <v>0</v>
      </c>
      <c r="D9" s="4">
        <f>COUNTIFS(Resp4[Vínculo],"docente",Resp4[4.94],B9)</f>
        <v>3</v>
      </c>
      <c r="E9" s="4">
        <f>COUNTIF(Resp4[4.94],B9)</f>
        <v>3</v>
      </c>
      <c r="F9" s="4">
        <f t="shared" si="0"/>
        <v>12.5</v>
      </c>
      <c r="G9" s="3">
        <f t="shared" si="1"/>
        <v>33.332999999999998</v>
      </c>
    </row>
    <row r="10" spans="1:7" x14ac:dyDescent="0.25">
      <c r="B10" s="2" t="s">
        <v>30</v>
      </c>
      <c r="C10" s="4">
        <f>COUNTIFS(Resp4[Vínculo],"tecnico",Resp4[4.94],B10)</f>
        <v>1</v>
      </c>
      <c r="D10" s="4">
        <f>COUNTIFS(Resp4[Vínculo],"docente",Resp4[4.94],B10)</f>
        <v>1</v>
      </c>
      <c r="E10" s="4">
        <f>COUNTIF(Resp4[4.94],B10)</f>
        <v>2</v>
      </c>
      <c r="F10" s="4">
        <f t="shared" si="0"/>
        <v>8.33</v>
      </c>
      <c r="G10" s="3">
        <f t="shared" si="1"/>
        <v>22.222000000000001</v>
      </c>
    </row>
    <row r="11" spans="1:7" x14ac:dyDescent="0.25">
      <c r="B11" s="2" t="s">
        <v>200</v>
      </c>
      <c r="C11" s="4">
        <f>COUNTIFS(Resp4[Vínculo],"tecnico",Resp4[4.94],B11)</f>
        <v>1</v>
      </c>
      <c r="D11" s="4">
        <f>COUNTIFS(Resp4[Vínculo],"docente",Resp4[4.94],B11)</f>
        <v>1</v>
      </c>
      <c r="E11" s="4">
        <f>COUNTIF(Resp4[4.94],B11)</f>
        <v>2</v>
      </c>
      <c r="F11" s="4">
        <f t="shared" si="0"/>
        <v>8.33</v>
      </c>
      <c r="G11" s="3">
        <f t="shared" si="1"/>
        <v>22.222000000000001</v>
      </c>
    </row>
    <row r="12" spans="1:7" x14ac:dyDescent="0.25">
      <c r="B12" s="7" t="s">
        <v>197</v>
      </c>
      <c r="C12" s="4">
        <f>COUNTIFS(Resp4[Vínculo],"tecnico",Resp4[4.94],B12)</f>
        <v>0</v>
      </c>
      <c r="D12" s="4">
        <f>COUNTIFS(Resp4[Vínculo],"docente",Resp4[4.94],B12)</f>
        <v>0</v>
      </c>
      <c r="E12" s="4">
        <f>COUNTIF(Resp4[4.94],B12)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5</v>
      </c>
      <c r="E25" s="15">
        <f>ROUND(D25/SUM(D$25:D$28)*100,3)</f>
        <v>71.429000000000002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14.286</v>
      </c>
    </row>
    <row r="28" spans="2:7" x14ac:dyDescent="0.25">
      <c r="B28" s="32" t="s">
        <v>33</v>
      </c>
      <c r="C28" s="32" t="s">
        <v>32</v>
      </c>
      <c r="D28" s="18">
        <f>SUM(D11:D12)</f>
        <v>1</v>
      </c>
      <c r="E28" s="19">
        <f>ROUND(D28/SUM(D$25:D$28)*100,3)</f>
        <v>14.286</v>
      </c>
    </row>
  </sheetData>
  <pageMargins left="0.7" right="0.7" top="0.75" bottom="0.75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5.28515625" style="2" customWidth="1"/>
    <col min="3" max="3" width="24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151</v>
      </c>
    </row>
    <row r="2" spans="1:7" x14ac:dyDescent="0.25">
      <c r="A2" s="2" t="str">
        <f>TEXT(A1,"0.00")</f>
        <v>4.95</v>
      </c>
      <c r="B2" s="2" t="str">
        <f>VLOOKUP(A$2,Eixo4[],3,FALSE)</f>
        <v>Com relação ao programa de pós-graduação onde você atua majoritariamente, avalie os seguintes itens: [Disponibilidade de disciplinas compatíveis com os créditos exigidos]</v>
      </c>
    </row>
    <row r="3" spans="1:7" x14ac:dyDescent="0.25">
      <c r="A3" s="2" t="s">
        <v>494</v>
      </c>
      <c r="B3" s="2" t="str">
        <f>VLOOKUP(A$2,Eixo4[],4,FALSE)</f>
        <v>Eixo 4: Questão 95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6</v>
      </c>
      <c r="E6" s="4">
        <f>E13-SUM(E7:E12)</f>
        <v>15</v>
      </c>
      <c r="F6" s="4">
        <f>ROUND($E6/E$13*100,2)</f>
        <v>62.5</v>
      </c>
    </row>
    <row r="7" spans="1:7" x14ac:dyDescent="0.25">
      <c r="B7" s="2" t="s">
        <v>203</v>
      </c>
      <c r="C7" s="4">
        <f>COUNTIFS(Resp4[Vínculo],"tecnico",Resp4[4.95],B7)</f>
        <v>0</v>
      </c>
      <c r="D7" s="4">
        <f>COUNTIFS(Resp4[Vínculo],"docente",Resp4[4.95],B7)</f>
        <v>0</v>
      </c>
      <c r="E7" s="4">
        <f>COUNTIF(Resp4[4.95],B7)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COUNTIFS(Resp4[Vínculo],"tecnico",Resp4[4.95],B8)</f>
        <v>0</v>
      </c>
      <c r="D8" s="4">
        <f>COUNTIFS(Resp4[Vínculo],"docente",Resp4[4.95],B8)</f>
        <v>0</v>
      </c>
      <c r="E8" s="4">
        <f>COUNTIF(Resp4[4.95],B8)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COUNTIFS(Resp4[Vínculo],"tecnico",Resp4[4.95],B9)</f>
        <v>0</v>
      </c>
      <c r="D9" s="4">
        <f>COUNTIFS(Resp4[Vínculo],"docente",Resp4[4.95],B9)</f>
        <v>1</v>
      </c>
      <c r="E9" s="4">
        <f>COUNTIF(Resp4[4.95],B9)</f>
        <v>1</v>
      </c>
      <c r="F9" s="4">
        <f t="shared" si="0"/>
        <v>4.17</v>
      </c>
      <c r="G9" s="3">
        <f t="shared" si="1"/>
        <v>11.111000000000001</v>
      </c>
    </row>
    <row r="10" spans="1:7" x14ac:dyDescent="0.25">
      <c r="B10" s="2" t="s">
        <v>30</v>
      </c>
      <c r="C10" s="4">
        <f>COUNTIFS(Resp4[Vínculo],"tecnico",Resp4[4.95],B10)</f>
        <v>1</v>
      </c>
      <c r="D10" s="4">
        <f>COUNTIFS(Resp4[Vínculo],"docente",Resp4[4.95],B10)</f>
        <v>1</v>
      </c>
      <c r="E10" s="4">
        <f>COUNTIF(Resp4[4.95],B10)</f>
        <v>2</v>
      </c>
      <c r="F10" s="4">
        <f t="shared" si="0"/>
        <v>8.33</v>
      </c>
      <c r="G10" s="3">
        <f t="shared" si="1"/>
        <v>22.222000000000001</v>
      </c>
    </row>
    <row r="11" spans="1:7" x14ac:dyDescent="0.25">
      <c r="B11" s="2" t="s">
        <v>200</v>
      </c>
      <c r="C11" s="4">
        <f>COUNTIFS(Resp4[Vínculo],"tecnico",Resp4[4.95],B11)</f>
        <v>0</v>
      </c>
      <c r="D11" s="4">
        <f>COUNTIFS(Resp4[Vínculo],"docente",Resp4[4.95],B11)</f>
        <v>3</v>
      </c>
      <c r="E11" s="4">
        <f>COUNTIF(Resp4[4.95],B11)</f>
        <v>3</v>
      </c>
      <c r="F11" s="4">
        <f t="shared" si="0"/>
        <v>12.5</v>
      </c>
      <c r="G11" s="3">
        <f t="shared" si="1"/>
        <v>33.332999999999998</v>
      </c>
    </row>
    <row r="12" spans="1:7" x14ac:dyDescent="0.25">
      <c r="B12" s="7" t="s">
        <v>197</v>
      </c>
      <c r="C12" s="4">
        <f>COUNTIFS(Resp4[Vínculo],"tecnico",Resp4[4.95],B12)</f>
        <v>1</v>
      </c>
      <c r="D12" s="4">
        <f>COUNTIFS(Resp4[Vínculo],"docente",Resp4[4.95],B12)</f>
        <v>2</v>
      </c>
      <c r="E12" s="4">
        <f>COUNTIF(Resp4[4.95],B12)</f>
        <v>3</v>
      </c>
      <c r="F12" s="22">
        <f t="shared" si="0"/>
        <v>12.5</v>
      </c>
      <c r="G12" s="3">
        <f t="shared" si="1"/>
        <v>33.332999999999998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14.286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14.286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71.429000000000002</v>
      </c>
    </row>
  </sheetData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6.42578125" style="2" customWidth="1"/>
    <col min="3" max="3" width="22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152</v>
      </c>
    </row>
    <row r="2" spans="1:7" x14ac:dyDescent="0.25">
      <c r="A2" s="2" t="str">
        <f>TEXT(A1,"0.00")</f>
        <v>4.96</v>
      </c>
      <c r="B2" s="2" t="str">
        <f>VLOOKUP(A$2,Eixo4[],3,FALSE)</f>
        <v>Com relação ao programa de pós-graduação onde você atua majoritariamente, avalie os seguintes itens: [Pertinência das disciplinas com a área]</v>
      </c>
    </row>
    <row r="3" spans="1:7" x14ac:dyDescent="0.25">
      <c r="A3" s="2" t="s">
        <v>494</v>
      </c>
      <c r="B3" s="2" t="str">
        <f>VLOOKUP(A$2,Eixo4[],4,FALSE)</f>
        <v>Eixo 4: Questão 96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6</v>
      </c>
      <c r="E6" s="4">
        <f>E13-SUM(E7:E12)</f>
        <v>15</v>
      </c>
      <c r="F6" s="4">
        <f>ROUND($E6/E$13*100,2)</f>
        <v>62.5</v>
      </c>
    </row>
    <row r="7" spans="1:7" x14ac:dyDescent="0.25">
      <c r="B7" s="2" t="s">
        <v>203</v>
      </c>
      <c r="C7" s="4">
        <f>COUNTIFS(Resp4[Vínculo],"tecnico",Resp4[4.96],B7)</f>
        <v>0</v>
      </c>
      <c r="D7" s="4">
        <f>COUNTIFS(Resp4[Vínculo],"docente",Resp4[4.96],B7)</f>
        <v>0</v>
      </c>
      <c r="E7" s="4">
        <f>COUNTIF(Resp4[4.96],B7)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COUNTIFS(Resp4[Vínculo],"tecnico",Resp4[4.96],B8)</f>
        <v>0</v>
      </c>
      <c r="D8" s="4">
        <f>COUNTIFS(Resp4[Vínculo],"docente",Resp4[4.96],B8)</f>
        <v>0</v>
      </c>
      <c r="E8" s="4">
        <f>COUNTIF(Resp4[4.96],B8)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COUNTIFS(Resp4[Vínculo],"tecnico",Resp4[4.96],B9)</f>
        <v>0</v>
      </c>
      <c r="D9" s="4">
        <f>COUNTIFS(Resp4[Vínculo],"docente",Resp4[4.96],B9)</f>
        <v>1</v>
      </c>
      <c r="E9" s="4">
        <f>COUNTIF(Resp4[4.96],B9)</f>
        <v>1</v>
      </c>
      <c r="F9" s="4">
        <f t="shared" si="0"/>
        <v>4.17</v>
      </c>
      <c r="G9" s="3">
        <f t="shared" si="1"/>
        <v>11.111000000000001</v>
      </c>
    </row>
    <row r="10" spans="1:7" x14ac:dyDescent="0.25">
      <c r="B10" s="2" t="s">
        <v>30</v>
      </c>
      <c r="C10" s="4">
        <f>COUNTIFS(Resp4[Vínculo],"tecnico",Resp4[4.96],B10)</f>
        <v>1</v>
      </c>
      <c r="D10" s="4">
        <f>COUNTIFS(Resp4[Vínculo],"docente",Resp4[4.96],B10)</f>
        <v>1</v>
      </c>
      <c r="E10" s="4">
        <f>COUNTIF(Resp4[4.96],B10)</f>
        <v>2</v>
      </c>
      <c r="F10" s="4">
        <f t="shared" si="0"/>
        <v>8.33</v>
      </c>
      <c r="G10" s="3">
        <f t="shared" si="1"/>
        <v>22.222000000000001</v>
      </c>
    </row>
    <row r="11" spans="1:7" x14ac:dyDescent="0.25">
      <c r="B11" s="2" t="s">
        <v>200</v>
      </c>
      <c r="C11" s="4">
        <f>COUNTIFS(Resp4[Vínculo],"tecnico",Resp4[4.96],B11)</f>
        <v>1</v>
      </c>
      <c r="D11" s="4">
        <f>COUNTIFS(Resp4[Vínculo],"docente",Resp4[4.96],B11)</f>
        <v>3</v>
      </c>
      <c r="E11" s="4">
        <f>COUNTIF(Resp4[4.96],B11)</f>
        <v>4</v>
      </c>
      <c r="F11" s="4">
        <f t="shared" si="0"/>
        <v>16.670000000000002</v>
      </c>
      <c r="G11" s="3">
        <f t="shared" si="1"/>
        <v>44.444000000000003</v>
      </c>
    </row>
    <row r="12" spans="1:7" x14ac:dyDescent="0.25">
      <c r="B12" s="7" t="s">
        <v>197</v>
      </c>
      <c r="C12" s="4">
        <f>COUNTIFS(Resp4[Vínculo],"tecnico",Resp4[4.96],B12)</f>
        <v>0</v>
      </c>
      <c r="D12" s="4">
        <f>COUNTIFS(Resp4[Vínculo],"docente",Resp4[4.96],B12)</f>
        <v>2</v>
      </c>
      <c r="E12" s="4">
        <f>COUNTIF(Resp4[4.96],B12)</f>
        <v>2</v>
      </c>
      <c r="F12" s="22">
        <f t="shared" si="0"/>
        <v>8.33</v>
      </c>
      <c r="G12" s="3">
        <f t="shared" si="1"/>
        <v>22.222000000000001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14.286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14.286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71.429000000000002</v>
      </c>
    </row>
  </sheetData>
  <pageMargins left="0.7" right="0.7" top="0.75" bottom="0.75" header="0.3" footer="0.3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8.7109375" style="2" customWidth="1"/>
    <col min="3" max="3" width="17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153</v>
      </c>
    </row>
    <row r="2" spans="1:7" x14ac:dyDescent="0.25">
      <c r="A2" s="2" t="str">
        <f>TEXT(A1,"0.00")</f>
        <v>4.97</v>
      </c>
      <c r="B2" s="2" t="str">
        <f>VLOOKUP(A$2,Eixo4[],3,FALSE)</f>
        <v>Com relação ao programa de pós-graduação onde você atua majoritariamente, avalie os seguintes itens: [Aplicabilidade direta das disciplinas para a pesquisa]</v>
      </c>
    </row>
    <row r="3" spans="1:7" x14ac:dyDescent="0.25">
      <c r="A3" s="2" t="s">
        <v>494</v>
      </c>
      <c r="B3" s="2" t="str">
        <f>VLOOKUP(A$2,Eixo4[],4,FALSE)</f>
        <v>Eixo 4: Questão 97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6</v>
      </c>
      <c r="E6" s="4">
        <f>E13-SUM(E7:E12)</f>
        <v>15</v>
      </c>
      <c r="F6" s="4">
        <f>ROUND($E6/E$13*100,2)</f>
        <v>62.5</v>
      </c>
    </row>
    <row r="7" spans="1:7" x14ac:dyDescent="0.25">
      <c r="B7" s="2" t="s">
        <v>203</v>
      </c>
      <c r="C7" s="4">
        <f>COUNTIFS(Resp4[Vínculo],"tecnico",Resp4[4.97],B7)</f>
        <v>0</v>
      </c>
      <c r="D7" s="4">
        <f>COUNTIFS(Resp4[Vínculo],"docente",Resp4[4.97],B7)</f>
        <v>1</v>
      </c>
      <c r="E7" s="4">
        <f>COUNTIF(Resp4[4.97],B7)</f>
        <v>1</v>
      </c>
      <c r="F7" s="4">
        <f t="shared" ref="F7:F13" si="0">ROUND($E7/E$13*100,2)</f>
        <v>4.17</v>
      </c>
      <c r="G7" s="3">
        <f t="shared" ref="G7:G12" si="1">ROUND($E7/SUM($E$7:$E$12)*100,3)</f>
        <v>11.111000000000001</v>
      </c>
    </row>
    <row r="8" spans="1:7" x14ac:dyDescent="0.25">
      <c r="B8" s="2" t="s">
        <v>204</v>
      </c>
      <c r="C8" s="4">
        <f>COUNTIFS(Resp4[Vínculo],"tecnico",Resp4[4.97],B8)</f>
        <v>0</v>
      </c>
      <c r="D8" s="4">
        <f>COUNTIFS(Resp4[Vínculo],"docente",Resp4[4.97],B8)</f>
        <v>0</v>
      </c>
      <c r="E8" s="4">
        <f>COUNTIF(Resp4[4.97],B8)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COUNTIFS(Resp4[Vínculo],"tecnico",Resp4[4.97],B9)</f>
        <v>0</v>
      </c>
      <c r="D9" s="4">
        <f>COUNTIFS(Resp4[Vínculo],"docente",Resp4[4.97],B9)</f>
        <v>1</v>
      </c>
      <c r="E9" s="4">
        <f>COUNTIF(Resp4[4.97],B9)</f>
        <v>1</v>
      </c>
      <c r="F9" s="4">
        <f t="shared" si="0"/>
        <v>4.17</v>
      </c>
      <c r="G9" s="3">
        <f t="shared" si="1"/>
        <v>11.111000000000001</v>
      </c>
    </row>
    <row r="10" spans="1:7" x14ac:dyDescent="0.25">
      <c r="B10" s="2" t="s">
        <v>30</v>
      </c>
      <c r="C10" s="4">
        <f>COUNTIFS(Resp4[Vínculo],"tecnico",Resp4[4.97],B10)</f>
        <v>1</v>
      </c>
      <c r="D10" s="4">
        <f>COUNTIFS(Resp4[Vínculo],"docente",Resp4[4.97],B10)</f>
        <v>0</v>
      </c>
      <c r="E10" s="4">
        <f>COUNTIF(Resp4[4.97],B10)</f>
        <v>1</v>
      </c>
      <c r="F10" s="4">
        <f t="shared" si="0"/>
        <v>4.17</v>
      </c>
      <c r="G10" s="3">
        <f t="shared" si="1"/>
        <v>11.111000000000001</v>
      </c>
    </row>
    <row r="11" spans="1:7" x14ac:dyDescent="0.25">
      <c r="B11" s="2" t="s">
        <v>200</v>
      </c>
      <c r="C11" s="4">
        <f>COUNTIFS(Resp4[Vínculo],"tecnico",Resp4[4.97],B11)</f>
        <v>1</v>
      </c>
      <c r="D11" s="4">
        <f>COUNTIFS(Resp4[Vínculo],"docente",Resp4[4.97],B11)</f>
        <v>3</v>
      </c>
      <c r="E11" s="4">
        <f>COUNTIF(Resp4[4.97],B11)</f>
        <v>4</v>
      </c>
      <c r="F11" s="4">
        <f t="shared" si="0"/>
        <v>16.670000000000002</v>
      </c>
      <c r="G11" s="3">
        <f t="shared" si="1"/>
        <v>44.444000000000003</v>
      </c>
    </row>
    <row r="12" spans="1:7" x14ac:dyDescent="0.25">
      <c r="B12" s="7" t="s">
        <v>197</v>
      </c>
      <c r="C12" s="4">
        <f>COUNTIFS(Resp4[Vínculo],"tecnico",Resp4[4.97],B12)</f>
        <v>0</v>
      </c>
      <c r="D12" s="4">
        <f>COUNTIFS(Resp4[Vínculo],"docente",Resp4[4.97],B12)</f>
        <v>2</v>
      </c>
      <c r="E12" s="4">
        <f>COUNTIF(Resp4[4.97],B12)</f>
        <v>2</v>
      </c>
      <c r="F12" s="22">
        <f t="shared" si="0"/>
        <v>8.33</v>
      </c>
      <c r="G12" s="3">
        <f t="shared" si="1"/>
        <v>22.222000000000001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14.286</v>
      </c>
    </row>
    <row r="26" spans="2:7" x14ac:dyDescent="0.25">
      <c r="B26" s="16" t="s">
        <v>203</v>
      </c>
      <c r="C26" s="16" t="s">
        <v>23</v>
      </c>
      <c r="D26" s="14">
        <f>D7</f>
        <v>1</v>
      </c>
      <c r="E26" s="15">
        <f>ROUND(D26/SUM(D$25:D$28)*100,3)</f>
        <v>14.286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71.429000000000002</v>
      </c>
    </row>
  </sheetData>
  <pageMargins left="0.7" right="0.7" top="0.75" bottom="0.75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4.7109375" style="2" customWidth="1"/>
    <col min="3" max="3" width="20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154</v>
      </c>
    </row>
    <row r="2" spans="1:7" x14ac:dyDescent="0.25">
      <c r="A2" s="2" t="str">
        <f>TEXT(A1,"0.00")</f>
        <v>4.98</v>
      </c>
      <c r="B2" s="2" t="str">
        <f>VLOOKUP(A$2,Eixo4[],3,FALSE)</f>
        <v>Com relação ao programa de pós-graduação onde você atua majoritariamente, avalie os seguintes itens: [Feedback do aluno quanto às disciplinas ofertadas]</v>
      </c>
    </row>
    <row r="3" spans="1:7" x14ac:dyDescent="0.25">
      <c r="A3" s="2" t="s">
        <v>494</v>
      </c>
      <c r="B3" s="2" t="str">
        <f>VLOOKUP(A$2,Eixo4[],4,FALSE)</f>
        <v>Eixo 4: Questão 98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6</v>
      </c>
      <c r="E6" s="4">
        <f>E13-SUM(E7:E12)</f>
        <v>15</v>
      </c>
      <c r="F6" s="4">
        <f>ROUND($E6/E$13*100,2)</f>
        <v>62.5</v>
      </c>
    </row>
    <row r="7" spans="1:7" x14ac:dyDescent="0.25">
      <c r="B7" s="2" t="s">
        <v>203</v>
      </c>
      <c r="C7" s="4">
        <f>COUNTIFS(Resp4[Vínculo],"tecnico",Resp4[4.98],B7)</f>
        <v>0</v>
      </c>
      <c r="D7" s="4">
        <f>COUNTIFS(Resp4[Vínculo],"docente",Resp4[4.98],B7)</f>
        <v>1</v>
      </c>
      <c r="E7" s="4">
        <f>COUNTIF(Resp4[4.98],B7)</f>
        <v>1</v>
      </c>
      <c r="F7" s="4">
        <f t="shared" ref="F7:F13" si="0">ROUND($E7/E$13*100,2)</f>
        <v>4.17</v>
      </c>
      <c r="G7" s="3">
        <f t="shared" ref="G7:G12" si="1">ROUND($E7/SUM($E$7:$E$12)*100,3)</f>
        <v>11.111000000000001</v>
      </c>
    </row>
    <row r="8" spans="1:7" x14ac:dyDescent="0.25">
      <c r="B8" s="2" t="s">
        <v>204</v>
      </c>
      <c r="C8" s="4">
        <f>COUNTIFS(Resp4[Vínculo],"tecnico",Resp4[4.98],B8)</f>
        <v>0</v>
      </c>
      <c r="D8" s="4">
        <f>COUNTIFS(Resp4[Vínculo],"docente",Resp4[4.98],B8)</f>
        <v>0</v>
      </c>
      <c r="E8" s="4">
        <f>COUNTIF(Resp4[4.98],B8)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COUNTIFS(Resp4[Vínculo],"tecnico",Resp4[4.98],B9)</f>
        <v>0</v>
      </c>
      <c r="D9" s="4">
        <f>COUNTIFS(Resp4[Vínculo],"docente",Resp4[4.98],B9)</f>
        <v>1</v>
      </c>
      <c r="E9" s="4">
        <f>COUNTIF(Resp4[4.98],B9)</f>
        <v>1</v>
      </c>
      <c r="F9" s="4">
        <f t="shared" si="0"/>
        <v>4.17</v>
      </c>
      <c r="G9" s="3">
        <f t="shared" si="1"/>
        <v>11.111000000000001</v>
      </c>
    </row>
    <row r="10" spans="1:7" x14ac:dyDescent="0.25">
      <c r="B10" s="2" t="s">
        <v>30</v>
      </c>
      <c r="C10" s="4">
        <f>COUNTIFS(Resp4[Vínculo],"tecnico",Resp4[4.98],B10)</f>
        <v>1</v>
      </c>
      <c r="D10" s="4">
        <f>COUNTIFS(Resp4[Vínculo],"docente",Resp4[4.98],B10)</f>
        <v>3</v>
      </c>
      <c r="E10" s="4">
        <f>COUNTIF(Resp4[4.98],B10)</f>
        <v>4</v>
      </c>
      <c r="F10" s="4">
        <f t="shared" si="0"/>
        <v>16.670000000000002</v>
      </c>
      <c r="G10" s="3">
        <f t="shared" si="1"/>
        <v>44.444000000000003</v>
      </c>
    </row>
    <row r="11" spans="1:7" x14ac:dyDescent="0.25">
      <c r="B11" s="2" t="s">
        <v>200</v>
      </c>
      <c r="C11" s="4">
        <f>COUNTIFS(Resp4[Vínculo],"tecnico",Resp4[4.98],B11)</f>
        <v>1</v>
      </c>
      <c r="D11" s="4">
        <f>COUNTIFS(Resp4[Vínculo],"docente",Resp4[4.98],B11)</f>
        <v>1</v>
      </c>
      <c r="E11" s="4">
        <f>COUNTIF(Resp4[4.98],B11)</f>
        <v>2</v>
      </c>
      <c r="F11" s="4">
        <f t="shared" si="0"/>
        <v>8.33</v>
      </c>
      <c r="G11" s="3">
        <f t="shared" si="1"/>
        <v>22.222000000000001</v>
      </c>
    </row>
    <row r="12" spans="1:7" x14ac:dyDescent="0.25">
      <c r="B12" s="7" t="s">
        <v>197</v>
      </c>
      <c r="C12" s="4">
        <f>COUNTIFS(Resp4[Vínculo],"tecnico",Resp4[4.98],B12)</f>
        <v>0</v>
      </c>
      <c r="D12" s="4">
        <f>COUNTIFS(Resp4[Vínculo],"docente",Resp4[4.98],B12)</f>
        <v>1</v>
      </c>
      <c r="E12" s="4">
        <f>COUNTIF(Resp4[4.98],B12)</f>
        <v>1</v>
      </c>
      <c r="F12" s="22">
        <f t="shared" si="0"/>
        <v>4.17</v>
      </c>
      <c r="G12" s="3">
        <f t="shared" si="1"/>
        <v>11.111000000000001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4">
        <f t="shared" si="0"/>
        <v>100</v>
      </c>
      <c r="G13" s="9">
        <f>SUM(G7:G12)</f>
        <v>99.999000000000009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14.286</v>
      </c>
    </row>
    <row r="26" spans="2:7" x14ac:dyDescent="0.25">
      <c r="B26" s="16" t="s">
        <v>203</v>
      </c>
      <c r="C26" s="16" t="s">
        <v>23</v>
      </c>
      <c r="D26" s="14">
        <f>D7</f>
        <v>1</v>
      </c>
      <c r="E26" s="15">
        <f>ROUND(D26/SUM(D$25:D$28)*100,3)</f>
        <v>14.286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42.856999999999999</v>
      </c>
    </row>
    <row r="28" spans="2:7" x14ac:dyDescent="0.25">
      <c r="B28" s="32" t="s">
        <v>33</v>
      </c>
      <c r="C28" s="32" t="s">
        <v>32</v>
      </c>
      <c r="D28" s="18">
        <f>SUM(D11:D12)</f>
        <v>2</v>
      </c>
      <c r="E28" s="19">
        <f>ROUND(D28/SUM(D$25:D$28)*100,3)</f>
        <v>28.571000000000002</v>
      </c>
    </row>
  </sheetData>
  <pageMargins left="0.7" right="0.7" top="0.75" bottom="0.75" header="0.3" footer="0.3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5.5703125" style="2" customWidth="1"/>
    <col min="3" max="3" width="19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155</v>
      </c>
    </row>
    <row r="2" spans="1:7" x14ac:dyDescent="0.25">
      <c r="A2" s="2" t="str">
        <f>TEXT(A1,"0.00")</f>
        <v>4.99</v>
      </c>
      <c r="B2" s="2" t="str">
        <f>VLOOKUP(A$2,Eixo4[],3,FALSE)</f>
        <v>Com relação ao programa de pós-graduação onde você atua majoritariamente, avalie os seguintes itens: [Profundidade dos conteúdos nas disciplinas ofertadas]</v>
      </c>
    </row>
    <row r="3" spans="1:7" x14ac:dyDescent="0.25">
      <c r="A3" s="2" t="s">
        <v>494</v>
      </c>
      <c r="B3" s="2" t="str">
        <f>VLOOKUP(A$2,Eixo4[],4,FALSE)</f>
        <v>Eixo 4: Questão 99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6</v>
      </c>
      <c r="E6" s="4">
        <f>E13-SUM(E7:E12)</f>
        <v>15</v>
      </c>
      <c r="F6" s="4">
        <f>ROUND($E6/E$13*100,2)</f>
        <v>62.5</v>
      </c>
    </row>
    <row r="7" spans="1:7" x14ac:dyDescent="0.25">
      <c r="B7" s="2" t="s">
        <v>203</v>
      </c>
      <c r="C7" s="4">
        <f>COUNTIFS(Resp4[Vínculo],"tecnico",Resp4[4.99],B7)</f>
        <v>0</v>
      </c>
      <c r="D7" s="4">
        <f>COUNTIFS(Resp4[Vínculo],"docente",Resp4[4.99],B7)</f>
        <v>0</v>
      </c>
      <c r="E7" s="4">
        <f>COUNTIF(Resp4[4.99],B7)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COUNTIFS(Resp4[Vínculo],"tecnico",Resp4[4.99],B8)</f>
        <v>0</v>
      </c>
      <c r="D8" s="4">
        <f>COUNTIFS(Resp4[Vínculo],"docente",Resp4[4.99],B8)</f>
        <v>0</v>
      </c>
      <c r="E8" s="4">
        <f>COUNTIF(Resp4[4.99],B8)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COUNTIFS(Resp4[Vínculo],"tecnico",Resp4[4.99],B9)</f>
        <v>0</v>
      </c>
      <c r="D9" s="4">
        <f>COUNTIFS(Resp4[Vínculo],"docente",Resp4[4.99],B9)</f>
        <v>0</v>
      </c>
      <c r="E9" s="4">
        <f>COUNTIF(Resp4[4.99],B9)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COUNTIFS(Resp4[Vínculo],"tecnico",Resp4[4.99],B10)</f>
        <v>1</v>
      </c>
      <c r="D10" s="4">
        <f>COUNTIFS(Resp4[Vínculo],"docente",Resp4[4.99],B10)</f>
        <v>0</v>
      </c>
      <c r="E10" s="4">
        <f>COUNTIF(Resp4[4.99],B10)</f>
        <v>1</v>
      </c>
      <c r="F10" s="4">
        <f t="shared" si="0"/>
        <v>4.17</v>
      </c>
      <c r="G10" s="3">
        <f t="shared" si="1"/>
        <v>11.111000000000001</v>
      </c>
    </row>
    <row r="11" spans="1:7" x14ac:dyDescent="0.25">
      <c r="B11" s="2" t="s">
        <v>200</v>
      </c>
      <c r="C11" s="4">
        <f>COUNTIFS(Resp4[Vínculo],"tecnico",Resp4[4.99],B11)</f>
        <v>1</v>
      </c>
      <c r="D11" s="4">
        <f>COUNTIFS(Resp4[Vínculo],"docente",Resp4[4.99],B11)</f>
        <v>5</v>
      </c>
      <c r="E11" s="4">
        <f>COUNTIF(Resp4[4.99],B11)</f>
        <v>6</v>
      </c>
      <c r="F11" s="4">
        <f t="shared" si="0"/>
        <v>25</v>
      </c>
      <c r="G11" s="3">
        <f t="shared" si="1"/>
        <v>66.667000000000002</v>
      </c>
    </row>
    <row r="12" spans="1:7" x14ac:dyDescent="0.25">
      <c r="B12" s="7" t="s">
        <v>197</v>
      </c>
      <c r="C12" s="4">
        <f>COUNTIFS(Resp4[Vínculo],"tecnico",Resp4[4.99],B12)</f>
        <v>0</v>
      </c>
      <c r="D12" s="4">
        <f>COUNTIFS(Resp4[Vínculo],"docente",Resp4[4.99],B12)</f>
        <v>2</v>
      </c>
      <c r="E12" s="4">
        <f>COUNTIF(Resp4[4.99],B12)</f>
        <v>2</v>
      </c>
      <c r="F12" s="22">
        <f t="shared" si="0"/>
        <v>8.33</v>
      </c>
      <c r="G12" s="3">
        <f t="shared" si="1"/>
        <v>22.222000000000001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7</v>
      </c>
      <c r="E28" s="19">
        <f>ROUND(D28/SUM(D$25:D$28)*100,3)</f>
        <v>100</v>
      </c>
    </row>
  </sheetData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1.28515625" style="2" customWidth="1"/>
    <col min="3" max="3" width="22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4100</v>
      </c>
    </row>
    <row r="2" spans="1:7" x14ac:dyDescent="0.25">
      <c r="A2" s="2" t="str">
        <f>TEXT(A1,"0.00")</f>
        <v>4.100</v>
      </c>
      <c r="B2" s="2" t="str">
        <f>VLOOKUP(A$2,Eixo4[],3,FALSE)</f>
        <v>Com relação ao programa de pós-graduação onde você atua majoritariamente, avalie os seguintes itens: [Procedimentos usados para avaliação e feedback do desempenho discente nas disciplinas ofertadas]</v>
      </c>
    </row>
    <row r="3" spans="1:7" x14ac:dyDescent="0.25">
      <c r="A3" s="2" t="s">
        <v>494</v>
      </c>
      <c r="B3" s="2" t="str">
        <f>VLOOKUP(A$2,Eixo4[],4,FALSE)</f>
        <v>Eixo 4: Questão 100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6</v>
      </c>
      <c r="E6" s="4">
        <f>E13-SUM(E7:E12)</f>
        <v>15</v>
      </c>
      <c r="F6" s="4">
        <f>ROUND($E6/E$13*100,2)</f>
        <v>62.5</v>
      </c>
    </row>
    <row r="7" spans="1:7" x14ac:dyDescent="0.25">
      <c r="B7" s="2" t="s">
        <v>203</v>
      </c>
      <c r="C7" s="4">
        <f>COUNTIFS(Resp4[Vínculo],"tecnico",Resp4[4.100],B7)</f>
        <v>0</v>
      </c>
      <c r="D7" s="4">
        <f>COUNTIFS(Resp4[Vínculo],"docente",Resp4[4.100],B7)</f>
        <v>0</v>
      </c>
      <c r="E7" s="4">
        <f>COUNTIF(Resp4[4.100],B7)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COUNTIFS(Resp4[Vínculo],"tecnico",Resp4[4.100],B8)</f>
        <v>0</v>
      </c>
      <c r="D8" s="4">
        <f>COUNTIFS(Resp4[Vínculo],"docente",Resp4[4.100],B8)</f>
        <v>0</v>
      </c>
      <c r="E8" s="4">
        <f>COUNTIF(Resp4[4.100],B8)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COUNTIFS(Resp4[Vínculo],"tecnico",Resp4[4.100],B9)</f>
        <v>0</v>
      </c>
      <c r="D9" s="4">
        <f>COUNTIFS(Resp4[Vínculo],"docente",Resp4[4.100],B9)</f>
        <v>1</v>
      </c>
      <c r="E9" s="4">
        <f>COUNTIF(Resp4[4.100],B9)</f>
        <v>1</v>
      </c>
      <c r="F9" s="4">
        <f t="shared" si="0"/>
        <v>4.17</v>
      </c>
      <c r="G9" s="3">
        <f t="shared" si="1"/>
        <v>11.111000000000001</v>
      </c>
    </row>
    <row r="10" spans="1:7" x14ac:dyDescent="0.25">
      <c r="B10" s="2" t="s">
        <v>30</v>
      </c>
      <c r="C10" s="4">
        <f>COUNTIFS(Resp4[Vínculo],"tecnico",Resp4[4.100],B10)</f>
        <v>1</v>
      </c>
      <c r="D10" s="4">
        <f>COUNTIFS(Resp4[Vínculo],"docente",Resp4[4.100],B10)</f>
        <v>2</v>
      </c>
      <c r="E10" s="4">
        <f>COUNTIF(Resp4[4.100],B10)</f>
        <v>3</v>
      </c>
      <c r="F10" s="4">
        <f t="shared" si="0"/>
        <v>12.5</v>
      </c>
      <c r="G10" s="3">
        <f t="shared" si="1"/>
        <v>33.332999999999998</v>
      </c>
    </row>
    <row r="11" spans="1:7" x14ac:dyDescent="0.25">
      <c r="B11" s="2" t="s">
        <v>200</v>
      </c>
      <c r="C11" s="4">
        <f>COUNTIFS(Resp4[Vínculo],"tecnico",Resp4[4.100],B11)</f>
        <v>1</v>
      </c>
      <c r="D11" s="4">
        <f>COUNTIFS(Resp4[Vínculo],"docente",Resp4[4.100],B11)</f>
        <v>2</v>
      </c>
      <c r="E11" s="4">
        <f>COUNTIF(Resp4[4.100],B11)</f>
        <v>3</v>
      </c>
      <c r="F11" s="4">
        <f t="shared" si="0"/>
        <v>12.5</v>
      </c>
      <c r="G11" s="3">
        <f t="shared" si="1"/>
        <v>33.332999999999998</v>
      </c>
    </row>
    <row r="12" spans="1:7" x14ac:dyDescent="0.25">
      <c r="B12" s="7" t="s">
        <v>197</v>
      </c>
      <c r="C12" s="4">
        <f>COUNTIFS(Resp4[Vínculo],"tecnico",Resp4[4.100],B12)</f>
        <v>0</v>
      </c>
      <c r="D12" s="4">
        <f>COUNTIFS(Resp4[Vínculo],"docente",Resp4[4.100],B12)</f>
        <v>2</v>
      </c>
      <c r="E12" s="4">
        <f>COUNTIF(Resp4[4.100],B12)</f>
        <v>2</v>
      </c>
      <c r="F12" s="22">
        <f t="shared" si="0"/>
        <v>8.33</v>
      </c>
      <c r="G12" s="3">
        <f t="shared" si="1"/>
        <v>22.222000000000001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14.286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28.571000000000002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57.143000000000001</v>
      </c>
    </row>
  </sheetData>
  <pageMargins left="0.7" right="0.7" top="0.75" bottom="0.75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4.7109375" style="2" customWidth="1"/>
    <col min="3" max="3" width="19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4101</v>
      </c>
    </row>
    <row r="2" spans="1:7" x14ac:dyDescent="0.25">
      <c r="A2" s="2" t="str">
        <f>TEXT(A1,"0.00")</f>
        <v>4.101</v>
      </c>
      <c r="B2" s="2" t="str">
        <f>VLOOKUP(A$2,Eixo4[],3,FALSE)</f>
        <v>Com relação ao programa de pós-graduação onde você atua majoritariamente, avalie os seguintes itens: [Número de orientadores disponíveis no PPG]</v>
      </c>
    </row>
    <row r="3" spans="1:7" x14ac:dyDescent="0.25">
      <c r="A3" s="2" t="s">
        <v>494</v>
      </c>
      <c r="B3" s="2" t="str">
        <f>VLOOKUP(A$2,Eixo4[],4,FALSE)</f>
        <v>Eixo 4: Questão 101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6</v>
      </c>
      <c r="E6" s="4">
        <f>E13-SUM(E7:E12)</f>
        <v>15</v>
      </c>
      <c r="F6" s="4">
        <f>ROUND($E6/E$13*100,2)</f>
        <v>62.5</v>
      </c>
    </row>
    <row r="7" spans="1:7" x14ac:dyDescent="0.25">
      <c r="B7" s="2" t="s">
        <v>203</v>
      </c>
      <c r="C7" s="4">
        <f>COUNTIFS(Resp4[Vínculo],"tecnico",Resp4[4.101],B7)</f>
        <v>0</v>
      </c>
      <c r="D7" s="4">
        <f>COUNTIFS(Resp4[Vínculo],"docente",Resp4[4.101],B7)</f>
        <v>0</v>
      </c>
      <c r="E7" s="4">
        <f>COUNTIF(Resp4[4.101],B7)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204</v>
      </c>
      <c r="C8" s="4">
        <f>COUNTIFS(Resp4[Vínculo],"tecnico",Resp4[4.101],B8)</f>
        <v>0</v>
      </c>
      <c r="D8" s="4">
        <f>COUNTIFS(Resp4[Vínculo],"docente",Resp4[4.101],B8)</f>
        <v>0</v>
      </c>
      <c r="E8" s="4">
        <f>COUNTIF(Resp4[4.101],B8)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COUNTIFS(Resp4[Vínculo],"tecnico",Resp4[4.101],B9)</f>
        <v>1</v>
      </c>
      <c r="D9" s="4">
        <f>COUNTIFS(Resp4[Vínculo],"docente",Resp4[4.101],B9)</f>
        <v>0</v>
      </c>
      <c r="E9" s="4">
        <f>COUNTIF(Resp4[4.101],B9)</f>
        <v>1</v>
      </c>
      <c r="F9" s="4">
        <f t="shared" si="0"/>
        <v>4.17</v>
      </c>
      <c r="G9" s="3">
        <f t="shared" si="1"/>
        <v>11.111000000000001</v>
      </c>
    </row>
    <row r="10" spans="1:7" x14ac:dyDescent="0.25">
      <c r="B10" s="2" t="s">
        <v>30</v>
      </c>
      <c r="C10" s="4">
        <f>COUNTIFS(Resp4[Vínculo],"tecnico",Resp4[4.101],B10)</f>
        <v>0</v>
      </c>
      <c r="D10" s="4">
        <f>COUNTIFS(Resp4[Vínculo],"docente",Resp4[4.101],B10)</f>
        <v>2</v>
      </c>
      <c r="E10" s="4">
        <f>COUNTIF(Resp4[4.101],B10)</f>
        <v>2</v>
      </c>
      <c r="F10" s="4">
        <f t="shared" si="0"/>
        <v>8.33</v>
      </c>
      <c r="G10" s="3">
        <f t="shared" si="1"/>
        <v>22.222000000000001</v>
      </c>
    </row>
    <row r="11" spans="1:7" x14ac:dyDescent="0.25">
      <c r="B11" s="2" t="s">
        <v>200</v>
      </c>
      <c r="C11" s="4">
        <f>COUNTIFS(Resp4[Vínculo],"tecnico",Resp4[4.101],B11)</f>
        <v>1</v>
      </c>
      <c r="D11" s="4">
        <f>COUNTIFS(Resp4[Vínculo],"docente",Resp4[4.101],B11)</f>
        <v>3</v>
      </c>
      <c r="E11" s="4">
        <f>COUNTIF(Resp4[4.101],B11)</f>
        <v>4</v>
      </c>
      <c r="F11" s="4">
        <f t="shared" si="0"/>
        <v>16.670000000000002</v>
      </c>
      <c r="G11" s="3">
        <f t="shared" si="1"/>
        <v>44.444000000000003</v>
      </c>
    </row>
    <row r="12" spans="1:7" x14ac:dyDescent="0.25">
      <c r="B12" s="7" t="s">
        <v>197</v>
      </c>
      <c r="C12" s="4">
        <f>COUNTIFS(Resp4[Vínculo],"tecnico",Resp4[4.101],B12)</f>
        <v>0</v>
      </c>
      <c r="D12" s="4">
        <f>COUNTIFS(Resp4[Vínculo],"docente",Resp4[4.101],B12)</f>
        <v>2</v>
      </c>
      <c r="E12" s="4">
        <f>COUNTIF(Resp4[4.101],B12)</f>
        <v>2</v>
      </c>
      <c r="F12" s="22">
        <f t="shared" si="0"/>
        <v>8.33</v>
      </c>
      <c r="G12" s="3">
        <f t="shared" si="1"/>
        <v>22.222000000000001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50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203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28.571000000000002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71.429000000000002</v>
      </c>
    </row>
  </sheetData>
  <pageMargins left="0.7" right="0.7" top="0.75" bottom="0.75" header="0.3" footer="0.3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140625" style="2" customWidth="1"/>
    <col min="3" max="3" width="20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4102</v>
      </c>
    </row>
    <row r="2" spans="1:7" x14ac:dyDescent="0.25">
      <c r="A2" s="2" t="str">
        <f>TEXT(A1,"0.00")</f>
        <v>4.102</v>
      </c>
      <c r="B2" s="2" t="str">
        <f>VLOOKUP(A$2,Eixo4[],3,FALSE)</f>
        <v>Com relação ao programa de pós-graduação onde você atua majoritariamente, avalie os seguintes itens: [Conhecimento e atualização dos orientadores disponíveis]</v>
      </c>
    </row>
    <row r="3" spans="1:7" x14ac:dyDescent="0.25">
      <c r="A3" s="2" t="s">
        <v>494</v>
      </c>
      <c r="B3" s="2" t="str">
        <f>VLOOKUP(A$2,Eixo4[],4,FALSE)</f>
        <v>Eixo 4: Questão 102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9</v>
      </c>
      <c r="D6" s="2">
        <f>COUNTIF(Resp4[Vínculo],"docente")-SUM(D$7:D$12)</f>
        <v>6</v>
      </c>
      <c r="E6" s="4">
        <f>E13-SUM(E7:E12)</f>
        <v>15</v>
      </c>
      <c r="F6" s="4">
        <f>ROUND($E6/E$13*100,2)</f>
        <v>62.5</v>
      </c>
    </row>
    <row r="7" spans="1:7" x14ac:dyDescent="0.25">
      <c r="B7" s="2" t="s">
        <v>203</v>
      </c>
      <c r="C7" s="4">
        <f>COUNTIFS(Resp4[Vínculo],"tecnico",Resp4[4.102],B7)</f>
        <v>0</v>
      </c>
      <c r="D7" s="4">
        <f>COUNTIFS(Resp4[Vínculo],"docente",Resp4[4.102],B7)</f>
        <v>1</v>
      </c>
      <c r="E7" s="4">
        <f>COUNTIF(Resp4[4.102],B7)</f>
        <v>1</v>
      </c>
      <c r="F7" s="4">
        <f t="shared" ref="F7:F13" si="0">ROUND($E7/E$13*100,2)</f>
        <v>4.17</v>
      </c>
      <c r="G7" s="3">
        <f t="shared" ref="G7:G12" si="1">ROUND($E7/SUM($E$7:$E$12)*100,3)</f>
        <v>11.111000000000001</v>
      </c>
    </row>
    <row r="8" spans="1:7" x14ac:dyDescent="0.25">
      <c r="B8" s="2" t="s">
        <v>204</v>
      </c>
      <c r="C8" s="4">
        <f>COUNTIFS(Resp4[Vínculo],"tecnico",Resp4[4.102],B8)</f>
        <v>0</v>
      </c>
      <c r="D8" s="4">
        <f>COUNTIFS(Resp4[Vínculo],"docente",Resp4[4.102],B8)</f>
        <v>0</v>
      </c>
      <c r="E8" s="4">
        <f>COUNTIF(Resp4[4.102],B8)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COUNTIFS(Resp4[Vínculo],"tecnico",Resp4[4.102],B9)</f>
        <v>0</v>
      </c>
      <c r="D9" s="4">
        <f>COUNTIFS(Resp4[Vínculo],"docente",Resp4[4.102],B9)</f>
        <v>0</v>
      </c>
      <c r="E9" s="4">
        <f>COUNTIF(Resp4[4.102],B9)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COUNTIFS(Resp4[Vínculo],"tecnico",Resp4[4.102],B10)</f>
        <v>0</v>
      </c>
      <c r="D10" s="4">
        <f>COUNTIFS(Resp4[Vínculo],"docente",Resp4[4.102],B10)</f>
        <v>0</v>
      </c>
      <c r="E10" s="4">
        <f>COUNTIF(Resp4[4.102],B10)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200</v>
      </c>
      <c r="C11" s="4">
        <f>COUNTIFS(Resp4[Vínculo],"tecnico",Resp4[4.102],B11)</f>
        <v>2</v>
      </c>
      <c r="D11" s="4">
        <f>COUNTIFS(Resp4[Vínculo],"docente",Resp4[4.102],B11)</f>
        <v>4</v>
      </c>
      <c r="E11" s="4">
        <f>COUNTIF(Resp4[4.102],B11)</f>
        <v>6</v>
      </c>
      <c r="F11" s="4">
        <f t="shared" si="0"/>
        <v>25</v>
      </c>
      <c r="G11" s="3">
        <f t="shared" si="1"/>
        <v>66.667000000000002</v>
      </c>
    </row>
    <row r="12" spans="1:7" x14ac:dyDescent="0.25">
      <c r="B12" s="7" t="s">
        <v>197</v>
      </c>
      <c r="C12" s="4">
        <f>COUNTIFS(Resp4[Vínculo],"tecnico",Resp4[4.102],B12)</f>
        <v>0</v>
      </c>
      <c r="D12" s="4">
        <f>COUNTIFS(Resp4[Vínculo],"docente",Resp4[4.102],B12)</f>
        <v>2</v>
      </c>
      <c r="E12" s="4">
        <f>COUNTIF(Resp4[4.102],B12)</f>
        <v>2</v>
      </c>
      <c r="F12" s="22">
        <f t="shared" si="0"/>
        <v>8.33</v>
      </c>
      <c r="G12" s="3">
        <f t="shared" si="1"/>
        <v>22.222000000000001</v>
      </c>
    </row>
    <row r="13" spans="1:7" x14ac:dyDescent="0.25">
      <c r="B13" s="2" t="s">
        <v>502</v>
      </c>
      <c r="C13" s="8">
        <f>SUM(C6:C12)</f>
        <v>11</v>
      </c>
      <c r="D13" s="8">
        <f>SUM(D6:D12)</f>
        <v>13</v>
      </c>
      <c r="E13" s="8">
        <f>SUM(C13:D13)</f>
        <v>24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203</v>
      </c>
      <c r="C26" s="16" t="s">
        <v>23</v>
      </c>
      <c r="D26" s="14">
        <f>D7</f>
        <v>1</v>
      </c>
      <c r="E26" s="15">
        <f>ROUND(D26/SUM(D$25:D$28)*100,3)</f>
        <v>14.286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6</v>
      </c>
      <c r="E28" s="19">
        <f>ROUND(D28/SUM(D$25:D$28)*100,3)</f>
        <v>85.713999999999999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131</vt:i4>
      </vt:variant>
    </vt:vector>
  </HeadingPairs>
  <TitlesOfParts>
    <vt:vector size="131" baseType="lpstr">
      <vt:lpstr>OrientaçõesInformações</vt:lpstr>
      <vt:lpstr>Eixo 4</vt:lpstr>
      <vt:lpstr>TítuloQuestões</vt:lpstr>
      <vt:lpstr>QTPA</vt:lpstr>
      <vt:lpstr>QTPB</vt:lpstr>
      <vt:lpstr>QTPC</vt:lpstr>
      <vt:lpstr>Q4.01</vt:lpstr>
      <vt:lpstr>Q4.02</vt:lpstr>
      <vt:lpstr>Q4.03</vt:lpstr>
      <vt:lpstr>Q4.04</vt:lpstr>
      <vt:lpstr>Q4.05</vt:lpstr>
      <vt:lpstr>Q4.06</vt:lpstr>
      <vt:lpstr>Q4.07</vt:lpstr>
      <vt:lpstr>Q4.08</vt:lpstr>
      <vt:lpstr>Q4.09</vt:lpstr>
      <vt:lpstr>Q4.10</vt:lpstr>
      <vt:lpstr>Q4.11</vt:lpstr>
      <vt:lpstr>Q4.12</vt:lpstr>
      <vt:lpstr>Q4.13</vt:lpstr>
      <vt:lpstr>Q4.14</vt:lpstr>
      <vt:lpstr>Q4.15</vt:lpstr>
      <vt:lpstr>Q4.16</vt:lpstr>
      <vt:lpstr>Q4.17</vt:lpstr>
      <vt:lpstr>Q4.19</vt:lpstr>
      <vt:lpstr>Q4.20</vt:lpstr>
      <vt:lpstr>Q4.21</vt:lpstr>
      <vt:lpstr>Q4.22</vt:lpstr>
      <vt:lpstr>Q4.23</vt:lpstr>
      <vt:lpstr>Q4.24</vt:lpstr>
      <vt:lpstr>Q4.25</vt:lpstr>
      <vt:lpstr>Q4.26</vt:lpstr>
      <vt:lpstr>Q4.27</vt:lpstr>
      <vt:lpstr>Q4.28</vt:lpstr>
      <vt:lpstr>Q4.29</vt:lpstr>
      <vt:lpstr>Q4.30</vt:lpstr>
      <vt:lpstr>Q4.31</vt:lpstr>
      <vt:lpstr>Q4.32</vt:lpstr>
      <vt:lpstr>Q4.33</vt:lpstr>
      <vt:lpstr>Q4.34</vt:lpstr>
      <vt:lpstr>Q4.35</vt:lpstr>
      <vt:lpstr>Q4.36</vt:lpstr>
      <vt:lpstr>Q4.38</vt:lpstr>
      <vt:lpstr>Q4.39</vt:lpstr>
      <vt:lpstr>Q4.40</vt:lpstr>
      <vt:lpstr>Q4.41</vt:lpstr>
      <vt:lpstr>Q4.42</vt:lpstr>
      <vt:lpstr>Q4.43</vt:lpstr>
      <vt:lpstr>Q4.44</vt:lpstr>
      <vt:lpstr>Q4.45</vt:lpstr>
      <vt:lpstr>Q4.46</vt:lpstr>
      <vt:lpstr>Q4.47</vt:lpstr>
      <vt:lpstr>Q4.48</vt:lpstr>
      <vt:lpstr>Q4.50</vt:lpstr>
      <vt:lpstr>Q4.51</vt:lpstr>
      <vt:lpstr>Q4.52</vt:lpstr>
      <vt:lpstr>Q4.53</vt:lpstr>
      <vt:lpstr>Q4.54</vt:lpstr>
      <vt:lpstr>Q4.55</vt:lpstr>
      <vt:lpstr>Q4.56</vt:lpstr>
      <vt:lpstr>Q4.57</vt:lpstr>
      <vt:lpstr>Q4.58</vt:lpstr>
      <vt:lpstr>Q4.59</vt:lpstr>
      <vt:lpstr>Q4.60</vt:lpstr>
      <vt:lpstr>Q4.61</vt:lpstr>
      <vt:lpstr>Q4.62</vt:lpstr>
      <vt:lpstr>Q4.63</vt:lpstr>
      <vt:lpstr>Q4.64</vt:lpstr>
      <vt:lpstr>Q4.65</vt:lpstr>
      <vt:lpstr>Q4.66</vt:lpstr>
      <vt:lpstr>Q4.67</vt:lpstr>
      <vt:lpstr>Q4.68</vt:lpstr>
      <vt:lpstr>Q4.69</vt:lpstr>
      <vt:lpstr>Q4.71</vt:lpstr>
      <vt:lpstr>Q4.72</vt:lpstr>
      <vt:lpstr>Q4.73</vt:lpstr>
      <vt:lpstr>Q4.74</vt:lpstr>
      <vt:lpstr>Q4.75</vt:lpstr>
      <vt:lpstr>Q4.76</vt:lpstr>
      <vt:lpstr>Q4.77</vt:lpstr>
      <vt:lpstr>Q4.79</vt:lpstr>
      <vt:lpstr>Q4.81</vt:lpstr>
      <vt:lpstr>Q4.85</vt:lpstr>
      <vt:lpstr>Q4.86</vt:lpstr>
      <vt:lpstr>Q4.87</vt:lpstr>
      <vt:lpstr>Q4.88</vt:lpstr>
      <vt:lpstr>Q4.89</vt:lpstr>
      <vt:lpstr>Q4.90</vt:lpstr>
      <vt:lpstr>Q4.91</vt:lpstr>
      <vt:lpstr>Q4.92</vt:lpstr>
      <vt:lpstr>Q4.93</vt:lpstr>
      <vt:lpstr>Q4.94</vt:lpstr>
      <vt:lpstr>Q4.95</vt:lpstr>
      <vt:lpstr>Q4.96</vt:lpstr>
      <vt:lpstr>Q4.97</vt:lpstr>
      <vt:lpstr>Q4.98</vt:lpstr>
      <vt:lpstr>Q4.99</vt:lpstr>
      <vt:lpstr>Q4.100</vt:lpstr>
      <vt:lpstr>Q4.101</vt:lpstr>
      <vt:lpstr>Q4.102</vt:lpstr>
      <vt:lpstr>Q4.103</vt:lpstr>
      <vt:lpstr>Q4.104</vt:lpstr>
      <vt:lpstr>Q4.105</vt:lpstr>
      <vt:lpstr>Q4.106</vt:lpstr>
      <vt:lpstr>Q4.107</vt:lpstr>
      <vt:lpstr>Q4.108</vt:lpstr>
      <vt:lpstr>Q4.109</vt:lpstr>
      <vt:lpstr>Q4.110</vt:lpstr>
      <vt:lpstr>Q4.111</vt:lpstr>
      <vt:lpstr>Q4.112</vt:lpstr>
      <vt:lpstr>Q4.114</vt:lpstr>
      <vt:lpstr>Q4.115</vt:lpstr>
      <vt:lpstr>Q4.116</vt:lpstr>
      <vt:lpstr>Q4.117</vt:lpstr>
      <vt:lpstr>Q4.118</vt:lpstr>
      <vt:lpstr>Q4.119</vt:lpstr>
      <vt:lpstr>Q4.120</vt:lpstr>
      <vt:lpstr>Q4.121</vt:lpstr>
      <vt:lpstr>Q4.122</vt:lpstr>
      <vt:lpstr>Q4.123</vt:lpstr>
      <vt:lpstr>Q4.124</vt:lpstr>
      <vt:lpstr>Q4.125</vt:lpstr>
      <vt:lpstr>Q4.126</vt:lpstr>
      <vt:lpstr>Q4.127</vt:lpstr>
      <vt:lpstr>Q4.128</vt:lpstr>
      <vt:lpstr>Q4.130</vt:lpstr>
      <vt:lpstr>Q4.131</vt:lpstr>
      <vt:lpstr>Q4.132</vt:lpstr>
      <vt:lpstr>Q4.133</vt:lpstr>
      <vt:lpstr>Q4.134</vt:lpstr>
      <vt:lpstr>Q4.135</vt:lpstr>
      <vt:lpstr>Q4.136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Salete Aparecida Franco Miyake</dc:creator>
  <cp:keywords/>
  <dc:description/>
  <cp:lastModifiedBy>Roberta</cp:lastModifiedBy>
  <cp:revision/>
  <dcterms:created xsi:type="dcterms:W3CDTF">2021-12-27T20:21:53Z</dcterms:created>
  <dcterms:modified xsi:type="dcterms:W3CDTF">2022-02-04T14:32:57Z</dcterms:modified>
  <cp:category/>
  <cp:contentStatus/>
</cp:coreProperties>
</file>