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8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6" documentId="11_6DAE9BB6670B9CC4D22E555F85041766AC726820" xr6:coauthVersionLast="47" xr6:coauthVersionMax="47" xr10:uidLastSave="{B2C7DCBD-CE5C-4A48-907C-9219714AEA3D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8" i="28"/>
  <c r="F26" i="28" l="1"/>
  <c r="C8" i="7"/>
  <c r="D25" i="7" s="1"/>
  <c r="C27" i="28"/>
  <c r="F27" i="28" s="1"/>
  <c r="B27" i="28"/>
  <c r="E27" i="28" s="1"/>
  <c r="E26" i="28"/>
  <c r="B28" i="28" l="1"/>
  <c r="E28" i="28" s="1"/>
  <c r="C28" i="28"/>
  <c r="F28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37" i="5" s="1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28" i="25" s="1"/>
  <c r="D11" i="25"/>
  <c r="D12" i="25"/>
  <c r="D7" i="25"/>
  <c r="D27" i="25" s="1"/>
  <c r="C8" i="25"/>
  <c r="D19" i="25" s="1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26" i="24" s="1"/>
  <c r="D10" i="24"/>
  <c r="D28" i="24" s="1"/>
  <c r="D11" i="24"/>
  <c r="D12" i="24"/>
  <c r="D7" i="24"/>
  <c r="D27" i="24" s="1"/>
  <c r="C8" i="24"/>
  <c r="D19" i="24" s="1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28" i="23" s="1"/>
  <c r="D11" i="23"/>
  <c r="D12" i="23"/>
  <c r="D7" i="23"/>
  <c r="D27" i="23" s="1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28" i="22" s="1"/>
  <c r="D11" i="22"/>
  <c r="D12" i="22"/>
  <c r="D7" i="22"/>
  <c r="D27" i="22" s="1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28" i="21" s="1"/>
  <c r="D11" i="21"/>
  <c r="D12" i="21"/>
  <c r="D7" i="21"/>
  <c r="D27" i="21" s="1"/>
  <c r="C8" i="21"/>
  <c r="D19" i="21" s="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26" i="20" s="1"/>
  <c r="D10" i="20"/>
  <c r="D28" i="20" s="1"/>
  <c r="D11" i="20"/>
  <c r="D12" i="20"/>
  <c r="D7" i="20"/>
  <c r="D27" i="20" s="1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26" i="19" s="1"/>
  <c r="D10" i="19"/>
  <c r="D28" i="19" s="1"/>
  <c r="D11" i="19"/>
  <c r="D12" i="19"/>
  <c r="D7" i="19"/>
  <c r="D27" i="19" s="1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28" i="18" s="1"/>
  <c r="D11" i="18"/>
  <c r="D12" i="18"/>
  <c r="D7" i="18"/>
  <c r="D27" i="18" s="1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28" i="17" s="1"/>
  <c r="D11" i="17"/>
  <c r="D12" i="17"/>
  <c r="D7" i="17"/>
  <c r="D27" i="17" s="1"/>
  <c r="C8" i="17"/>
  <c r="D19" i="17" s="1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D28" i="16" s="1"/>
  <c r="C10" i="16"/>
  <c r="D21" i="16" s="1"/>
  <c r="E8" i="16"/>
  <c r="D8" i="16"/>
  <c r="D26" i="16" s="1"/>
  <c r="C8" i="16"/>
  <c r="D19" i="16" s="1"/>
  <c r="D7" i="16"/>
  <c r="D27" i="16" s="1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27" i="14" s="1"/>
  <c r="D11" i="14"/>
  <c r="D12" i="14"/>
  <c r="D7" i="14"/>
  <c r="D26" i="14" s="1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27" i="13" s="1"/>
  <c r="D11" i="13"/>
  <c r="D12" i="13"/>
  <c r="D7" i="13"/>
  <c r="D26" i="13" s="1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27" i="11" s="1"/>
  <c r="D11" i="11"/>
  <c r="D12" i="11"/>
  <c r="D7" i="11"/>
  <c r="D26" i="11" s="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36" i="5" s="1"/>
  <c r="D9" i="5"/>
  <c r="E8" i="5"/>
  <c r="E9" i="5"/>
  <c r="E8" i="11"/>
  <c r="E10" i="11"/>
  <c r="E11" i="11"/>
  <c r="E12" i="11"/>
  <c r="A2" i="11"/>
  <c r="B2" i="11" s="1"/>
  <c r="E8" i="10"/>
  <c r="A2" i="10"/>
  <c r="A2" i="5"/>
  <c r="D22" i="7" l="1"/>
  <c r="D32" i="7"/>
  <c r="D29" i="7"/>
  <c r="D33" i="7" s="1"/>
  <c r="D19" i="19"/>
  <c r="D26" i="18"/>
  <c r="D26" i="22"/>
  <c r="D26" i="23"/>
  <c r="D26" i="21"/>
  <c r="G7" i="25"/>
  <c r="D26" i="17"/>
  <c r="D18" i="14"/>
  <c r="D25" i="11"/>
  <c r="G7" i="7"/>
  <c r="G7" i="11"/>
  <c r="D6" i="10"/>
  <c r="D9" i="10" s="1"/>
  <c r="D6" i="5"/>
  <c r="D34" i="5"/>
  <c r="D26" i="25"/>
  <c r="D19" i="23"/>
  <c r="D18" i="13"/>
  <c r="G9" i="5"/>
  <c r="C6" i="13"/>
  <c r="C6" i="14"/>
  <c r="D25" i="14"/>
  <c r="E6" i="12"/>
  <c r="F6" i="12" s="1"/>
  <c r="D6" i="7"/>
  <c r="C6" i="11"/>
  <c r="D6" i="11"/>
  <c r="D6" i="12"/>
  <c r="D12" i="12" s="1"/>
  <c r="D6" i="13"/>
  <c r="D13" i="13" s="1"/>
  <c r="D25" i="13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29" i="16"/>
  <c r="E27" i="16" s="1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D29" i="17"/>
  <c r="D29" i="18"/>
  <c r="C6" i="19"/>
  <c r="C13" i="19" s="1"/>
  <c r="D29" i="19"/>
  <c r="D29" i="20"/>
  <c r="C6" i="21"/>
  <c r="C13" i="21" s="1"/>
  <c r="D22" i="21"/>
  <c r="D29" i="21"/>
  <c r="D29" i="22"/>
  <c r="D29" i="23"/>
  <c r="D29" i="24"/>
  <c r="D29" i="25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8" i="11"/>
  <c r="D21" i="13"/>
  <c r="D28" i="13"/>
  <c r="D21" i="14"/>
  <c r="D28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E25" i="7" l="1"/>
  <c r="D26" i="7"/>
  <c r="E22" i="7"/>
  <c r="E26" i="16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E29" i="7"/>
  <c r="E32" i="7"/>
  <c r="D13" i="21"/>
  <c r="E13" i="21" s="1"/>
  <c r="D13" i="16"/>
  <c r="E29" i="16"/>
  <c r="E29" i="25"/>
  <c r="E26" i="21"/>
  <c r="D13" i="25"/>
  <c r="E13" i="25" s="1"/>
  <c r="E6" i="25" s="1"/>
  <c r="C13" i="13"/>
  <c r="E13" i="13" s="1"/>
  <c r="E26" i="14"/>
  <c r="E12" i="12"/>
  <c r="F12" i="12" s="1"/>
  <c r="C13" i="14"/>
  <c r="E19" i="14"/>
  <c r="E26" i="13"/>
  <c r="E27" i="14"/>
  <c r="E28" i="14"/>
  <c r="E25" i="14"/>
  <c r="D13" i="14"/>
  <c r="E18" i="13"/>
  <c r="E20" i="13"/>
  <c r="E21" i="14"/>
  <c r="E18" i="14"/>
  <c r="E19" i="13"/>
  <c r="E21" i="13"/>
  <c r="E20" i="14"/>
  <c r="E28" i="25"/>
  <c r="C13" i="16"/>
  <c r="E27" i="25"/>
  <c r="E12" i="15"/>
  <c r="F12" i="15" s="1"/>
  <c r="E26" i="25"/>
  <c r="E20" i="16"/>
  <c r="E19" i="16"/>
  <c r="E22" i="16"/>
  <c r="E28" i="16"/>
  <c r="E20" i="18"/>
  <c r="E22" i="23"/>
  <c r="E22" i="24"/>
  <c r="E28" i="21"/>
  <c r="E20" i="21"/>
  <c r="E22" i="19"/>
  <c r="D13" i="18"/>
  <c r="E13" i="18" s="1"/>
  <c r="D13" i="22"/>
  <c r="E13" i="22" s="1"/>
  <c r="D13" i="20"/>
  <c r="E13" i="20" s="1"/>
  <c r="E27" i="21"/>
  <c r="E21" i="16"/>
  <c r="E19" i="25"/>
  <c r="E29" i="21"/>
  <c r="D13" i="24"/>
  <c r="E13" i="24" s="1"/>
  <c r="D13" i="19"/>
  <c r="E13" i="19" s="1"/>
  <c r="D13" i="17"/>
  <c r="E13" i="17" s="1"/>
  <c r="D13" i="11"/>
  <c r="E28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13" i="16"/>
  <c r="E6" i="16"/>
  <c r="F6" i="16" s="1"/>
  <c r="F8" i="16"/>
  <c r="F10" i="16"/>
  <c r="F11" i="16"/>
  <c r="F12" i="16"/>
  <c r="F9" i="16"/>
  <c r="F7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25" i="13"/>
  <c r="E27" i="13"/>
  <c r="E28" i="13"/>
  <c r="E19" i="18"/>
  <c r="E19" i="23"/>
  <c r="E20" i="24"/>
  <c r="E22" i="18"/>
  <c r="E21" i="18"/>
  <c r="E28" i="23"/>
  <c r="E26" i="23"/>
  <c r="E29" i="23"/>
  <c r="E21" i="19"/>
  <c r="E19" i="19"/>
  <c r="E20" i="19"/>
  <c r="E20" i="17"/>
  <c r="E21" i="17"/>
  <c r="E19" i="17"/>
  <c r="E22" i="17"/>
  <c r="E27" i="23"/>
  <c r="E19" i="21"/>
  <c r="E21" i="21"/>
  <c r="E22" i="21"/>
  <c r="E19" i="24"/>
  <c r="E21" i="24"/>
  <c r="E21" i="23"/>
  <c r="E20" i="23"/>
  <c r="E20" i="20"/>
  <c r="E21" i="20"/>
  <c r="E19" i="20"/>
  <c r="E22" i="20"/>
  <c r="E28" i="22"/>
  <c r="E26" i="22"/>
  <c r="E27" i="22"/>
  <c r="E29" i="22"/>
  <c r="E19" i="22"/>
  <c r="E20" i="22"/>
  <c r="E21" i="22"/>
  <c r="E20" i="25"/>
  <c r="E21" i="25"/>
  <c r="E27" i="17"/>
  <c r="E28" i="17"/>
  <c r="E26" i="17"/>
  <c r="E26" i="24"/>
  <c r="E28" i="24"/>
  <c r="E29" i="24"/>
  <c r="E27" i="24"/>
  <c r="E22" i="25"/>
  <c r="E28" i="20"/>
  <c r="E29" i="20"/>
  <c r="E27" i="20"/>
  <c r="E26" i="20"/>
  <c r="E28" i="18"/>
  <c r="E27" i="18"/>
  <c r="E26" i="18"/>
  <c r="E29" i="18"/>
  <c r="E29" i="17"/>
  <c r="E27" i="19"/>
  <c r="E29" i="19"/>
  <c r="E26" i="19"/>
  <c r="E28" i="19"/>
  <c r="E22" i="22"/>
  <c r="E26" i="11"/>
  <c r="E27" i="11"/>
  <c r="E25" i="11"/>
  <c r="D9" i="7"/>
  <c r="F13" i="14" l="1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36" i="5"/>
  <c r="E34" i="5"/>
  <c r="E37" i="5"/>
  <c r="E6" i="5"/>
  <c r="F6" i="5" s="1"/>
</calcChain>
</file>

<file path=xl/sharedStrings.xml><?xml version="1.0" encoding="utf-8"?>
<sst xmlns="http://schemas.openxmlformats.org/spreadsheetml/2006/main" count="1509" uniqueCount="182">
  <si>
    <t>Vínculo</t>
  </si>
  <si>
    <t>Setor</t>
  </si>
  <si>
    <t>2.01</t>
  </si>
  <si>
    <t>2.02</t>
  </si>
  <si>
    <t>2.03</t>
  </si>
  <si>
    <t>2.06</t>
  </si>
  <si>
    <t>2.07</t>
  </si>
  <si>
    <t>2.08</t>
  </si>
  <si>
    <t>docente</t>
  </si>
  <si>
    <t>TL</t>
  </si>
  <si>
    <t>Na minha unidade, participamos efetivamente da elaboração do planejamento interno e consideramos os resultados da Autoavaliação</t>
  </si>
  <si>
    <t>Observo na minha unidade a atenção e a inserção dos resultados da Autoavaliação em ações de melhoria</t>
  </si>
  <si>
    <t>Sim</t>
  </si>
  <si>
    <t>Bom</t>
  </si>
  <si>
    <t>tecnico</t>
  </si>
  <si>
    <t>Regular</t>
  </si>
  <si>
    <t>Excelente</t>
  </si>
  <si>
    <t>Na minha unidade, participamos efetivamente da elaboração do planejamento interno, mas não utilizamos os resultados da Autoavaliação</t>
  </si>
  <si>
    <t>Não observo na minha unidade a atenção e a inserção dos resultados da Autoavaliação em ações de melhoria</t>
  </si>
  <si>
    <t>Não</t>
  </si>
  <si>
    <t>Ruim</t>
  </si>
  <si>
    <t>Não sei responder</t>
  </si>
  <si>
    <t>Na minha unidade, não temos conhecimento sobre os processos de Autoavaliação e as decisões para o planejamento interno são tomadas de forma autônoma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</si>
  <si>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</si>
  <si>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</si>
  <si>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</si>
  <si>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</si>
  <si>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</si>
  <si>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</si>
  <si>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</si>
  <si>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</si>
  <si>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</si>
  <si>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</si>
  <si>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</si>
  <si>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</si>
  <si>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</si>
  <si>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</si>
  <si>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</si>
  <si>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</si>
  <si>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</si>
  <si>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</si>
  <si>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</si>
  <si>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</si>
  <si>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</si>
  <si>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</si>
  <si>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</si>
  <si>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</si>
  <si>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</si>
  <si>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</si>
  <si>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</si>
  <si>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</si>
  <si>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</si>
  <si>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</si>
  <si>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</si>
  <si>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</si>
  <si>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</si>
  <si>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</si>
  <si>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</si>
  <si>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</si>
  <si>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</si>
  <si>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</si>
  <si>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</si>
  <si>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</si>
  <si>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</si>
  <si>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</si>
  <si>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</si>
  <si>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</si>
  <si>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</si>
  <si>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</si>
  <si>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</si>
  <si>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</si>
  <si>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</si>
  <si>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</si>
  <si>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</si>
  <si>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</si>
  <si>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</si>
  <si>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</si>
  <si>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</si>
  <si>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</si>
  <si>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</si>
  <si>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</si>
  <si>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</si>
  <si>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</si>
  <si>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</si>
  <si>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</si>
  <si>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</si>
  <si>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</si>
  <si>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</si>
  <si>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</si>
  <si>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</si>
  <si>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</si>
  <si>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</si>
  <si>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</si>
  <si>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</si>
  <si>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</si>
  <si>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</si>
  <si>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</si>
  <si>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</si>
  <si>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</si>
  <si>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</si>
  <si>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</si>
  <si>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</si>
  <si>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</si>
  <si>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</si>
  <si>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</si>
  <si>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</si>
  <si>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</si>
  <si>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</si>
  <si>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</si>
  <si>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</si>
  <si>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</si>
  <si>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</si>
  <si>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</si>
  <si>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</si>
  <si>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</si>
  <si>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</si>
  <si>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</si>
  <si>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</si>
  <si>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</si>
  <si>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</si>
  <si>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</si>
  <si>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</si>
  <si>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</si>
  <si>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</si>
  <si>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</si>
  <si>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</si>
  <si>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</si>
  <si>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</si>
  <si>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</si>
  <si>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</si>
  <si>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</si>
  <si>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</si>
  <si>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</si>
  <si>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</si>
  <si>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</si>
  <si>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</si>
  <si>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</si>
  <si>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</si>
  <si>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</si>
  <si>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</si>
  <si>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</si>
  <si>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</si>
  <si>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</si>
  <si>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</si>
  <si>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</si>
  <si>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</si>
  <si>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</si>
  <si>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</si>
  <si>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</si>
  <si>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</si>
  <si>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</si>
  <si>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</si>
  <si>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</si>
  <si>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</si>
  <si>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</si>
  <si>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</si>
  <si>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</si>
  <si>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</si>
  <si>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</si>
  <si>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</si>
  <si>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</si>
  <si>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</si>
  <si>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</si>
  <si>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</si>
  <si>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</si>
  <si>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</si>
  <si>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Péssimo</t>
  </si>
  <si>
    <t>Total</t>
  </si>
  <si>
    <t>Respostas</t>
  </si>
  <si>
    <t>Técnico</t>
  </si>
  <si>
    <t>Docente</t>
  </si>
  <si>
    <t>N/R</t>
  </si>
  <si>
    <t>Legenda</t>
  </si>
  <si>
    <t>Não responderam</t>
  </si>
  <si>
    <t>Legendas</t>
  </si>
  <si>
    <t>Ações</t>
  </si>
  <si>
    <t>Não se aplica nesse caso</t>
  </si>
  <si>
    <t>Lgendas</t>
  </si>
  <si>
    <t>Respopstas</t>
  </si>
  <si>
    <t>Sem respostas</t>
  </si>
  <si>
    <t xml:space="preserve">Docentes 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</si>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</sst>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19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20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1" borderId="5" xfId="0" applyFont="1" applyFill="1" applyBorder="1"/>
    <xf numFmtId="0" fontId="16" fillId="21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1716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1702</c:v>
                </c:pt>
                <c:pt idx="1">
                  <c:v>2</c:v>
                </c:pt>
                <c:pt idx="2">
                  <c:v>0</c:v>
                </c:pt>
                <c:pt idx="3">
                  <c:v>6</c:v>
                </c:pt>
                <c:pt idx="4">
                  <c:v>11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290880"/>
        <c:axId val="95292416"/>
      </c:barChart>
      <c:catAx>
        <c:axId val="9529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92416"/>
        <c:crosses val="autoZero"/>
        <c:auto val="1"/>
        <c:lblAlgn val="ctr"/>
        <c:lblOffset val="100"/>
        <c:noMultiLvlLbl val="0"/>
      </c:catAx>
      <c:valAx>
        <c:axId val="9529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9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1462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1445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10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942336"/>
        <c:axId val="96948224"/>
      </c:barChart>
      <c:catAx>
        <c:axId val="969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48224"/>
        <c:crosses val="autoZero"/>
        <c:auto val="1"/>
        <c:lblAlgn val="ctr"/>
        <c:lblOffset val="100"/>
        <c:noMultiLvlLbl val="0"/>
      </c:catAx>
      <c:valAx>
        <c:axId val="969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4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89760"/>
        <c:axId val="96395648"/>
      </c:barChart>
      <c:catAx>
        <c:axId val="9638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95648"/>
        <c:crosses val="autoZero"/>
        <c:auto val="1"/>
        <c:lblAlgn val="ctr"/>
        <c:lblOffset val="100"/>
        <c:noMultiLvlLbl val="0"/>
      </c:catAx>
      <c:valAx>
        <c:axId val="9639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8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2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25</c:v>
                </c:pt>
                <c:pt idx="2">
                  <c:v>25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22-4A20-BE04-88CC43F67F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'Q2.01'!$D$34:$D$37</c:f>
              <c:numCache>
                <c:formatCode>General</c:formatCode>
                <c:ptCount val="4"/>
                <c:pt idx="0">
                  <c:v>1</c:v>
                </c:pt>
                <c:pt idx="2">
                  <c:v>6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22-4A20-BE04-88CC43F67F3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622-4A20-BE04-88CC43F67F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622-4A20-BE04-88CC43F67F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622-4A20-BE04-88CC43F67F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622-4A20-BE04-88CC43F67F3E}"/>
              </c:ext>
            </c:extLst>
          </c:dPt>
          <c:cat>
            <c:strRef>
              <c:f>'Q2.01'!$C$34:$C$37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'Q2.01'!$E$34:$E$37</c:f>
              <c:numCache>
                <c:formatCode>0.00</c:formatCode>
                <c:ptCount val="4"/>
                <c:pt idx="0">
                  <c:v>4</c:v>
                </c:pt>
                <c:pt idx="2">
                  <c:v>24</c:v>
                </c:pt>
                <c:pt idx="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622-4A20-BE04-88CC43F6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800768"/>
        <c:axId val="100810752"/>
      </c:barChart>
      <c:catAx>
        <c:axId val="10080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10752"/>
        <c:crosses val="autoZero"/>
        <c:auto val="1"/>
        <c:lblAlgn val="ctr"/>
        <c:lblOffset val="100"/>
        <c:noMultiLvlLbl val="0"/>
      </c:catAx>
      <c:valAx>
        <c:axId val="10081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0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'Q2.02'!$D$29:$D$32</c15:sqref>
                  </c15:fullRef>
                </c:ext>
              </c:extLst>
              <c:f>('Q2.02'!$D$29,'Q2.02'!$D$32)</c:f>
              <c:numCache>
                <c:formatCode>General</c:formatCode>
                <c:ptCount val="2"/>
                <c:pt idx="0">
                  <c:v>4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54-41BE-A66D-E3D9F619BAA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254-41BE-A66D-E3D9F619BA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'Q2.02'!$C$29:$C$32</c15:sqref>
                  </c15:fullRef>
                </c:ext>
              </c:extLst>
              <c:f>('Q2.02'!$C$29,'Q2.02'!$C$32)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'Q2.02'!$E$29:$E$32</c15:sqref>
                  </c15:fullRef>
                </c:ext>
              </c:extLst>
              <c:f>('Q2.02'!$E$29,'Q2.02'!$E$32)</c:f>
              <c:numCache>
                <c:formatCode>0.00</c:formatCode>
                <c:ptCount val="2"/>
                <c:pt idx="0">
                  <c:v>16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254-41BE-A66D-E3D9F619BAA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1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12.5</c:v>
                </c:pt>
                <c:pt idx="1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20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038912"/>
        <c:axId val="98788096"/>
      </c:barChart>
      <c:catAx>
        <c:axId val="10203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88096"/>
        <c:crosses val="autoZero"/>
        <c:auto val="1"/>
        <c:lblAlgn val="ctr"/>
        <c:lblOffset val="100"/>
        <c:noMultiLvlLbl val="0"/>
      </c:catAx>
      <c:valAx>
        <c:axId val="9878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3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6</c:v>
                </c:pt>
                <c:pt idx="5">
                  <c:v>11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971008"/>
        <c:axId val="98985088"/>
      </c:barChart>
      <c:catAx>
        <c:axId val="9897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85088"/>
        <c:crosses val="autoZero"/>
        <c:auto val="1"/>
        <c:lblAlgn val="ctr"/>
        <c:lblOffset val="100"/>
        <c:noMultiLvlLbl val="0"/>
      </c:catAx>
      <c:valAx>
        <c:axId val="9898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7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03-458E-9BF7-33DFE79997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E-4348-8199-B3DEDA958BF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03-458E-9BF7-33DFE79997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703-458E-9BF7-33DFE79997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703-458E-9BF7-33DFE79997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03-458E-9BF7-33DFE7999773}"/>
              </c:ext>
            </c:extLst>
          </c:dPt>
          <c:cat>
            <c:strRef>
              <c:f>'Q2.06'!$C$25:$C$28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12</c:v>
                </c:pt>
                <c:pt idx="1">
                  <c:v>8</c:v>
                </c:pt>
                <c:pt idx="2">
                  <c:v>24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DE-4348-8199-B3DEDA958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139776"/>
        <c:axId val="102140928"/>
      </c:barChart>
      <c:catAx>
        <c:axId val="10213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40928"/>
        <c:crosses val="autoZero"/>
        <c:auto val="1"/>
        <c:lblAlgn val="ctr"/>
        <c:lblOffset val="100"/>
        <c:noMultiLvlLbl val="0"/>
      </c:catAx>
      <c:valAx>
        <c:axId val="10214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3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0</c:v>
                </c:pt>
                <c:pt idx="1">
                  <c:v>12.5</c:v>
                </c:pt>
                <c:pt idx="2">
                  <c:v>0</c:v>
                </c:pt>
                <c:pt idx="3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B-4A69-8D09-6938D01002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'Q2.07'!$D$25:$D$28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E-44E3-8DD0-1F273E6699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B-4A69-8D09-6938D01002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B-4A69-8D09-6938D01002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B-4A69-8D09-6938D01002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B-4A69-8D09-6938D01002BD}"/>
              </c:ext>
            </c:extLst>
          </c:dPt>
          <c:cat>
            <c:strRef>
              <c:f>'Q2.07'!$C$25:$C$28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'Q2.07'!$E$25:$E$28</c:f>
              <c:numCache>
                <c:formatCode>0.00</c:formatCode>
                <c:ptCount val="4"/>
                <c:pt idx="0">
                  <c:v>0</c:v>
                </c:pt>
                <c:pt idx="1">
                  <c:v>12</c:v>
                </c:pt>
                <c:pt idx="2">
                  <c:v>20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E-44E3-8DD0-1F273E669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0</c:v>
                </c:pt>
                <c:pt idx="1">
                  <c:v>12.5</c:v>
                </c:pt>
                <c:pt idx="2">
                  <c:v>25</c:v>
                </c:pt>
                <c:pt idx="3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24-4E6A-82D0-B0B186C4CE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'Q2.08'!$D$25:$D$28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B-44F0-A2F4-158116120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24-4E6A-82D0-B0B186C4CE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24-4E6A-82D0-B0B186C4CE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24-4E6A-82D0-B0B186C4CE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24-4E6A-82D0-B0B186C4CE39}"/>
              </c:ext>
            </c:extLst>
          </c:dPt>
          <c:cat>
            <c:strRef>
              <c:f>'Q2.08'!$C$25:$C$28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'Q2.08'!$E$25:$E$28</c:f>
              <c:numCache>
                <c:formatCode>0.00</c:formatCode>
                <c:ptCount val="4"/>
                <c:pt idx="0">
                  <c:v>4</c:v>
                </c:pt>
                <c:pt idx="1">
                  <c:v>20</c:v>
                </c:pt>
                <c:pt idx="2">
                  <c:v>16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B-44F0-A2F4-158116120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267200"/>
        <c:axId val="107268736"/>
      </c:barChart>
      <c:catAx>
        <c:axId val="10726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8736"/>
        <c:crosses val="autoZero"/>
        <c:auto val="1"/>
        <c:lblAlgn val="ctr"/>
        <c:lblOffset val="100"/>
        <c:noMultiLvlLbl val="0"/>
      </c:catAx>
      <c:valAx>
        <c:axId val="10726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10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31616"/>
        <c:axId val="112033152"/>
      </c:barChart>
      <c:catAx>
        <c:axId val="11203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33152"/>
        <c:crosses val="autoZero"/>
        <c:auto val="1"/>
        <c:lblAlgn val="ctr"/>
        <c:lblOffset val="100"/>
        <c:noMultiLvlLbl val="0"/>
      </c:catAx>
      <c:valAx>
        <c:axId val="11203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3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9E-4BE0-AFD4-0B46A01696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'Q3.01'!$D$26:$D$29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2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0-44B6-A445-8C490F84F3E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9E-4BE0-AFD4-0B46A016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9E-4BE0-AFD4-0B46A016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9E-4BE0-AFD4-0B46A016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9E-4BE0-AFD4-0B46A016961B}"/>
              </c:ext>
            </c:extLst>
          </c:dPt>
          <c:cat>
            <c:strRef>
              <c:f>'Q3.01'!$C$26:$C$29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'Q3.01'!$E$26:$E$29</c:f>
              <c:numCache>
                <c:formatCode>0.00</c:formatCode>
                <c:ptCount val="4"/>
                <c:pt idx="0">
                  <c:v>0</c:v>
                </c:pt>
                <c:pt idx="1">
                  <c:v>24</c:v>
                </c:pt>
                <c:pt idx="2">
                  <c:v>8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0-44B6-A445-8C490F84F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40288"/>
        <c:axId val="112141824"/>
      </c:barChart>
      <c:catAx>
        <c:axId val="1121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41824"/>
        <c:crosses val="autoZero"/>
        <c:auto val="1"/>
        <c:lblAlgn val="ctr"/>
        <c:lblOffset val="100"/>
        <c:noMultiLvlLbl val="0"/>
      </c:catAx>
      <c:valAx>
        <c:axId val="11214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4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0</c:v>
                </c:pt>
                <c:pt idx="1">
                  <c:v>12.5</c:v>
                </c:pt>
                <c:pt idx="2">
                  <c:v>0</c:v>
                </c:pt>
                <c:pt idx="3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13-4682-A79F-C31C0B562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'Q3.02'!$D$26:$D$29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062-9342-806E605456C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13-4682-A79F-C31C0B562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13-4682-A79F-C31C0B562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13-4682-A79F-C31C0B562E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13-4682-A79F-C31C0B562E63}"/>
              </c:ext>
            </c:extLst>
          </c:dPt>
          <c:cat>
            <c:strRef>
              <c:f>'Q3.02'!$C$26:$C$29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'Q3.02'!$E$26:$E$29</c:f>
              <c:numCache>
                <c:formatCode>0.00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C2-4062-9342-806E6054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415360"/>
        <c:axId val="100416896"/>
      </c:barChart>
      <c:catAx>
        <c:axId val="10041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416896"/>
        <c:crosses val="autoZero"/>
        <c:auto val="1"/>
        <c:lblAlgn val="ctr"/>
        <c:lblOffset val="100"/>
        <c:noMultiLvlLbl val="0"/>
      </c:catAx>
      <c:valAx>
        <c:axId val="10041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41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0</c:v>
                </c:pt>
                <c:pt idx="1">
                  <c:v>12.5</c:v>
                </c:pt>
                <c:pt idx="2">
                  <c:v>12.5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B4-46DF-B357-EB85971FF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'Q3.03'!$D$26:$D$29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B-40A7-9BF6-4C00DE42CF8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B4-46DF-B357-EB85971F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CB4-46DF-B357-EB85971F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CB4-46DF-B357-EB85971F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CB4-46DF-B357-EB85971FF64B}"/>
              </c:ext>
            </c:extLst>
          </c:dPt>
          <c:cat>
            <c:strRef>
              <c:f>'Q3.03'!$C$26:$C$29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'Q3.03'!$E$26:$E$29</c:f>
              <c:numCache>
                <c:formatCode>0.00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B-40A7-9BF6-4C00DE42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15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755840"/>
        <c:axId val="110757376"/>
      </c:barChart>
      <c:catAx>
        <c:axId val="1107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7376"/>
        <c:crosses val="autoZero"/>
        <c:auto val="1"/>
        <c:lblAlgn val="ctr"/>
        <c:lblOffset val="100"/>
        <c:noMultiLvlLbl val="0"/>
      </c:catAx>
      <c:valAx>
        <c:axId val="11075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5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0</c:v>
                </c:pt>
                <c:pt idx="1">
                  <c:v>12.5</c:v>
                </c:pt>
                <c:pt idx="2">
                  <c:v>0</c:v>
                </c:pt>
                <c:pt idx="3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87-4AEA-A009-452ED391D7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'Q3.04'!$D$26:$D$29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0-496E-B9AC-2286D51292D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87-4AEA-A009-452ED391D7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387-4AEA-A009-452ED391D7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387-4AEA-A009-452ED391D7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387-4AEA-A009-452ED391D771}"/>
              </c:ext>
            </c:extLst>
          </c:dPt>
          <c:cat>
            <c:strRef>
              <c:f>'Q3.04'!$C$26:$C$29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'Q3.04'!$E$26:$E$29</c:f>
              <c:numCache>
                <c:formatCode>0.00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0-496E-B9AC-2286D5129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17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950272"/>
        <c:axId val="110951808"/>
      </c:barChart>
      <c:catAx>
        <c:axId val="11095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51808"/>
        <c:crosses val="autoZero"/>
        <c:auto val="1"/>
        <c:lblAlgn val="ctr"/>
        <c:lblOffset val="100"/>
        <c:noMultiLvlLbl val="0"/>
      </c:catAx>
      <c:valAx>
        <c:axId val="11095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5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DC-478A-85E4-B2A9DA8D86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'Q3.05'!$D$26:$D$29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A-4654-A633-46BAFA8E41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DC-478A-85E4-B2A9DA8D86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DC-478A-85E4-B2A9DA8D86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DC-478A-85E4-B2A9DA8D86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DC-478A-85E4-B2A9DA8D86BA}"/>
              </c:ext>
            </c:extLst>
          </c:dPt>
          <c:cat>
            <c:strRef>
              <c:f>'Q3.05'!$C$26:$C$29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'Q3.05'!$E$26:$E$29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A-4654-A633-46BAFA8E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918528"/>
        <c:axId val="112920064"/>
      </c:barChart>
      <c:catAx>
        <c:axId val="11291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20064"/>
        <c:crosses val="autoZero"/>
        <c:auto val="1"/>
        <c:lblAlgn val="ctr"/>
        <c:lblOffset val="100"/>
        <c:noMultiLvlLbl val="0"/>
      </c:catAx>
      <c:valAx>
        <c:axId val="11292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1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99-4634-915F-D86B068E08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'Q3.06'!$D$26:$D$29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6-48D2-9821-751E848BED1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99-4634-915F-D86B068E08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99-4634-915F-D86B068E08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99-4634-915F-D86B068E08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99-4634-915F-D86B068E081C}"/>
              </c:ext>
            </c:extLst>
          </c:dPt>
          <c:cat>
            <c:strRef>
              <c:f>'Q3.06'!$C$26:$C$29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'Q3.06'!$E$26:$E$29</c:f>
              <c:numCache>
                <c:formatCode>0.00</c:formatCode>
                <c:ptCount val="4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6-48D2-9821-751E848BE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9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482560"/>
        <c:axId val="112488448"/>
      </c:barChart>
      <c:catAx>
        <c:axId val="11248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88448"/>
        <c:crosses val="autoZero"/>
        <c:auto val="1"/>
        <c:lblAlgn val="ctr"/>
        <c:lblOffset val="100"/>
        <c:noMultiLvlLbl val="0"/>
      </c:catAx>
      <c:valAx>
        <c:axId val="11248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8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8D-4C91-A57D-4CF18A01D9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'Q3.07'!$D$26:$D$29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2-475F-9831-28D7066B698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8D-4C91-A57D-4CF18A01D9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8D-4C91-A57D-4CF18A01D9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8D-4C91-A57D-4CF18A01D9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8D-4C91-A57D-4CF18A01D91C}"/>
              </c:ext>
            </c:extLst>
          </c:dPt>
          <c:cat>
            <c:strRef>
              <c:f>'Q3.07'!$C$26:$C$29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'Q3.07'!$E$26:$E$29</c:f>
              <c:numCache>
                <c:formatCode>0.00</c:formatCode>
                <c:ptCount val="4"/>
                <c:pt idx="0">
                  <c:v>8</c:v>
                </c:pt>
                <c:pt idx="1">
                  <c:v>20</c:v>
                </c:pt>
                <c:pt idx="2">
                  <c:v>12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C2-475F-9831-28D7066B6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10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111424"/>
        <c:axId val="113112960"/>
      </c:barChart>
      <c:catAx>
        <c:axId val="1131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12960"/>
        <c:crosses val="autoZero"/>
        <c:auto val="1"/>
        <c:lblAlgn val="ctr"/>
        <c:lblOffset val="100"/>
        <c:noMultiLvlLbl val="0"/>
      </c:catAx>
      <c:valAx>
        <c:axId val="11311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1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09-41C6-BB16-2BF22437FE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'Q3.08'!$D$26:$D$29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B-4540-89A1-50DBF7F33C0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D09-41C6-BB16-2BF22437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09-41C6-BB16-2BF22437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09-41C6-BB16-2BF22437F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09-41C6-BB16-2BF22437FE0E}"/>
              </c:ext>
            </c:extLst>
          </c:dPt>
          <c:cat>
            <c:strRef>
              <c:f>'Q3.08'!$C$26:$C$29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'Q3.08'!$E$26:$E$29</c:f>
              <c:numCache>
                <c:formatCode>0.00</c:formatCode>
                <c:ptCount val="4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B-4540-89A1-50DBF7F33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7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2992"/>
        <c:axId val="113258880"/>
      </c:barChart>
      <c:catAx>
        <c:axId val="1132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58880"/>
        <c:crosses val="autoZero"/>
        <c:auto val="1"/>
        <c:lblAlgn val="ctr"/>
        <c:lblOffset val="100"/>
        <c:noMultiLvlLbl val="0"/>
      </c:catAx>
      <c:valAx>
        <c:axId val="11325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0</c:v>
                </c:pt>
                <c:pt idx="1">
                  <c:v>12.5</c:v>
                </c:pt>
                <c:pt idx="2">
                  <c:v>0</c:v>
                </c:pt>
                <c:pt idx="3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'Q3.09'!$D$26:$D$29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1-4F40-B967-A23554DC26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B9-4FF1-AC3F-AA599179EE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B9-4FF1-AC3F-AA599179EE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B9-4FF1-AC3F-AA599179EE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B9-4FF1-AC3F-AA599179EE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'Q3.09'!$E$26:$E$29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B1-4F40-B967-A23554DC26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427968"/>
        <c:axId val="113429504"/>
      </c:barChart>
      <c:catAx>
        <c:axId val="11342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29504"/>
        <c:crosses val="autoZero"/>
        <c:auto val="1"/>
        <c:lblAlgn val="ctr"/>
        <c:lblOffset val="100"/>
        <c:noMultiLvlLbl val="0"/>
      </c:catAx>
      <c:valAx>
        <c:axId val="1134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2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A1-474C-A65F-8A5FE326EC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'Q3.10'!$D$26:$D$29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D-495B-A19F-ED37DB46D69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A1-474C-A65F-8A5FE326EC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A1-474C-A65F-8A5FE326EC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A1-474C-A65F-8A5FE326EC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4A1-474C-A65F-8A5FE326EC1E}"/>
              </c:ext>
            </c:extLst>
          </c:dPt>
          <c:cat>
            <c:strRef>
              <c:f>'Q3.10'!$C$26:$C$29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'Q3.10'!$E$26:$E$29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FD-495B-A19F-ED37DB46D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71437</xdr:colOff>
      <xdr:row>21</xdr:row>
      <xdr:rowOff>178594</xdr:rowOff>
    </xdr:from>
    <xdr:to>
      <xdr:col>16</xdr:col>
      <xdr:colOff>252412</xdr:colOff>
      <xdr:row>34</xdr:row>
      <xdr:rowOff>7144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447E84-D69D-4C3A-B013-A1BE862F825F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409575</xdr:colOff>
      <xdr:row>19</xdr:row>
      <xdr:rowOff>76200</xdr:rowOff>
    </xdr:from>
    <xdr:to>
      <xdr:col>15</xdr:col>
      <xdr:colOff>590550</xdr:colOff>
      <xdr:row>31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7D31FD3-FB35-41FC-9A85-66C372AFF74E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54FB5-769F-4657-91FE-008F0EFB5F72}"/>
            </a:ext>
            <a:ext uri="{147F2762-F138-4A5C-976F-8EAC2B608ADB}">
              <a16:predDERef xmlns:a16="http://schemas.microsoft.com/office/drawing/2014/main" pred="{D8EEE697-79D2-419C-AF0A-884D06CED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15</xdr:row>
      <xdr:rowOff>180975</xdr:rowOff>
    </xdr:from>
    <xdr:to>
      <xdr:col>14</xdr:col>
      <xdr:colOff>695325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D437B89-DCCF-4339-B22E-263F350A5761}"/>
            </a:ext>
            <a:ext uri="{147F2762-F138-4A5C-976F-8EAC2B608ADB}">
              <a16:predDERef xmlns:a16="http://schemas.microsoft.com/office/drawing/2014/main" pred="{80AA165C-3206-4E68-B625-F77DEF217F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15</xdr:col>
      <xdr:colOff>9525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27C029C-E466-4994-8FE6-FF75EE6E77C4}"/>
            </a:ext>
            <a:ext uri="{147F2762-F138-4A5C-976F-8EAC2B608ADB}">
              <a16:predDERef xmlns:a16="http://schemas.microsoft.com/office/drawing/2014/main" pred="{8D555FAD-C509-4674-A919-7104B6A0F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55192E2-769F-4F36-BE03-39A6678E428E}"/>
            </a:ext>
            <a:ext uri="{147F2762-F138-4A5C-976F-8EAC2B608ADB}">
              <a16:predDERef xmlns:a16="http://schemas.microsoft.com/office/drawing/2014/main" pred="{F88F6764-367F-417D-8E7C-2F076FFDA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44FD05-6CD2-48A1-BBE8-F2C8243B2A51}"/>
            </a:ext>
            <a:ext uri="{147F2762-F138-4A5C-976F-8EAC2B608ADB}">
              <a16:predDERef xmlns:a16="http://schemas.microsoft.com/office/drawing/2014/main" pred="{1BCE7D5D-5D4A-4B14-9785-0E80ACEA0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4814626-AC40-4E5B-AC51-FEF85E03AE9B}"/>
            </a:ext>
            <a:ext uri="{147F2762-F138-4A5C-976F-8EAC2B608ADB}">
              <a16:predDERef xmlns:a16="http://schemas.microsoft.com/office/drawing/2014/main" pred="{3C4D24B2-2AD3-46E5-A6A8-459033B883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1C8081E-649F-4C92-B895-E6FEA91E412A}"/>
            </a:ext>
            <a:ext uri="{147F2762-F138-4A5C-976F-8EAC2B608ADB}">
              <a16:predDERef xmlns:a16="http://schemas.microsoft.com/office/drawing/2014/main" pred="{3A7378AC-40A4-4240-B84F-24C5DF0A4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695325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D8FF50-2A52-4CCE-A6EC-12AEBBF57EC5}"/>
            </a:ext>
            <a:ext uri="{147F2762-F138-4A5C-976F-8EAC2B608ADB}">
              <a16:predDERef xmlns:a16="http://schemas.microsoft.com/office/drawing/2014/main" pred="{A1ED75FC-14A8-459A-8F5C-B2E1FB8BB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14</xdr:col>
      <xdr:colOff>704850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AF0DB6C-6C84-474B-872F-33BC59E9C792}"/>
            </a:ext>
            <a:ext uri="{147F2762-F138-4A5C-976F-8EAC2B608ADB}">
              <a16:predDERef xmlns:a16="http://schemas.microsoft.com/office/drawing/2014/main" pred="{E2D82081-63D6-4A5B-BEC4-BD18493422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16FA46-2EE0-4302-BA23-DD6AFB2F3597}"/>
            </a:ext>
            <a:ext uri="{147F2762-F138-4A5C-976F-8EAC2B608ADB}">
              <a16:predDERef xmlns:a16="http://schemas.microsoft.com/office/drawing/2014/main" pred="{9A2B3C59-95B9-446B-887A-31DBA58D3B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16</xdr:row>
      <xdr:rowOff>180975</xdr:rowOff>
    </xdr:from>
    <xdr:to>
      <xdr:col>15</xdr:col>
      <xdr:colOff>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B3FC53-4F32-4285-A1C0-F487F23A2A8B}"/>
            </a:ext>
            <a:ext uri="{147F2762-F138-4A5C-976F-8EAC2B608ADB}">
              <a16:predDERef xmlns:a16="http://schemas.microsoft.com/office/drawing/2014/main" pred="{13F3C40B-6310-492B-9466-BAA7503957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16</xdr:row>
      <xdr:rowOff>171450</xdr:rowOff>
    </xdr:from>
    <xdr:to>
      <xdr:col>14</xdr:col>
      <xdr:colOff>704850</xdr:colOff>
      <xdr:row>28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DC37930-C12E-4CDD-BABB-7243AC1DCFFD}"/>
            </a:ext>
            <a:ext uri="{147F2762-F138-4A5C-976F-8EAC2B608ADB}">
              <a16:predDERef xmlns:a16="http://schemas.microsoft.com/office/drawing/2014/main" pred="{99632AC3-CF7A-400E-9F7D-7908992B5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16</xdr:row>
      <xdr:rowOff>171450</xdr:rowOff>
    </xdr:from>
    <xdr:to>
      <xdr:col>15</xdr:col>
      <xdr:colOff>0</xdr:colOff>
      <xdr:row>29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76E1C1-8A80-4354-90F0-94022FE587F4}"/>
            </a:ext>
            <a:ext uri="{147F2762-F138-4A5C-976F-8EAC2B608ADB}">
              <a16:predDERef xmlns:a16="http://schemas.microsoft.com/office/drawing/2014/main" pred="{B3F12E1C-C432-4126-8335-CCFBB64B44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34" totalsRowShown="0" headerRowDxfId="31" dataDxfId="30">
  <autoFilter ref="A1:H34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34" totalsRowShown="0" headerRowDxfId="21" dataDxfId="20">
  <autoFilter ref="A1:L34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zoomScaleNormal="100" workbookViewId="0">
      <selection activeCell="B2" sqref="B2:B34"/>
    </sheetView>
  </sheetViews>
  <sheetFormatPr defaultColWidth="16.140625" defaultRowHeight="15"/>
  <cols>
    <col min="1" max="1" width="16.140625" style="114"/>
    <col min="2" max="16384" width="16.140625" style="79"/>
  </cols>
  <sheetData>
    <row r="1" spans="1:10" s="113" customFormat="1">
      <c r="A1" s="111" t="s">
        <v>0</v>
      </c>
      <c r="B1" s="111" t="s">
        <v>1</v>
      </c>
      <c r="C1" s="111" t="s">
        <v>2</v>
      </c>
      <c r="D1" s="111" t="s">
        <v>3</v>
      </c>
      <c r="E1" s="111" t="s">
        <v>4</v>
      </c>
      <c r="F1" s="111" t="s">
        <v>5</v>
      </c>
      <c r="G1" s="111" t="s">
        <v>6</v>
      </c>
      <c r="H1" s="111" t="s">
        <v>7</v>
      </c>
      <c r="I1" s="112"/>
      <c r="J1" s="112"/>
    </row>
    <row r="2" spans="1:10">
      <c r="A2" s="114" t="s">
        <v>8</v>
      </c>
      <c r="B2" s="114" t="s">
        <v>9</v>
      </c>
      <c r="C2" s="79" t="s">
        <v>10</v>
      </c>
      <c r="D2" s="79" t="s">
        <v>11</v>
      </c>
      <c r="E2" s="79" t="s">
        <v>12</v>
      </c>
      <c r="F2" s="79" t="s">
        <v>13</v>
      </c>
      <c r="G2" s="79" t="s">
        <v>13</v>
      </c>
      <c r="H2" s="79" t="s">
        <v>13</v>
      </c>
    </row>
    <row r="3" spans="1:10">
      <c r="A3" s="114" t="s">
        <v>14</v>
      </c>
      <c r="B3" s="114" t="s">
        <v>9</v>
      </c>
      <c r="C3" s="79" t="s">
        <v>10</v>
      </c>
      <c r="D3" s="79" t="s">
        <v>11</v>
      </c>
      <c r="E3" s="79" t="s">
        <v>12</v>
      </c>
      <c r="F3" s="79" t="s">
        <v>15</v>
      </c>
      <c r="G3" s="79" t="s">
        <v>13</v>
      </c>
      <c r="H3" s="79" t="s">
        <v>13</v>
      </c>
    </row>
    <row r="4" spans="1:10">
      <c r="A4" s="114" t="s">
        <v>8</v>
      </c>
      <c r="B4" s="114" t="s">
        <v>9</v>
      </c>
      <c r="C4" s="79" t="s">
        <v>10</v>
      </c>
      <c r="D4" s="79" t="s">
        <v>11</v>
      </c>
      <c r="E4" s="79" t="s">
        <v>12</v>
      </c>
      <c r="F4" s="79" t="s">
        <v>16</v>
      </c>
      <c r="G4" s="79" t="s">
        <v>16</v>
      </c>
      <c r="H4" s="79" t="s">
        <v>16</v>
      </c>
    </row>
    <row r="5" spans="1:10">
      <c r="A5" s="114" t="s">
        <v>8</v>
      </c>
      <c r="B5" s="114" t="s">
        <v>9</v>
      </c>
      <c r="C5" s="79" t="s">
        <v>10</v>
      </c>
      <c r="D5" s="79" t="s">
        <v>11</v>
      </c>
      <c r="E5" s="79" t="s">
        <v>12</v>
      </c>
      <c r="F5" s="79" t="s">
        <v>15</v>
      </c>
      <c r="G5" s="79" t="s">
        <v>15</v>
      </c>
      <c r="H5" s="79" t="s">
        <v>13</v>
      </c>
    </row>
    <row r="6" spans="1:10">
      <c r="A6" s="114" t="s">
        <v>14</v>
      </c>
      <c r="B6" s="114" t="s">
        <v>9</v>
      </c>
      <c r="C6" s="79" t="s">
        <v>10</v>
      </c>
      <c r="D6" s="79" t="s">
        <v>11</v>
      </c>
      <c r="E6" s="79" t="s">
        <v>12</v>
      </c>
      <c r="F6" s="79" t="s">
        <v>13</v>
      </c>
      <c r="G6" s="79" t="s">
        <v>13</v>
      </c>
      <c r="H6" s="79" t="s">
        <v>13</v>
      </c>
    </row>
    <row r="7" spans="1:10">
      <c r="A7" s="114" t="s">
        <v>8</v>
      </c>
      <c r="B7" s="114" t="s">
        <v>9</v>
      </c>
      <c r="C7" s="79" t="s">
        <v>17</v>
      </c>
      <c r="D7" s="79" t="s">
        <v>18</v>
      </c>
      <c r="E7" s="79" t="s">
        <v>19</v>
      </c>
      <c r="F7" s="79" t="s">
        <v>13</v>
      </c>
      <c r="G7" s="79" t="s">
        <v>13</v>
      </c>
      <c r="H7" s="79" t="s">
        <v>13</v>
      </c>
    </row>
    <row r="8" spans="1:10">
      <c r="A8" s="114" t="s">
        <v>8</v>
      </c>
      <c r="B8" s="114" t="s">
        <v>9</v>
      </c>
      <c r="C8" s="79" t="s">
        <v>17</v>
      </c>
      <c r="D8" s="79" t="s">
        <v>11</v>
      </c>
      <c r="E8" s="79" t="s">
        <v>19</v>
      </c>
      <c r="F8" s="79" t="s">
        <v>20</v>
      </c>
      <c r="G8" s="79" t="s">
        <v>13</v>
      </c>
      <c r="H8" s="79" t="s">
        <v>15</v>
      </c>
    </row>
    <row r="9" spans="1:10">
      <c r="A9" s="114" t="s">
        <v>8</v>
      </c>
      <c r="B9" s="114" t="s">
        <v>9</v>
      </c>
      <c r="C9" s="79" t="s">
        <v>10</v>
      </c>
      <c r="D9" s="79" t="s">
        <v>11</v>
      </c>
      <c r="E9" s="79" t="s">
        <v>12</v>
      </c>
      <c r="F9" s="79" t="s">
        <v>13</v>
      </c>
      <c r="G9" s="79" t="s">
        <v>13</v>
      </c>
      <c r="H9" s="79" t="s">
        <v>21</v>
      </c>
    </row>
    <row r="10" spans="1:10">
      <c r="A10" s="114" t="s">
        <v>8</v>
      </c>
      <c r="B10" s="114" t="s">
        <v>9</v>
      </c>
      <c r="C10" s="79" t="s">
        <v>22</v>
      </c>
      <c r="D10" s="79" t="s">
        <v>18</v>
      </c>
      <c r="E10" s="79" t="s">
        <v>12</v>
      </c>
      <c r="F10" s="79" t="s">
        <v>20</v>
      </c>
      <c r="G10" s="79" t="s">
        <v>21</v>
      </c>
      <c r="H10" s="79" t="s">
        <v>21</v>
      </c>
    </row>
    <row r="11" spans="1:10">
      <c r="A11" s="114" t="s">
        <v>8</v>
      </c>
      <c r="B11" s="114" t="s">
        <v>9</v>
      </c>
      <c r="C11" s="79" t="s">
        <v>17</v>
      </c>
      <c r="D11" s="79" t="s">
        <v>18</v>
      </c>
      <c r="E11" s="79" t="s">
        <v>19</v>
      </c>
      <c r="F11" s="79" t="s">
        <v>15</v>
      </c>
      <c r="G11" s="79" t="s">
        <v>15</v>
      </c>
      <c r="H11" s="79" t="s">
        <v>15</v>
      </c>
    </row>
    <row r="12" spans="1:10">
      <c r="A12" s="114" t="s">
        <v>8</v>
      </c>
      <c r="B12" s="114" t="s">
        <v>9</v>
      </c>
      <c r="C12" s="79" t="s">
        <v>10</v>
      </c>
      <c r="D12" s="79" t="s">
        <v>11</v>
      </c>
      <c r="E12" s="79" t="s">
        <v>12</v>
      </c>
      <c r="F12" s="79" t="s">
        <v>13</v>
      </c>
      <c r="G12" s="79" t="s">
        <v>13</v>
      </c>
      <c r="H12" s="79" t="s">
        <v>15</v>
      </c>
    </row>
    <row r="13" spans="1:10">
      <c r="A13" s="114" t="s">
        <v>14</v>
      </c>
      <c r="B13" s="114" t="s">
        <v>9</v>
      </c>
      <c r="C13" s="79" t="s">
        <v>22</v>
      </c>
      <c r="D13" s="79" t="s">
        <v>11</v>
      </c>
      <c r="E13" s="79" t="s">
        <v>12</v>
      </c>
      <c r="F13" s="79" t="s">
        <v>16</v>
      </c>
      <c r="G13" s="79" t="s">
        <v>16</v>
      </c>
      <c r="H13" s="79" t="s">
        <v>16</v>
      </c>
    </row>
    <row r="14" spans="1:10">
      <c r="A14" s="114" t="s">
        <v>14</v>
      </c>
      <c r="B14" s="114" t="s">
        <v>9</v>
      </c>
      <c r="C14" s="79" t="s">
        <v>17</v>
      </c>
      <c r="D14" s="79" t="s">
        <v>11</v>
      </c>
      <c r="E14" s="79" t="s">
        <v>12</v>
      </c>
      <c r="F14" s="79" t="s">
        <v>15</v>
      </c>
      <c r="G14" s="79" t="s">
        <v>13</v>
      </c>
      <c r="H14" s="79" t="s">
        <v>15</v>
      </c>
    </row>
    <row r="15" spans="1:10">
      <c r="A15" s="114" t="s">
        <v>8</v>
      </c>
      <c r="B15" s="114" t="s">
        <v>9</v>
      </c>
      <c r="C15" s="79" t="s">
        <v>17</v>
      </c>
      <c r="D15" s="79" t="s">
        <v>18</v>
      </c>
      <c r="E15" s="79" t="s">
        <v>12</v>
      </c>
      <c r="F15" s="79" t="s">
        <v>21</v>
      </c>
      <c r="G15" s="79" t="s">
        <v>21</v>
      </c>
      <c r="H15" s="79" t="s">
        <v>21</v>
      </c>
    </row>
    <row r="16" spans="1:10">
      <c r="A16" s="114" t="s">
        <v>14</v>
      </c>
      <c r="B16" s="114" t="s">
        <v>9</v>
      </c>
      <c r="C16" s="79" t="s">
        <v>10</v>
      </c>
      <c r="D16" s="79" t="s">
        <v>11</v>
      </c>
      <c r="E16" s="79" t="s">
        <v>12</v>
      </c>
      <c r="F16" s="79" t="s">
        <v>13</v>
      </c>
      <c r="G16" s="79" t="s">
        <v>13</v>
      </c>
      <c r="H16" s="79" t="s">
        <v>15</v>
      </c>
    </row>
    <row r="17" spans="1:8">
      <c r="A17" s="114" t="s">
        <v>8</v>
      </c>
      <c r="B17" s="114" t="s">
        <v>9</v>
      </c>
      <c r="C17" s="79" t="s">
        <v>17</v>
      </c>
      <c r="D17" s="79" t="s">
        <v>11</v>
      </c>
      <c r="E17" s="79" t="s">
        <v>12</v>
      </c>
      <c r="F17" s="79" t="s">
        <v>13</v>
      </c>
      <c r="G17" s="79" t="s">
        <v>13</v>
      </c>
      <c r="H17" s="79" t="s">
        <v>13</v>
      </c>
    </row>
    <row r="18" spans="1:8">
      <c r="A18" s="114" t="s">
        <v>8</v>
      </c>
      <c r="B18" s="114" t="s">
        <v>9</v>
      </c>
      <c r="C18" s="79" t="s">
        <v>10</v>
      </c>
      <c r="D18" s="79" t="s">
        <v>11</v>
      </c>
      <c r="E18" s="79" t="s">
        <v>19</v>
      </c>
      <c r="F18" s="79" t="s">
        <v>16</v>
      </c>
      <c r="G18" s="79" t="s">
        <v>16</v>
      </c>
      <c r="H18" s="79" t="s">
        <v>16</v>
      </c>
    </row>
    <row r="19" spans="1:8">
      <c r="A19" s="114" t="s">
        <v>14</v>
      </c>
      <c r="B19" s="114" t="s">
        <v>9</v>
      </c>
      <c r="C19" s="79" t="s">
        <v>22</v>
      </c>
      <c r="D19" s="79" t="s">
        <v>11</v>
      </c>
      <c r="E19" s="79" t="s">
        <v>12</v>
      </c>
      <c r="F19" s="79" t="s">
        <v>13</v>
      </c>
      <c r="G19" s="79" t="s">
        <v>13</v>
      </c>
      <c r="H19" s="79" t="s">
        <v>13</v>
      </c>
    </row>
    <row r="20" spans="1:8">
      <c r="A20" s="114" t="s">
        <v>8</v>
      </c>
      <c r="B20" s="114" t="s">
        <v>9</v>
      </c>
      <c r="C20" s="79" t="s">
        <v>10</v>
      </c>
      <c r="D20" s="79" t="s">
        <v>11</v>
      </c>
      <c r="E20" s="79" t="s">
        <v>12</v>
      </c>
      <c r="F20" s="79" t="s">
        <v>13</v>
      </c>
      <c r="G20" s="79" t="s">
        <v>13</v>
      </c>
      <c r="H20" s="79" t="s">
        <v>16</v>
      </c>
    </row>
    <row r="21" spans="1:8">
      <c r="A21" s="114" t="s">
        <v>8</v>
      </c>
      <c r="B21" s="114" t="s">
        <v>9</v>
      </c>
      <c r="C21" s="79" t="s">
        <v>10</v>
      </c>
      <c r="D21" s="79" t="s">
        <v>11</v>
      </c>
      <c r="E21" s="79" t="s">
        <v>12</v>
      </c>
      <c r="F21" s="79" t="s">
        <v>13</v>
      </c>
      <c r="G21" s="79" t="s">
        <v>13</v>
      </c>
      <c r="H21" s="79" t="s">
        <v>13</v>
      </c>
    </row>
    <row r="22" spans="1:8">
      <c r="A22" s="114" t="s">
        <v>8</v>
      </c>
      <c r="B22" s="114" t="s">
        <v>9</v>
      </c>
      <c r="C22" s="79" t="s">
        <v>10</v>
      </c>
      <c r="D22" s="79" t="s">
        <v>11</v>
      </c>
      <c r="E22" s="79" t="s">
        <v>12</v>
      </c>
      <c r="F22" s="79" t="s">
        <v>16</v>
      </c>
      <c r="G22" s="79" t="s">
        <v>16</v>
      </c>
      <c r="H22" s="79" t="s">
        <v>13</v>
      </c>
    </row>
    <row r="23" spans="1:8">
      <c r="A23" s="114" t="s">
        <v>8</v>
      </c>
      <c r="B23" s="114" t="s">
        <v>9</v>
      </c>
      <c r="C23" s="79" t="s">
        <v>10</v>
      </c>
      <c r="D23" s="79" t="s">
        <v>11</v>
      </c>
      <c r="E23" s="79" t="s">
        <v>12</v>
      </c>
      <c r="F23" s="79" t="s">
        <v>15</v>
      </c>
      <c r="G23" s="79" t="s">
        <v>13</v>
      </c>
      <c r="H23" s="79" t="s">
        <v>13</v>
      </c>
    </row>
    <row r="24" spans="1:8">
      <c r="A24" s="114" t="s">
        <v>14</v>
      </c>
      <c r="B24" s="114" t="s">
        <v>9</v>
      </c>
      <c r="C24" s="79" t="s">
        <v>17</v>
      </c>
      <c r="D24" s="79" t="s">
        <v>11</v>
      </c>
      <c r="E24" s="79" t="s">
        <v>19</v>
      </c>
      <c r="F24" s="79" t="s">
        <v>21</v>
      </c>
      <c r="G24" s="79" t="s">
        <v>21</v>
      </c>
      <c r="H24" s="79" t="s">
        <v>21</v>
      </c>
    </row>
    <row r="25" spans="1:8">
      <c r="A25" s="114" t="s">
        <v>8</v>
      </c>
      <c r="B25" s="114" t="s">
        <v>9</v>
      </c>
      <c r="C25" s="79" t="s">
        <v>10</v>
      </c>
      <c r="D25" s="79" t="s">
        <v>11</v>
      </c>
      <c r="E25" s="79" t="s">
        <v>12</v>
      </c>
      <c r="F25" s="79" t="s">
        <v>21</v>
      </c>
      <c r="G25" s="79" t="s">
        <v>13</v>
      </c>
      <c r="H25" s="79" t="s">
        <v>21</v>
      </c>
    </row>
    <row r="26" spans="1:8">
      <c r="A26" s="114" t="s">
        <v>8</v>
      </c>
      <c r="B26" s="114" t="s">
        <v>9</v>
      </c>
      <c r="C26" s="79" t="s">
        <v>10</v>
      </c>
      <c r="D26" s="79" t="s">
        <v>11</v>
      </c>
      <c r="E26" s="79" t="s">
        <v>12</v>
      </c>
      <c r="F26" s="79" t="s">
        <v>15</v>
      </c>
      <c r="G26" s="79" t="s">
        <v>15</v>
      </c>
      <c r="H26" s="79" t="s">
        <v>13</v>
      </c>
    </row>
    <row r="27" spans="1:8">
      <c r="A27" s="114" t="s">
        <v>14</v>
      </c>
      <c r="B27" s="114" t="s">
        <v>9</v>
      </c>
      <c r="C27" s="79" t="s">
        <v>10</v>
      </c>
      <c r="D27" s="79" t="s">
        <v>18</v>
      </c>
      <c r="E27" s="79" t="s">
        <v>12</v>
      </c>
      <c r="F27" s="79" t="s">
        <v>13</v>
      </c>
      <c r="G27" s="79" t="s">
        <v>13</v>
      </c>
      <c r="H27" s="79" t="s">
        <v>13</v>
      </c>
    </row>
    <row r="28" spans="1:8">
      <c r="A28" s="114" t="s">
        <v>8</v>
      </c>
      <c r="B28" s="114" t="s">
        <v>9</v>
      </c>
      <c r="C28" s="79" t="s">
        <v>17</v>
      </c>
      <c r="D28" s="79" t="s">
        <v>11</v>
      </c>
      <c r="E28" s="79" t="s">
        <v>12</v>
      </c>
      <c r="F28" s="79" t="s">
        <v>13</v>
      </c>
      <c r="G28" s="79" t="s">
        <v>13</v>
      </c>
      <c r="H28" s="79" t="s">
        <v>13</v>
      </c>
    </row>
    <row r="29" spans="1:8">
      <c r="A29" s="114" t="s">
        <v>8</v>
      </c>
      <c r="B29" s="114" t="s">
        <v>9</v>
      </c>
      <c r="C29" s="79" t="s">
        <v>10</v>
      </c>
      <c r="D29" s="79" t="s">
        <v>11</v>
      </c>
      <c r="E29" s="79" t="s">
        <v>19</v>
      </c>
      <c r="F29" s="79" t="s">
        <v>15</v>
      </c>
      <c r="G29" s="79" t="s">
        <v>15</v>
      </c>
      <c r="H29" s="79" t="s">
        <v>15</v>
      </c>
    </row>
    <row r="30" spans="1:8">
      <c r="A30" s="114" t="s">
        <v>8</v>
      </c>
      <c r="B30" s="114" t="s">
        <v>9</v>
      </c>
      <c r="C30" s="79" t="s">
        <v>10</v>
      </c>
      <c r="D30" s="79" t="s">
        <v>11</v>
      </c>
      <c r="E30" s="79" t="s">
        <v>12</v>
      </c>
      <c r="F30" s="79" t="s">
        <v>20</v>
      </c>
      <c r="G30" s="79" t="s">
        <v>15</v>
      </c>
      <c r="H30" s="79" t="s">
        <v>13</v>
      </c>
    </row>
    <row r="31" spans="1:8">
      <c r="A31" s="114" t="s">
        <v>8</v>
      </c>
      <c r="B31" s="114" t="s">
        <v>9</v>
      </c>
      <c r="C31" s="79" t="s">
        <v>10</v>
      </c>
      <c r="D31" s="79" t="s">
        <v>11</v>
      </c>
      <c r="E31" s="79" t="s">
        <v>12</v>
      </c>
      <c r="F31" s="79" t="s">
        <v>15</v>
      </c>
      <c r="G31" s="79" t="s">
        <v>21</v>
      </c>
      <c r="H31" s="79" t="s">
        <v>21</v>
      </c>
    </row>
    <row r="32" spans="1:8">
      <c r="A32" s="114" t="s">
        <v>8</v>
      </c>
      <c r="B32" s="114" t="s">
        <v>9</v>
      </c>
      <c r="C32" s="79" t="s">
        <v>10</v>
      </c>
      <c r="D32" s="79" t="s">
        <v>11</v>
      </c>
      <c r="E32" s="79" t="s">
        <v>12</v>
      </c>
      <c r="F32" s="79" t="s">
        <v>13</v>
      </c>
      <c r="G32" s="79" t="s">
        <v>13</v>
      </c>
      <c r="H32" s="79" t="s">
        <v>13</v>
      </c>
    </row>
    <row r="33" spans="1:8">
      <c r="A33" s="114" t="s">
        <v>8</v>
      </c>
      <c r="B33" s="114" t="s">
        <v>9</v>
      </c>
      <c r="C33" s="79" t="s">
        <v>10</v>
      </c>
      <c r="D33" s="79" t="s">
        <v>11</v>
      </c>
      <c r="E33" s="79" t="s">
        <v>12</v>
      </c>
      <c r="F33" s="79" t="s">
        <v>13</v>
      </c>
      <c r="G33" s="79" t="s">
        <v>13</v>
      </c>
      <c r="H33" s="79" t="s">
        <v>20</v>
      </c>
    </row>
    <row r="34" spans="1:8">
      <c r="A34" s="114" t="s">
        <v>8</v>
      </c>
      <c r="B34" s="114" t="s">
        <v>9</v>
      </c>
      <c r="C34" s="79" t="s">
        <v>10</v>
      </c>
      <c r="D34" s="79" t="s">
        <v>11</v>
      </c>
      <c r="E34" s="79" t="s">
        <v>12</v>
      </c>
      <c r="F34" s="79" t="s">
        <v>13</v>
      </c>
      <c r="G34" s="79" t="s">
        <v>13</v>
      </c>
      <c r="H34" s="79" t="s">
        <v>16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zoomScale="90" zoomScaleNormal="90" workbookViewId="0">
      <selection activeCell="E6" sqref="E6"/>
    </sheetView>
  </sheetViews>
  <sheetFormatPr defaultColWidth="18" defaultRowHeight="15"/>
  <cols>
    <col min="1" max="1" width="18" style="80" customWidth="1"/>
    <col min="2" max="2" width="18" style="79"/>
    <col min="3" max="3" width="11.140625" style="79" customWidth="1"/>
    <col min="4" max="4" width="22.85546875" style="79" bestFit="1" customWidth="1"/>
    <col min="5" max="7" width="18" style="79"/>
    <col min="8" max="8" width="18" style="79" customWidth="1"/>
    <col min="9" max="9" width="18" style="79"/>
    <col min="10" max="10" width="18" style="79" customWidth="1"/>
    <col min="11" max="16384" width="18" style="79"/>
  </cols>
  <sheetData>
    <row r="1" spans="1:12" s="78" customFormat="1" ht="12.75" customHeight="1">
      <c r="A1" s="76" t="s">
        <v>0</v>
      </c>
      <c r="B1" s="77" t="s">
        <v>1</v>
      </c>
      <c r="C1" s="76" t="s">
        <v>23</v>
      </c>
      <c r="D1" s="76" t="s">
        <v>24</v>
      </c>
      <c r="E1" s="76" t="s">
        <v>25</v>
      </c>
      <c r="F1" s="76" t="s">
        <v>26</v>
      </c>
      <c r="G1" s="76" t="s">
        <v>27</v>
      </c>
      <c r="H1" s="76" t="s">
        <v>28</v>
      </c>
      <c r="I1" s="76" t="s">
        <v>29</v>
      </c>
      <c r="J1" s="76" t="s">
        <v>30</v>
      </c>
      <c r="K1" s="76" t="s">
        <v>31</v>
      </c>
      <c r="L1" s="76" t="s">
        <v>32</v>
      </c>
    </row>
    <row r="2" spans="1:12">
      <c r="A2" s="79" t="s">
        <v>8</v>
      </c>
      <c r="B2" s="79" t="s">
        <v>9</v>
      </c>
      <c r="C2" s="79" t="s">
        <v>13</v>
      </c>
      <c r="D2" s="79" t="s">
        <v>13</v>
      </c>
      <c r="E2" s="79" t="s">
        <v>13</v>
      </c>
      <c r="F2" s="79" t="s">
        <v>13</v>
      </c>
      <c r="G2" s="79" t="s">
        <v>13</v>
      </c>
      <c r="H2" s="79" t="s">
        <v>13</v>
      </c>
      <c r="I2" s="79" t="s">
        <v>13</v>
      </c>
      <c r="J2" s="79" t="s">
        <v>16</v>
      </c>
      <c r="K2" s="79" t="s">
        <v>16</v>
      </c>
      <c r="L2" s="79" t="s">
        <v>16</v>
      </c>
    </row>
    <row r="3" spans="1:12">
      <c r="A3" s="79" t="s">
        <v>14</v>
      </c>
      <c r="B3" s="79" t="s">
        <v>9</v>
      </c>
      <c r="C3" s="79" t="s">
        <v>13</v>
      </c>
      <c r="D3" s="79" t="s">
        <v>13</v>
      </c>
      <c r="E3" s="79" t="s">
        <v>13</v>
      </c>
      <c r="F3" s="79" t="s">
        <v>16</v>
      </c>
      <c r="G3" s="79" t="s">
        <v>15</v>
      </c>
      <c r="H3" s="79" t="s">
        <v>13</v>
      </c>
      <c r="I3" s="79" t="s">
        <v>13</v>
      </c>
      <c r="J3" s="79" t="s">
        <v>13</v>
      </c>
      <c r="K3" s="79" t="s">
        <v>13</v>
      </c>
      <c r="L3" s="79" t="s">
        <v>13</v>
      </c>
    </row>
    <row r="4" spans="1:12">
      <c r="A4" s="79" t="s">
        <v>8</v>
      </c>
      <c r="B4" s="79" t="s">
        <v>9</v>
      </c>
      <c r="C4" s="79" t="s">
        <v>13</v>
      </c>
      <c r="D4" s="79" t="s">
        <v>13</v>
      </c>
      <c r="E4" s="79" t="s">
        <v>13</v>
      </c>
      <c r="F4" s="79" t="s">
        <v>15</v>
      </c>
      <c r="G4" s="79" t="s">
        <v>13</v>
      </c>
      <c r="H4" s="79" t="s">
        <v>13</v>
      </c>
      <c r="I4" s="79" t="s">
        <v>16</v>
      </c>
      <c r="J4" s="79" t="s">
        <v>13</v>
      </c>
      <c r="K4" s="79" t="s">
        <v>13</v>
      </c>
      <c r="L4" s="79" t="s">
        <v>13</v>
      </c>
    </row>
    <row r="5" spans="1:12">
      <c r="A5" s="79" t="s">
        <v>8</v>
      </c>
      <c r="B5" s="79" t="s">
        <v>9</v>
      </c>
      <c r="C5" s="79" t="s">
        <v>13</v>
      </c>
      <c r="D5" s="79" t="s">
        <v>13</v>
      </c>
      <c r="E5" s="79" t="s">
        <v>13</v>
      </c>
      <c r="F5" s="79" t="s">
        <v>15</v>
      </c>
      <c r="G5" s="79" t="s">
        <v>15</v>
      </c>
      <c r="H5" s="79" t="s">
        <v>13</v>
      </c>
      <c r="I5" s="79" t="s">
        <v>20</v>
      </c>
      <c r="J5" s="79" t="s">
        <v>20</v>
      </c>
      <c r="K5" s="79" t="s">
        <v>15</v>
      </c>
      <c r="L5" s="79" t="s">
        <v>15</v>
      </c>
    </row>
    <row r="6" spans="1:12">
      <c r="A6" s="79" t="s">
        <v>14</v>
      </c>
      <c r="B6" s="79" t="s">
        <v>9</v>
      </c>
      <c r="C6" s="79" t="s">
        <v>13</v>
      </c>
      <c r="D6" s="79" t="s">
        <v>16</v>
      </c>
      <c r="E6" s="79" t="s">
        <v>16</v>
      </c>
      <c r="F6" s="79" t="s">
        <v>16</v>
      </c>
      <c r="G6" s="79" t="s">
        <v>16</v>
      </c>
      <c r="H6" s="79" t="s">
        <v>16</v>
      </c>
      <c r="I6" s="79" t="s">
        <v>13</v>
      </c>
      <c r="J6" s="79" t="s">
        <v>16</v>
      </c>
      <c r="K6" s="79" t="s">
        <v>16</v>
      </c>
      <c r="L6" s="79" t="s">
        <v>16</v>
      </c>
    </row>
    <row r="7" spans="1:12">
      <c r="A7" s="79" t="s">
        <v>14</v>
      </c>
      <c r="B7" s="79" t="s">
        <v>9</v>
      </c>
      <c r="C7" s="79" t="s">
        <v>13</v>
      </c>
      <c r="D7" s="79" t="s">
        <v>13</v>
      </c>
      <c r="E7" s="79" t="s">
        <v>15</v>
      </c>
      <c r="F7" s="79" t="s">
        <v>13</v>
      </c>
      <c r="G7" s="79" t="s">
        <v>13</v>
      </c>
      <c r="H7" s="79" t="s">
        <v>13</v>
      </c>
      <c r="I7" s="79" t="s">
        <v>15</v>
      </c>
      <c r="J7" s="79" t="s">
        <v>13</v>
      </c>
      <c r="K7" s="79" t="s">
        <v>13</v>
      </c>
      <c r="L7" s="79" t="s">
        <v>13</v>
      </c>
    </row>
    <row r="8" spans="1:12">
      <c r="A8" s="79" t="s">
        <v>14</v>
      </c>
      <c r="B8" s="79" t="s">
        <v>9</v>
      </c>
      <c r="C8" s="79" t="s">
        <v>13</v>
      </c>
      <c r="D8" s="79" t="s">
        <v>13</v>
      </c>
      <c r="E8" s="79" t="s">
        <v>13</v>
      </c>
      <c r="F8" s="79" t="s">
        <v>13</v>
      </c>
      <c r="G8" s="79" t="s">
        <v>13</v>
      </c>
      <c r="H8" s="79" t="s">
        <v>13</v>
      </c>
      <c r="I8" s="79" t="s">
        <v>13</v>
      </c>
      <c r="J8" s="79" t="s">
        <v>13</v>
      </c>
      <c r="K8" s="79" t="s">
        <v>21</v>
      </c>
      <c r="L8" s="79" t="s">
        <v>16</v>
      </c>
    </row>
    <row r="9" spans="1:12">
      <c r="A9" s="79" t="s">
        <v>8</v>
      </c>
      <c r="B9" s="79" t="s">
        <v>9</v>
      </c>
      <c r="C9" s="79" t="s">
        <v>13</v>
      </c>
      <c r="D9" s="79" t="s">
        <v>13</v>
      </c>
      <c r="E9" s="79" t="s">
        <v>13</v>
      </c>
      <c r="F9" s="79" t="s">
        <v>13</v>
      </c>
      <c r="G9" s="79" t="s">
        <v>13</v>
      </c>
      <c r="H9" s="79" t="s">
        <v>16</v>
      </c>
      <c r="I9" s="79" t="s">
        <v>21</v>
      </c>
      <c r="J9" s="79" t="s">
        <v>16</v>
      </c>
      <c r="K9" s="79" t="s">
        <v>16</v>
      </c>
      <c r="L9" s="79" t="s">
        <v>16</v>
      </c>
    </row>
    <row r="10" spans="1:12">
      <c r="A10" s="79" t="s">
        <v>14</v>
      </c>
      <c r="B10" s="79" t="s">
        <v>9</v>
      </c>
      <c r="C10" s="79" t="s">
        <v>13</v>
      </c>
      <c r="D10" s="79" t="s">
        <v>16</v>
      </c>
      <c r="E10" s="79" t="s">
        <v>16</v>
      </c>
      <c r="F10" s="79" t="s">
        <v>13</v>
      </c>
      <c r="G10" s="79" t="s">
        <v>13</v>
      </c>
      <c r="H10" s="79" t="s">
        <v>16</v>
      </c>
      <c r="I10" s="79" t="s">
        <v>16</v>
      </c>
      <c r="J10" s="79" t="s">
        <v>16</v>
      </c>
      <c r="K10" s="79" t="s">
        <v>16</v>
      </c>
      <c r="L10" s="79" t="s">
        <v>16</v>
      </c>
    </row>
    <row r="11" spans="1:12">
      <c r="A11" s="79" t="s">
        <v>8</v>
      </c>
      <c r="B11" s="79" t="s">
        <v>9</v>
      </c>
      <c r="C11" s="79" t="s">
        <v>13</v>
      </c>
      <c r="D11" s="79" t="s">
        <v>13</v>
      </c>
      <c r="E11" s="79" t="s">
        <v>13</v>
      </c>
      <c r="F11" s="79" t="s">
        <v>13</v>
      </c>
      <c r="G11" s="79" t="s">
        <v>16</v>
      </c>
      <c r="H11" s="79" t="s">
        <v>13</v>
      </c>
      <c r="I11" s="79" t="s">
        <v>15</v>
      </c>
      <c r="J11" s="79" t="s">
        <v>16</v>
      </c>
      <c r="K11" s="79" t="s">
        <v>16</v>
      </c>
      <c r="L11" s="79" t="s">
        <v>16</v>
      </c>
    </row>
    <row r="12" spans="1:12">
      <c r="A12" s="79" t="s">
        <v>14</v>
      </c>
      <c r="B12" s="79" t="s">
        <v>9</v>
      </c>
      <c r="C12" s="79" t="s">
        <v>13</v>
      </c>
      <c r="D12" s="79" t="s">
        <v>13</v>
      </c>
      <c r="E12" s="79" t="s">
        <v>13</v>
      </c>
      <c r="F12" s="79" t="s">
        <v>16</v>
      </c>
      <c r="G12" s="79" t="s">
        <v>16</v>
      </c>
      <c r="H12" s="79" t="s">
        <v>16</v>
      </c>
      <c r="I12" s="79" t="s">
        <v>13</v>
      </c>
      <c r="J12" s="79" t="s">
        <v>13</v>
      </c>
      <c r="K12" s="79" t="s">
        <v>13</v>
      </c>
      <c r="L12" s="79" t="s">
        <v>13</v>
      </c>
    </row>
    <row r="13" spans="1:12">
      <c r="A13" s="79" t="s">
        <v>8</v>
      </c>
      <c r="B13" s="79" t="s">
        <v>9</v>
      </c>
      <c r="C13" s="79" t="s">
        <v>13</v>
      </c>
      <c r="D13" s="79" t="s">
        <v>21</v>
      </c>
      <c r="E13" s="79" t="s">
        <v>16</v>
      </c>
      <c r="F13" s="79" t="s">
        <v>16</v>
      </c>
      <c r="G13" s="79" t="s">
        <v>13</v>
      </c>
      <c r="H13" s="79" t="s">
        <v>13</v>
      </c>
      <c r="I13" s="79" t="s">
        <v>13</v>
      </c>
      <c r="J13" s="79" t="s">
        <v>16</v>
      </c>
      <c r="K13" s="79" t="s">
        <v>16</v>
      </c>
      <c r="L13" s="79" t="s">
        <v>13</v>
      </c>
    </row>
    <row r="14" spans="1:12">
      <c r="A14" s="79" t="s">
        <v>8</v>
      </c>
      <c r="B14" s="79" t="s">
        <v>9</v>
      </c>
      <c r="C14" s="79" t="s">
        <v>13</v>
      </c>
      <c r="D14" s="79" t="s">
        <v>13</v>
      </c>
      <c r="E14" s="79" t="s">
        <v>13</v>
      </c>
      <c r="F14" s="79" t="s">
        <v>13</v>
      </c>
      <c r="G14" s="79" t="s">
        <v>13</v>
      </c>
      <c r="H14" s="79" t="s">
        <v>13</v>
      </c>
      <c r="I14" s="79" t="s">
        <v>13</v>
      </c>
      <c r="J14" s="79" t="s">
        <v>13</v>
      </c>
      <c r="K14" s="79" t="s">
        <v>13</v>
      </c>
      <c r="L14" s="79" t="s">
        <v>13</v>
      </c>
    </row>
    <row r="15" spans="1:12">
      <c r="A15" s="79" t="s">
        <v>8</v>
      </c>
      <c r="B15" s="79" t="s">
        <v>9</v>
      </c>
      <c r="C15" s="79" t="s">
        <v>13</v>
      </c>
      <c r="D15" s="79" t="s">
        <v>13</v>
      </c>
      <c r="E15" s="79" t="s">
        <v>16</v>
      </c>
      <c r="F15" s="79" t="s">
        <v>16</v>
      </c>
      <c r="G15" s="79" t="s">
        <v>13</v>
      </c>
      <c r="H15" s="79" t="s">
        <v>16</v>
      </c>
      <c r="I15" s="79" t="s">
        <v>16</v>
      </c>
      <c r="J15" s="79" t="s">
        <v>16</v>
      </c>
      <c r="K15" s="79" t="s">
        <v>16</v>
      </c>
      <c r="L15" s="79" t="s">
        <v>16</v>
      </c>
    </row>
    <row r="16" spans="1:12">
      <c r="A16" s="79" t="s">
        <v>8</v>
      </c>
      <c r="B16" s="79" t="s">
        <v>9</v>
      </c>
      <c r="C16" s="79" t="s">
        <v>13</v>
      </c>
      <c r="D16" s="79" t="s">
        <v>13</v>
      </c>
      <c r="E16" s="79" t="s">
        <v>13</v>
      </c>
      <c r="F16" s="79" t="s">
        <v>13</v>
      </c>
      <c r="G16" s="79" t="s">
        <v>13</v>
      </c>
      <c r="H16" s="79" t="s">
        <v>13</v>
      </c>
      <c r="I16" s="79" t="s">
        <v>13</v>
      </c>
      <c r="J16" s="79" t="s">
        <v>13</v>
      </c>
      <c r="K16" s="79" t="s">
        <v>16</v>
      </c>
      <c r="L16" s="79" t="s">
        <v>13</v>
      </c>
    </row>
    <row r="17" spans="1:12">
      <c r="A17" s="79" t="s">
        <v>8</v>
      </c>
      <c r="B17" s="79" t="s">
        <v>9</v>
      </c>
      <c r="C17" s="79" t="s">
        <v>13</v>
      </c>
      <c r="D17" s="79" t="s">
        <v>13</v>
      </c>
      <c r="E17" s="79" t="s">
        <v>13</v>
      </c>
      <c r="F17" s="79" t="s">
        <v>13</v>
      </c>
      <c r="G17" s="79" t="s">
        <v>16</v>
      </c>
      <c r="H17" s="79" t="s">
        <v>16</v>
      </c>
      <c r="I17" s="79" t="s">
        <v>15</v>
      </c>
      <c r="J17" s="79" t="s">
        <v>13</v>
      </c>
      <c r="K17" s="79" t="s">
        <v>13</v>
      </c>
      <c r="L17" s="79" t="s">
        <v>13</v>
      </c>
    </row>
    <row r="18" spans="1:12">
      <c r="A18" s="79" t="s">
        <v>8</v>
      </c>
      <c r="B18" s="79" t="s">
        <v>9</v>
      </c>
      <c r="C18" s="79" t="s">
        <v>16</v>
      </c>
      <c r="D18" s="79" t="s">
        <v>16</v>
      </c>
      <c r="E18" s="79" t="s">
        <v>16</v>
      </c>
      <c r="F18" s="79" t="s">
        <v>16</v>
      </c>
      <c r="G18" s="79" t="s">
        <v>16</v>
      </c>
      <c r="H18" s="79" t="s">
        <v>16</v>
      </c>
      <c r="I18" s="79" t="s">
        <v>16</v>
      </c>
      <c r="J18" s="79" t="s">
        <v>16</v>
      </c>
      <c r="K18" s="79" t="s">
        <v>16</v>
      </c>
      <c r="L18" s="79" t="s">
        <v>16</v>
      </c>
    </row>
    <row r="19" spans="1:12">
      <c r="A19" s="79" t="s">
        <v>8</v>
      </c>
      <c r="B19" s="79" t="s">
        <v>9</v>
      </c>
      <c r="C19" s="79" t="s">
        <v>16</v>
      </c>
      <c r="D19" s="79" t="s">
        <v>16</v>
      </c>
      <c r="E19" s="79" t="s">
        <v>16</v>
      </c>
      <c r="F19" s="79" t="s">
        <v>16</v>
      </c>
      <c r="G19" s="79" t="s">
        <v>16</v>
      </c>
      <c r="H19" s="79" t="s">
        <v>16</v>
      </c>
      <c r="I19" s="79" t="s">
        <v>16</v>
      </c>
      <c r="J19" s="79" t="s">
        <v>16</v>
      </c>
      <c r="K19" s="79" t="s">
        <v>16</v>
      </c>
      <c r="L19" s="79" t="s">
        <v>16</v>
      </c>
    </row>
    <row r="20" spans="1:12">
      <c r="A20" s="79" t="s">
        <v>8</v>
      </c>
      <c r="B20" s="79" t="s">
        <v>9</v>
      </c>
      <c r="C20" s="79" t="s">
        <v>16</v>
      </c>
      <c r="D20" s="79" t="s">
        <v>13</v>
      </c>
      <c r="E20" s="79" t="s">
        <v>16</v>
      </c>
      <c r="F20" s="79" t="s">
        <v>16</v>
      </c>
      <c r="G20" s="79" t="s">
        <v>13</v>
      </c>
      <c r="H20" s="79" t="s">
        <v>13</v>
      </c>
      <c r="I20" s="79" t="s">
        <v>20</v>
      </c>
      <c r="J20" s="79" t="s">
        <v>16</v>
      </c>
      <c r="K20" s="79" t="s">
        <v>16</v>
      </c>
      <c r="L20" s="79" t="s">
        <v>16</v>
      </c>
    </row>
    <row r="21" spans="1:12">
      <c r="A21" s="79" t="s">
        <v>8</v>
      </c>
      <c r="B21" s="79" t="s">
        <v>9</v>
      </c>
      <c r="C21" s="79" t="s">
        <v>16</v>
      </c>
      <c r="D21" s="79" t="s">
        <v>16</v>
      </c>
      <c r="E21" s="79" t="s">
        <v>16</v>
      </c>
      <c r="F21" s="79" t="s">
        <v>16</v>
      </c>
      <c r="G21" s="79" t="s">
        <v>16</v>
      </c>
      <c r="H21" s="79" t="s">
        <v>16</v>
      </c>
      <c r="I21" s="79" t="s">
        <v>16</v>
      </c>
      <c r="J21" s="79" t="s">
        <v>16</v>
      </c>
      <c r="K21" s="79" t="s">
        <v>16</v>
      </c>
      <c r="L21" s="79" t="s">
        <v>16</v>
      </c>
    </row>
    <row r="22" spans="1:12">
      <c r="A22" s="79" t="s">
        <v>8</v>
      </c>
      <c r="B22" s="79" t="s">
        <v>9</v>
      </c>
      <c r="C22" s="79" t="s">
        <v>16</v>
      </c>
      <c r="D22" s="79" t="s">
        <v>16</v>
      </c>
      <c r="E22" s="79" t="s">
        <v>13</v>
      </c>
      <c r="F22" s="79" t="s">
        <v>13</v>
      </c>
      <c r="G22" s="79" t="s">
        <v>16</v>
      </c>
      <c r="H22" s="79" t="s">
        <v>16</v>
      </c>
      <c r="I22" s="79" t="s">
        <v>15</v>
      </c>
      <c r="J22" s="79" t="s">
        <v>15</v>
      </c>
      <c r="K22" s="79" t="s">
        <v>15</v>
      </c>
      <c r="L22" s="79" t="s">
        <v>15</v>
      </c>
    </row>
    <row r="23" spans="1:12">
      <c r="A23" s="79" t="s">
        <v>8</v>
      </c>
      <c r="B23" s="79" t="s">
        <v>9</v>
      </c>
      <c r="C23" s="79" t="s">
        <v>16</v>
      </c>
      <c r="D23" s="79" t="s">
        <v>13</v>
      </c>
      <c r="E23" s="79" t="s">
        <v>16</v>
      </c>
      <c r="F23" s="79" t="s">
        <v>16</v>
      </c>
      <c r="G23" s="79" t="s">
        <v>16</v>
      </c>
      <c r="H23" s="79" t="s">
        <v>16</v>
      </c>
      <c r="I23" s="79" t="s">
        <v>13</v>
      </c>
      <c r="J23" s="79" t="s">
        <v>16</v>
      </c>
      <c r="K23" s="79" t="s">
        <v>16</v>
      </c>
      <c r="L23" s="79" t="s">
        <v>13</v>
      </c>
    </row>
    <row r="24" spans="1:12">
      <c r="A24" s="79" t="s">
        <v>8</v>
      </c>
      <c r="B24" s="79" t="s">
        <v>9</v>
      </c>
      <c r="C24" s="79" t="s">
        <v>16</v>
      </c>
      <c r="D24" s="79" t="s">
        <v>13</v>
      </c>
      <c r="E24" s="79" t="s">
        <v>13</v>
      </c>
      <c r="F24" s="79" t="s">
        <v>13</v>
      </c>
      <c r="G24" s="79" t="s">
        <v>13</v>
      </c>
      <c r="H24" s="79" t="s">
        <v>13</v>
      </c>
      <c r="I24" s="79" t="s">
        <v>13</v>
      </c>
      <c r="J24" s="79" t="s">
        <v>16</v>
      </c>
      <c r="K24" s="79" t="s">
        <v>16</v>
      </c>
      <c r="L24" s="79" t="s">
        <v>16</v>
      </c>
    </row>
    <row r="25" spans="1:12">
      <c r="A25" s="79" t="s">
        <v>14</v>
      </c>
      <c r="B25" s="79" t="s">
        <v>9</v>
      </c>
      <c r="C25" s="79" t="s">
        <v>21</v>
      </c>
      <c r="D25" s="79" t="s">
        <v>13</v>
      </c>
      <c r="E25" s="79" t="s">
        <v>13</v>
      </c>
      <c r="F25" s="79" t="s">
        <v>13</v>
      </c>
      <c r="G25" s="79" t="s">
        <v>13</v>
      </c>
      <c r="H25" s="79" t="s">
        <v>13</v>
      </c>
      <c r="I25" s="79" t="s">
        <v>13</v>
      </c>
      <c r="J25" s="79" t="s">
        <v>13</v>
      </c>
      <c r="K25" s="79" t="s">
        <v>13</v>
      </c>
      <c r="L25" s="79" t="s">
        <v>13</v>
      </c>
    </row>
    <row r="26" spans="1:12">
      <c r="A26" s="79" t="s">
        <v>8</v>
      </c>
      <c r="B26" s="79" t="s">
        <v>9</v>
      </c>
      <c r="C26" s="79" t="s">
        <v>21</v>
      </c>
      <c r="D26" s="79" t="s">
        <v>21</v>
      </c>
      <c r="E26" s="79" t="s">
        <v>13</v>
      </c>
      <c r="F26" s="79" t="s">
        <v>13</v>
      </c>
      <c r="G26" s="79" t="s">
        <v>13</v>
      </c>
      <c r="H26" s="79" t="s">
        <v>21</v>
      </c>
      <c r="I26" s="79" t="s">
        <v>21</v>
      </c>
      <c r="J26" s="79" t="s">
        <v>13</v>
      </c>
      <c r="K26" s="79" t="s">
        <v>15</v>
      </c>
      <c r="L26" s="79" t="s">
        <v>13</v>
      </c>
    </row>
    <row r="27" spans="1:12">
      <c r="A27" s="79" t="s">
        <v>8</v>
      </c>
      <c r="B27" s="79" t="s">
        <v>9</v>
      </c>
      <c r="C27" s="79" t="s">
        <v>21</v>
      </c>
      <c r="D27" s="79" t="s">
        <v>21</v>
      </c>
      <c r="E27" s="79" t="s">
        <v>13</v>
      </c>
      <c r="F27" s="79" t="s">
        <v>13</v>
      </c>
      <c r="G27" s="79" t="s">
        <v>13</v>
      </c>
      <c r="H27" s="79" t="s">
        <v>13</v>
      </c>
      <c r="I27" s="79" t="s">
        <v>21</v>
      </c>
      <c r="J27" s="79" t="s">
        <v>13</v>
      </c>
      <c r="K27" s="79" t="s">
        <v>13</v>
      </c>
      <c r="L27" s="79" t="s">
        <v>13</v>
      </c>
    </row>
    <row r="28" spans="1:12">
      <c r="A28" s="79" t="s">
        <v>8</v>
      </c>
      <c r="B28" s="79" t="s">
        <v>9</v>
      </c>
      <c r="C28" s="79" t="s">
        <v>21</v>
      </c>
      <c r="D28" s="79" t="s">
        <v>16</v>
      </c>
      <c r="E28" s="79" t="s">
        <v>13</v>
      </c>
      <c r="F28" s="79" t="s">
        <v>13</v>
      </c>
      <c r="G28" s="79" t="s">
        <v>13</v>
      </c>
      <c r="H28" s="79" t="s">
        <v>13</v>
      </c>
      <c r="I28" s="79" t="s">
        <v>13</v>
      </c>
      <c r="J28" s="79" t="s">
        <v>13</v>
      </c>
      <c r="K28" s="79" t="s">
        <v>13</v>
      </c>
      <c r="L28" s="79" t="s">
        <v>13</v>
      </c>
    </row>
    <row r="29" spans="1:12">
      <c r="A29" s="79" t="s">
        <v>8</v>
      </c>
      <c r="B29" s="79" t="s">
        <v>9</v>
      </c>
      <c r="C29" s="79" t="s">
        <v>21</v>
      </c>
      <c r="D29" s="79" t="s">
        <v>21</v>
      </c>
      <c r="E29" s="79" t="s">
        <v>13</v>
      </c>
      <c r="F29" s="79" t="s">
        <v>21</v>
      </c>
      <c r="G29" s="79" t="s">
        <v>13</v>
      </c>
      <c r="H29" s="79" t="s">
        <v>13</v>
      </c>
      <c r="I29" s="79" t="s">
        <v>13</v>
      </c>
      <c r="J29" s="79" t="s">
        <v>13</v>
      </c>
      <c r="K29" s="79" t="s">
        <v>13</v>
      </c>
      <c r="L29" s="79" t="s">
        <v>13</v>
      </c>
    </row>
    <row r="30" spans="1:12">
      <c r="A30" s="79" t="s">
        <v>8</v>
      </c>
      <c r="B30" s="79" t="s">
        <v>9</v>
      </c>
      <c r="C30" s="79" t="s">
        <v>21</v>
      </c>
      <c r="D30" s="79" t="s">
        <v>13</v>
      </c>
      <c r="E30" s="79" t="s">
        <v>13</v>
      </c>
      <c r="F30" s="79" t="s">
        <v>13</v>
      </c>
      <c r="G30" s="79" t="s">
        <v>13</v>
      </c>
      <c r="H30" s="79" t="s">
        <v>13</v>
      </c>
      <c r="I30" s="79" t="s">
        <v>16</v>
      </c>
      <c r="J30" s="79" t="s">
        <v>13</v>
      </c>
      <c r="K30" s="79" t="s">
        <v>16</v>
      </c>
      <c r="L30" s="79" t="s">
        <v>16</v>
      </c>
    </row>
    <row r="31" spans="1:12">
      <c r="A31" s="79" t="s">
        <v>14</v>
      </c>
      <c r="B31" s="79" t="s">
        <v>9</v>
      </c>
      <c r="C31" s="79" t="s">
        <v>21</v>
      </c>
      <c r="D31" s="79" t="s">
        <v>21</v>
      </c>
      <c r="E31" s="79" t="s">
        <v>21</v>
      </c>
      <c r="F31" s="79" t="s">
        <v>21</v>
      </c>
      <c r="G31" s="79" t="s">
        <v>15</v>
      </c>
      <c r="H31" s="79" t="s">
        <v>13</v>
      </c>
      <c r="I31" s="79" t="s">
        <v>13</v>
      </c>
      <c r="J31" s="79" t="s">
        <v>13</v>
      </c>
      <c r="K31" s="79" t="s">
        <v>13</v>
      </c>
      <c r="L31" s="79" t="s">
        <v>13</v>
      </c>
    </row>
    <row r="32" spans="1:12">
      <c r="A32" s="79" t="s">
        <v>8</v>
      </c>
      <c r="B32" s="79" t="s">
        <v>9</v>
      </c>
      <c r="C32" s="79" t="s">
        <v>21</v>
      </c>
      <c r="D32" s="79" t="s">
        <v>13</v>
      </c>
      <c r="E32" s="79" t="s">
        <v>13</v>
      </c>
      <c r="F32" s="79" t="s">
        <v>13</v>
      </c>
      <c r="G32" s="79" t="s">
        <v>13</v>
      </c>
      <c r="H32" s="79" t="s">
        <v>13</v>
      </c>
      <c r="I32" s="79" t="s">
        <v>21</v>
      </c>
      <c r="J32" s="79" t="s">
        <v>16</v>
      </c>
      <c r="K32" s="79" t="s">
        <v>16</v>
      </c>
      <c r="L32" s="79" t="s">
        <v>13</v>
      </c>
    </row>
    <row r="33" spans="1:12">
      <c r="A33" s="79" t="s">
        <v>8</v>
      </c>
      <c r="B33" s="79" t="s">
        <v>9</v>
      </c>
      <c r="C33" s="79" t="s">
        <v>15</v>
      </c>
      <c r="D33" s="79" t="s">
        <v>21</v>
      </c>
      <c r="E33" s="79" t="s">
        <v>21</v>
      </c>
      <c r="F33" s="79" t="s">
        <v>13</v>
      </c>
      <c r="G33" s="79" t="s">
        <v>13</v>
      </c>
      <c r="H33" s="79" t="s">
        <v>21</v>
      </c>
      <c r="I33" s="79" t="s">
        <v>21</v>
      </c>
      <c r="J33" s="79" t="s">
        <v>16</v>
      </c>
      <c r="K33" s="79" t="s">
        <v>16</v>
      </c>
      <c r="L33" s="79" t="s">
        <v>16</v>
      </c>
    </row>
    <row r="34" spans="1:12">
      <c r="A34" s="79" t="s">
        <v>8</v>
      </c>
      <c r="B34" s="79" t="s">
        <v>9</v>
      </c>
      <c r="C34" s="79" t="s">
        <v>15</v>
      </c>
      <c r="D34" s="79" t="s">
        <v>13</v>
      </c>
      <c r="E34" s="79" t="s">
        <v>13</v>
      </c>
      <c r="F34" s="79" t="s">
        <v>13</v>
      </c>
      <c r="G34" s="79" t="s">
        <v>13</v>
      </c>
      <c r="H34" s="79" t="s">
        <v>13</v>
      </c>
      <c r="I34" s="79" t="s">
        <v>13</v>
      </c>
      <c r="J34" s="79" t="s">
        <v>13</v>
      </c>
      <c r="K34" s="79" t="s">
        <v>13</v>
      </c>
      <c r="L34" s="79" t="s">
        <v>13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showGridLines="0" tabSelected="1" topLeftCell="E32" zoomScaleNormal="100" workbookViewId="0">
      <selection activeCell="A36" sqref="A36:XFD63"/>
    </sheetView>
  </sheetViews>
  <sheetFormatPr defaultRowHeight="15"/>
  <cols>
    <col min="1" max="1" width="19" style="54" customWidth="1"/>
    <col min="2" max="2" width="32.42578125" style="54" customWidth="1"/>
    <col min="3" max="3" width="27.28515625" style="54" customWidth="1"/>
    <col min="4" max="4" width="25.85546875" style="54" customWidth="1"/>
    <col min="5" max="7" width="26.42578125" style="54" customWidth="1"/>
    <col min="8" max="8" width="45.140625" style="54" bestFit="1" customWidth="1"/>
    <col min="9" max="9" width="26.42578125" style="54" customWidth="1"/>
    <col min="10" max="10" width="37.140625" style="54" customWidth="1"/>
    <col min="11" max="16384" width="9.140625" style="54"/>
  </cols>
  <sheetData>
    <row r="1" spans="1:15" ht="15.75">
      <c r="A1" s="53" t="s">
        <v>33</v>
      </c>
    </row>
    <row r="2" spans="1:15" ht="15.75">
      <c r="A2" s="53"/>
    </row>
    <row r="3" spans="1:15">
      <c r="A3" s="54" t="s">
        <v>34</v>
      </c>
    </row>
    <row r="5" spans="1:15">
      <c r="A5" s="115" t="s">
        <v>35</v>
      </c>
      <c r="B5" s="116" t="s">
        <v>36</v>
      </c>
      <c r="C5" s="116"/>
      <c r="D5" s="116"/>
      <c r="E5" s="116"/>
      <c r="F5" s="116"/>
      <c r="G5" s="117"/>
    </row>
    <row r="6" spans="1:15">
      <c r="A6" s="118" t="s">
        <v>37</v>
      </c>
      <c r="B6" s="54" t="s">
        <v>38</v>
      </c>
      <c r="G6" s="119"/>
    </row>
    <row r="7" spans="1:15">
      <c r="A7" s="118" t="s">
        <v>39</v>
      </c>
      <c r="B7" s="54" t="s">
        <v>40</v>
      </c>
      <c r="G7" s="119"/>
    </row>
    <row r="8" spans="1:15">
      <c r="A8" s="118" t="s">
        <v>41</v>
      </c>
      <c r="B8" s="54" t="s">
        <v>42</v>
      </c>
      <c r="G8" s="119"/>
    </row>
    <row r="9" spans="1:15">
      <c r="A9" s="118" t="s">
        <v>43</v>
      </c>
      <c r="B9" s="54" t="s">
        <v>44</v>
      </c>
      <c r="G9" s="119"/>
    </row>
    <row r="10" spans="1:15">
      <c r="A10" s="120" t="s">
        <v>45</v>
      </c>
      <c r="B10" s="121" t="s">
        <v>46</v>
      </c>
      <c r="C10" s="121"/>
      <c r="D10" s="121"/>
      <c r="E10" s="121"/>
      <c r="F10" s="121"/>
      <c r="G10" s="122"/>
    </row>
    <row r="12" spans="1:15" ht="15.75">
      <c r="A12" s="124" t="s">
        <v>47</v>
      </c>
      <c r="B12" s="124"/>
      <c r="C12" s="124"/>
      <c r="D12" s="124"/>
      <c r="E12" s="124"/>
      <c r="F12" s="124"/>
      <c r="H12" s="82"/>
      <c r="I12" s="82"/>
      <c r="J12" s="82"/>
      <c r="K12" s="83"/>
      <c r="L12" s="83"/>
      <c r="M12" s="83"/>
      <c r="N12" s="83"/>
      <c r="O12" s="83"/>
    </row>
    <row r="13" spans="1:15">
      <c r="A13" s="74" t="s">
        <v>48</v>
      </c>
      <c r="B13" s="55" t="s">
        <v>49</v>
      </c>
      <c r="H13" s="91"/>
      <c r="I13" s="91"/>
      <c r="J13" s="91"/>
      <c r="K13" s="91"/>
      <c r="L13" s="92"/>
      <c r="M13" s="92"/>
      <c r="N13" s="83"/>
      <c r="O13" s="83"/>
    </row>
    <row r="14" spans="1:15">
      <c r="A14" s="74" t="s">
        <v>50</v>
      </c>
      <c r="B14" s="55" t="s">
        <v>51</v>
      </c>
      <c r="H14" s="93"/>
      <c r="I14" s="83"/>
      <c r="J14" s="83"/>
      <c r="K14" s="83"/>
      <c r="L14" s="94"/>
      <c r="M14" s="94"/>
      <c r="N14" s="83"/>
      <c r="O14" s="83"/>
    </row>
    <row r="15" spans="1:15">
      <c r="A15" s="74" t="s">
        <v>52</v>
      </c>
      <c r="B15" s="55" t="s">
        <v>53</v>
      </c>
      <c r="H15" s="93"/>
      <c r="I15" s="83"/>
      <c r="J15" s="83"/>
      <c r="K15" s="83"/>
      <c r="L15" s="94"/>
      <c r="M15" s="94"/>
      <c r="N15" s="83"/>
      <c r="O15" s="83"/>
    </row>
    <row r="16" spans="1:15">
      <c r="A16" s="74" t="s">
        <v>54</v>
      </c>
      <c r="B16" s="55" t="s">
        <v>55</v>
      </c>
      <c r="H16" s="82"/>
      <c r="I16" s="83"/>
      <c r="J16" s="83"/>
      <c r="K16" s="83"/>
      <c r="L16" s="94"/>
      <c r="M16" s="94"/>
      <c r="N16" s="83"/>
      <c r="O16" s="83"/>
    </row>
    <row r="17" spans="1:15">
      <c r="A17" s="75" t="s">
        <v>56</v>
      </c>
      <c r="B17" s="55" t="s">
        <v>57</v>
      </c>
      <c r="H17" s="90"/>
      <c r="I17" s="83"/>
      <c r="J17" s="83"/>
      <c r="K17" s="83"/>
      <c r="L17" s="83"/>
      <c r="M17" s="83"/>
      <c r="N17" s="83"/>
      <c r="O17" s="83"/>
    </row>
    <row r="18" spans="1:15">
      <c r="H18" s="83"/>
      <c r="I18" s="83"/>
      <c r="J18" s="83"/>
      <c r="K18" s="83"/>
      <c r="L18" s="83"/>
      <c r="M18" s="83"/>
      <c r="N18" s="83"/>
      <c r="O18" s="83"/>
    </row>
    <row r="19" spans="1:15">
      <c r="A19" s="54" t="s">
        <v>58</v>
      </c>
    </row>
    <row r="21" spans="1:15">
      <c r="A21" s="54" t="s">
        <v>59</v>
      </c>
    </row>
    <row r="24" spans="1:15">
      <c r="A24" s="82" t="s">
        <v>60</v>
      </c>
    </row>
    <row r="25" spans="1:15" s="81" customFormat="1">
      <c r="A25" s="84"/>
      <c r="B25" s="84" t="s">
        <v>37</v>
      </c>
      <c r="C25" s="84" t="s">
        <v>39</v>
      </c>
      <c r="D25" s="84" t="s">
        <v>61</v>
      </c>
      <c r="E25" s="85" t="s">
        <v>62</v>
      </c>
      <c r="F25" s="85" t="s">
        <v>63</v>
      </c>
    </row>
    <row r="26" spans="1:15">
      <c r="A26" s="125" t="s">
        <v>14</v>
      </c>
      <c r="B26" s="87">
        <f>COUNTIF(Resp2[Vínculo],A26)</f>
        <v>8</v>
      </c>
      <c r="C26" s="87">
        <f>COUNTIF(Resp3[Vínculo],A26)</f>
        <v>8</v>
      </c>
      <c r="D26" s="87">
        <v>11</v>
      </c>
      <c r="E26" s="88">
        <f>ROUND(B26/$D26*100,3)</f>
        <v>72.727000000000004</v>
      </c>
      <c r="F26" s="88">
        <f>ROUND(C26/$D26*100,3)</f>
        <v>72.727000000000004</v>
      </c>
    </row>
    <row r="27" spans="1:15">
      <c r="A27" s="86" t="s">
        <v>8</v>
      </c>
      <c r="B27" s="87">
        <f>COUNTIF(Resp2[Vínculo],A27)</f>
        <v>25</v>
      </c>
      <c r="C27" s="87">
        <f>COUNTIF(Resp3[Vínculo],A27)</f>
        <v>25</v>
      </c>
      <c r="D27" s="87">
        <v>47</v>
      </c>
      <c r="E27" s="88">
        <f t="shared" ref="E27:E28" si="0">ROUND(B27/$D27*100,3)</f>
        <v>53.191000000000003</v>
      </c>
      <c r="F27" s="88">
        <f t="shared" ref="F27:F28" si="1">ROUND(C27/$D27*100,3)</f>
        <v>53.191000000000003</v>
      </c>
    </row>
    <row r="28" spans="1:15">
      <c r="A28" s="89" t="s">
        <v>64</v>
      </c>
      <c r="B28" s="87">
        <f>SUM(B26:B27)</f>
        <v>33</v>
      </c>
      <c r="C28" s="87">
        <f>SUM(C26:C27)</f>
        <v>33</v>
      </c>
      <c r="D28" s="87">
        <f>SUM(D26:D27)</f>
        <v>58</v>
      </c>
      <c r="E28" s="88">
        <f t="shared" si="0"/>
        <v>56.896999999999998</v>
      </c>
      <c r="F28" s="88">
        <f t="shared" si="1"/>
        <v>56.896999999999998</v>
      </c>
    </row>
    <row r="29" spans="1:15">
      <c r="A29" s="90">
        <v>1</v>
      </c>
      <c r="B29" s="131" t="s">
        <v>65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90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>
      <c r="A31" s="9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5" ht="15.75">
      <c r="A32" s="129" t="s">
        <v>66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1">
      <c r="A33" s="54" t="s">
        <v>67</v>
      </c>
    </row>
    <row r="34" spans="1:11">
      <c r="A34" s="54" t="s">
        <v>68</v>
      </c>
    </row>
    <row r="36" spans="1:11" ht="15.75">
      <c r="A36" s="58" t="s">
        <v>69</v>
      </c>
      <c r="B36" s="58" t="s">
        <v>70</v>
      </c>
      <c r="C36" s="58" t="s">
        <v>71</v>
      </c>
      <c r="D36" s="58" t="s">
        <v>72</v>
      </c>
      <c r="E36" s="58" t="s">
        <v>73</v>
      </c>
      <c r="G36" s="57" t="s">
        <v>49</v>
      </c>
      <c r="H36" s="56"/>
      <c r="K36" s="56"/>
    </row>
    <row r="37" spans="1:11" ht="15.75">
      <c r="A37" s="64" t="s">
        <v>74</v>
      </c>
      <c r="B37" s="133" t="s">
        <v>75</v>
      </c>
      <c r="C37" s="134" t="s">
        <v>76</v>
      </c>
      <c r="D37" s="64"/>
      <c r="E37" s="64"/>
      <c r="G37" s="59" t="s">
        <v>77</v>
      </c>
      <c r="H37" s="59" t="s">
        <v>78</v>
      </c>
      <c r="K37" s="56"/>
    </row>
    <row r="38" spans="1:11" ht="15.75">
      <c r="A38" s="64" t="s">
        <v>79</v>
      </c>
      <c r="B38" s="135" t="s">
        <v>80</v>
      </c>
      <c r="C38" s="135" t="s">
        <v>81</v>
      </c>
      <c r="D38" s="64" t="s">
        <v>82</v>
      </c>
      <c r="E38" s="64" t="s">
        <v>83</v>
      </c>
      <c r="G38" s="60" t="s">
        <v>84</v>
      </c>
      <c r="H38" s="136" t="s">
        <v>85</v>
      </c>
      <c r="K38" s="56"/>
    </row>
    <row r="39" spans="1:11" ht="15.75">
      <c r="A39" s="64" t="s">
        <v>86</v>
      </c>
      <c r="B39" s="137" t="s">
        <v>87</v>
      </c>
      <c r="C39" s="135" t="s">
        <v>88</v>
      </c>
      <c r="D39" s="64" t="s">
        <v>83</v>
      </c>
      <c r="E39" s="64"/>
      <c r="G39" s="61" t="s">
        <v>89</v>
      </c>
      <c r="H39" s="138" t="s">
        <v>15</v>
      </c>
      <c r="K39" s="56"/>
    </row>
    <row r="40" spans="1:11" ht="15.75">
      <c r="A40" s="64" t="s">
        <v>90</v>
      </c>
      <c r="B40" s="135" t="s">
        <v>91</v>
      </c>
      <c r="C40" s="135" t="s">
        <v>92</v>
      </c>
      <c r="D40" s="64" t="s">
        <v>93</v>
      </c>
      <c r="E40" s="64" t="s">
        <v>82</v>
      </c>
      <c r="G40" s="63" t="s">
        <v>94</v>
      </c>
      <c r="H40" s="139" t="s">
        <v>95</v>
      </c>
      <c r="K40" s="56"/>
    </row>
    <row r="41" spans="1:11" ht="15.75">
      <c r="A41" s="64" t="s">
        <v>96</v>
      </c>
      <c r="B41" s="137" t="s">
        <v>97</v>
      </c>
      <c r="C41" s="135" t="s">
        <v>98</v>
      </c>
      <c r="D41" s="64"/>
      <c r="E41" s="64"/>
      <c r="G41" s="56"/>
      <c r="H41" s="56"/>
      <c r="K41" s="56"/>
    </row>
    <row r="42" spans="1:11" ht="15.75">
      <c r="A42" s="64" t="s">
        <v>99</v>
      </c>
      <c r="B42" s="64" t="s">
        <v>99</v>
      </c>
      <c r="C42" s="64"/>
      <c r="D42" s="64"/>
      <c r="E42" s="64"/>
      <c r="G42" s="57" t="s">
        <v>100</v>
      </c>
      <c r="H42" s="126" t="s">
        <v>101</v>
      </c>
      <c r="K42" s="56"/>
    </row>
    <row r="43" spans="1:11" ht="15.75">
      <c r="A43" s="64" t="s">
        <v>102</v>
      </c>
      <c r="B43" s="64"/>
      <c r="C43" s="64"/>
      <c r="D43" s="64"/>
      <c r="E43" s="64"/>
      <c r="G43" s="59" t="s">
        <v>77</v>
      </c>
      <c r="H43" s="59" t="s">
        <v>103</v>
      </c>
      <c r="K43" s="56"/>
    </row>
    <row r="44" spans="1:11" ht="15.75">
      <c r="A44" s="56"/>
      <c r="B44" s="127"/>
      <c r="C44" s="128"/>
      <c r="D44" s="128"/>
      <c r="E44" s="128"/>
      <c r="F44" s="128"/>
      <c r="G44" s="60" t="s">
        <v>84</v>
      </c>
      <c r="H44" s="136" t="s">
        <v>104</v>
      </c>
      <c r="K44" s="56"/>
    </row>
    <row r="45" spans="1:11" ht="15.75">
      <c r="A45" s="56"/>
      <c r="B45" s="56"/>
      <c r="C45" s="56"/>
      <c r="D45" s="56"/>
      <c r="E45" s="56"/>
      <c r="F45" s="56"/>
      <c r="G45" s="61" t="s">
        <v>89</v>
      </c>
      <c r="H45" s="138" t="s">
        <v>105</v>
      </c>
      <c r="K45" s="56"/>
    </row>
    <row r="46" spans="1:11" ht="15.75">
      <c r="A46" s="56"/>
      <c r="B46" s="56"/>
      <c r="C46" s="140"/>
      <c r="D46" s="140"/>
      <c r="E46" s="56"/>
      <c r="F46" s="56"/>
      <c r="G46" s="63" t="s">
        <v>94</v>
      </c>
      <c r="H46" s="139" t="s">
        <v>106</v>
      </c>
      <c r="K46" s="56"/>
    </row>
    <row r="47" spans="1:11" ht="15.75">
      <c r="A47" s="56"/>
      <c r="B47" s="56"/>
      <c r="C47" s="141"/>
      <c r="D47" s="56"/>
      <c r="E47" s="56"/>
      <c r="F47" s="56"/>
      <c r="G47" s="56"/>
      <c r="H47" s="56"/>
      <c r="K47" s="56"/>
    </row>
    <row r="48" spans="1:11" ht="15.75">
      <c r="A48" s="56"/>
      <c r="B48" s="56"/>
      <c r="C48" s="141"/>
      <c r="D48" s="56"/>
      <c r="E48" s="56"/>
      <c r="F48" s="56"/>
      <c r="G48" s="57" t="s">
        <v>107</v>
      </c>
      <c r="H48" s="56"/>
      <c r="K48" s="56"/>
    </row>
    <row r="49" spans="1:11" ht="15.75">
      <c r="A49" s="56"/>
      <c r="B49" s="56"/>
      <c r="C49" s="141"/>
      <c r="D49" s="128"/>
      <c r="E49" s="56"/>
      <c r="F49" s="56"/>
      <c r="G49" s="60" t="s">
        <v>84</v>
      </c>
      <c r="H49" s="60" t="s">
        <v>108</v>
      </c>
      <c r="K49" s="56"/>
    </row>
    <row r="50" spans="1:11" ht="15.75">
      <c r="A50" s="56"/>
      <c r="B50" s="56"/>
      <c r="C50" s="141"/>
      <c r="D50" s="56"/>
      <c r="E50" s="56"/>
      <c r="F50" s="56"/>
      <c r="G50" s="61" t="s">
        <v>89</v>
      </c>
      <c r="H50" s="138" t="s">
        <v>109</v>
      </c>
      <c r="K50" s="56"/>
    </row>
    <row r="51" spans="1:11" ht="15.75">
      <c r="A51" s="56"/>
      <c r="B51" s="56"/>
      <c r="C51" s="56"/>
      <c r="D51" s="56"/>
      <c r="E51" s="56"/>
      <c r="F51" s="56"/>
      <c r="G51" s="63" t="s">
        <v>94</v>
      </c>
      <c r="H51" s="139" t="s">
        <v>110</v>
      </c>
      <c r="K51" s="56"/>
    </row>
    <row r="52" spans="1:11" ht="15.75">
      <c r="A52" s="56"/>
      <c r="B52" s="56"/>
      <c r="C52" s="56"/>
      <c r="D52" s="56"/>
      <c r="E52" s="56"/>
      <c r="F52" s="56"/>
      <c r="G52" s="56"/>
      <c r="H52" s="56"/>
      <c r="K52" s="56"/>
    </row>
    <row r="53" spans="1:11" ht="15.75">
      <c r="D53" s="56"/>
      <c r="E53" s="56"/>
      <c r="F53" s="56"/>
      <c r="G53" s="57" t="s">
        <v>111</v>
      </c>
      <c r="H53" s="56"/>
      <c r="K53" s="56"/>
    </row>
    <row r="54" spans="1:11" ht="15.75">
      <c r="D54" s="56"/>
      <c r="E54" s="56"/>
      <c r="F54" s="56"/>
      <c r="G54" s="60" t="s">
        <v>84</v>
      </c>
      <c r="H54" s="60" t="s">
        <v>93</v>
      </c>
      <c r="K54" s="56"/>
    </row>
    <row r="55" spans="1:11" ht="15.75">
      <c r="D55" s="56"/>
      <c r="E55" s="56"/>
      <c r="F55" s="56"/>
      <c r="G55" s="61" t="s">
        <v>89</v>
      </c>
      <c r="H55" s="62" t="s">
        <v>83</v>
      </c>
      <c r="K55" s="56"/>
    </row>
    <row r="56" spans="1:11" ht="15.75">
      <c r="D56" s="56"/>
      <c r="E56" s="56"/>
      <c r="F56" s="56"/>
      <c r="G56" s="63" t="s">
        <v>94</v>
      </c>
      <c r="H56" s="63" t="s">
        <v>82</v>
      </c>
    </row>
    <row r="57" spans="1:11" ht="15.75">
      <c r="D57" s="56"/>
      <c r="E57" s="56"/>
      <c r="F57" s="56"/>
      <c r="G57" s="56"/>
      <c r="H57" s="56"/>
    </row>
    <row r="58" spans="1:11" ht="15.75">
      <c r="D58" s="56"/>
      <c r="E58" s="56"/>
      <c r="F58" s="56"/>
      <c r="G58" s="57" t="s">
        <v>112</v>
      </c>
      <c r="H58" s="56"/>
    </row>
    <row r="59" spans="1:11" ht="15.75">
      <c r="D59" s="56"/>
      <c r="E59" s="56"/>
      <c r="F59" s="56"/>
      <c r="G59" s="60" t="s">
        <v>84</v>
      </c>
      <c r="H59" s="60" t="s">
        <v>82</v>
      </c>
    </row>
    <row r="60" spans="1:11" ht="15.75">
      <c r="D60" s="56"/>
      <c r="E60" s="56"/>
      <c r="F60" s="56"/>
      <c r="G60" s="63" t="s">
        <v>94</v>
      </c>
      <c r="H60" s="63" t="s">
        <v>83</v>
      </c>
    </row>
    <row r="62" spans="1:11" ht="15.75">
      <c r="G62" s="57" t="s">
        <v>113</v>
      </c>
    </row>
    <row r="63" spans="1:11" ht="15.75">
      <c r="G63" s="56" t="s">
        <v>114</v>
      </c>
      <c r="H63" s="56"/>
    </row>
  </sheetData>
  <mergeCells count="1">
    <mergeCell ref="B29:L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topLeftCell="A15" zoomScaleNormal="100" workbookViewId="0">
      <selection activeCell="E7" sqref="E7"/>
    </sheetView>
  </sheetViews>
  <sheetFormatPr defaultColWidth="62.7109375" defaultRowHeight="15"/>
  <cols>
    <col min="1" max="1" width="19.140625" style="71" bestFit="1" customWidth="1"/>
    <col min="2" max="2" width="15.7109375" style="71" bestFit="1" customWidth="1"/>
    <col min="3" max="3" width="101.7109375" style="73" customWidth="1"/>
    <col min="4" max="4" width="16.7109375" style="73" bestFit="1" customWidth="1"/>
    <col min="5" max="16384" width="62.7109375" style="73"/>
  </cols>
  <sheetData>
    <row r="1" spans="1:5" s="67" customFormat="1">
      <c r="A1" s="65" t="s">
        <v>115</v>
      </c>
      <c r="B1" s="66" t="s">
        <v>116</v>
      </c>
      <c r="C1" s="66" t="s">
        <v>117</v>
      </c>
      <c r="D1" s="66" t="s">
        <v>118</v>
      </c>
    </row>
    <row r="2" spans="1:5" s="70" customFormat="1" ht="25.5">
      <c r="A2" s="68" t="s">
        <v>2</v>
      </c>
      <c r="B2" s="68" t="s">
        <v>52</v>
      </c>
      <c r="C2" s="69" t="s">
        <v>119</v>
      </c>
      <c r="D2" s="69" t="s">
        <v>120</v>
      </c>
    </row>
    <row r="3" spans="1:5" ht="38.25">
      <c r="A3" s="71" t="s">
        <v>3</v>
      </c>
      <c r="B3" s="71" t="s">
        <v>54</v>
      </c>
      <c r="C3" s="72" t="s">
        <v>121</v>
      </c>
      <c r="D3" s="69" t="s">
        <v>122</v>
      </c>
    </row>
    <row r="4" spans="1:5" s="70" customFormat="1">
      <c r="A4" s="68" t="s">
        <v>4</v>
      </c>
      <c r="B4" s="71" t="s">
        <v>50</v>
      </c>
      <c r="C4" s="69" t="s">
        <v>123</v>
      </c>
      <c r="D4" s="69" t="s">
        <v>124</v>
      </c>
    </row>
    <row r="5" spans="1:5" ht="36" customHeight="1">
      <c r="A5" s="108" t="s">
        <v>125</v>
      </c>
      <c r="B5" s="108" t="s">
        <v>56</v>
      </c>
      <c r="C5" s="109" t="s">
        <v>126</v>
      </c>
      <c r="D5" s="109" t="s">
        <v>127</v>
      </c>
      <c r="E5" s="110"/>
    </row>
    <row r="6" spans="1:5" s="70" customFormat="1" ht="25.5">
      <c r="A6" s="108" t="s">
        <v>128</v>
      </c>
      <c r="B6" s="108" t="s">
        <v>129</v>
      </c>
      <c r="C6" s="109" t="s">
        <v>130</v>
      </c>
      <c r="D6" s="109" t="s">
        <v>131</v>
      </c>
      <c r="E6" s="110"/>
    </row>
    <row r="7" spans="1:5" ht="51">
      <c r="A7" s="71" t="s">
        <v>5</v>
      </c>
      <c r="B7" s="71" t="s">
        <v>48</v>
      </c>
      <c r="C7" s="72" t="s">
        <v>132</v>
      </c>
      <c r="D7" s="69" t="s">
        <v>133</v>
      </c>
    </row>
    <row r="8" spans="1:5" s="70" customFormat="1" ht="38.25">
      <c r="A8" s="68" t="s">
        <v>6</v>
      </c>
      <c r="B8" s="71" t="s">
        <v>48</v>
      </c>
      <c r="C8" s="69" t="s">
        <v>134</v>
      </c>
      <c r="D8" s="69" t="s">
        <v>135</v>
      </c>
    </row>
    <row r="9" spans="1:5" ht="51">
      <c r="A9" s="71" t="s">
        <v>7</v>
      </c>
      <c r="B9" s="71" t="s">
        <v>48</v>
      </c>
      <c r="C9" s="72" t="s">
        <v>136</v>
      </c>
      <c r="D9" s="69" t="s">
        <v>137</v>
      </c>
    </row>
    <row r="10" spans="1:5" s="70" customFormat="1" ht="25.5">
      <c r="A10" s="68" t="s">
        <v>23</v>
      </c>
      <c r="B10" s="71" t="s">
        <v>48</v>
      </c>
      <c r="C10" s="69" t="s">
        <v>138</v>
      </c>
      <c r="D10" s="70" t="s">
        <v>139</v>
      </c>
    </row>
    <row r="11" spans="1:5">
      <c r="A11" s="71" t="s">
        <v>24</v>
      </c>
      <c r="B11" s="71" t="s">
        <v>48</v>
      </c>
      <c r="C11" s="72" t="s">
        <v>140</v>
      </c>
      <c r="D11" s="70" t="s">
        <v>141</v>
      </c>
    </row>
    <row r="12" spans="1:5" s="70" customFormat="1" ht="30">
      <c r="A12" s="68" t="s">
        <v>25</v>
      </c>
      <c r="B12" s="71" t="s">
        <v>48</v>
      </c>
      <c r="C12" s="70" t="s">
        <v>142</v>
      </c>
      <c r="D12" s="70" t="s">
        <v>143</v>
      </c>
    </row>
    <row r="13" spans="1:5" ht="30">
      <c r="A13" s="71" t="s">
        <v>26</v>
      </c>
      <c r="B13" s="71" t="s">
        <v>48</v>
      </c>
      <c r="C13" s="73" t="s">
        <v>144</v>
      </c>
      <c r="D13" s="70" t="s">
        <v>145</v>
      </c>
    </row>
    <row r="14" spans="1:5" s="70" customFormat="1" ht="30">
      <c r="A14" s="68" t="s">
        <v>27</v>
      </c>
      <c r="B14" s="71" t="s">
        <v>48</v>
      </c>
      <c r="C14" s="70" t="s">
        <v>146</v>
      </c>
      <c r="D14" s="70" t="s">
        <v>147</v>
      </c>
    </row>
    <row r="15" spans="1:5" ht="30">
      <c r="A15" s="71" t="s">
        <v>28</v>
      </c>
      <c r="B15" s="71" t="s">
        <v>48</v>
      </c>
      <c r="C15" s="73" t="s">
        <v>148</v>
      </c>
      <c r="D15" s="70" t="s">
        <v>149</v>
      </c>
    </row>
    <row r="16" spans="1:5" s="70" customFormat="1" ht="30">
      <c r="A16" s="68" t="s">
        <v>29</v>
      </c>
      <c r="B16" s="71" t="s">
        <v>48</v>
      </c>
      <c r="C16" s="70" t="s">
        <v>150</v>
      </c>
      <c r="D16" s="70" t="s">
        <v>151</v>
      </c>
    </row>
    <row r="17" spans="1:4" ht="30">
      <c r="A17" s="71" t="s">
        <v>30</v>
      </c>
      <c r="B17" s="71" t="s">
        <v>48</v>
      </c>
      <c r="C17" s="73" t="s">
        <v>152</v>
      </c>
      <c r="D17" s="70" t="s">
        <v>153</v>
      </c>
    </row>
    <row r="18" spans="1:4" s="70" customFormat="1" ht="30">
      <c r="A18" s="68" t="s">
        <v>31</v>
      </c>
      <c r="B18" s="71" t="s">
        <v>48</v>
      </c>
      <c r="C18" s="70" t="s">
        <v>154</v>
      </c>
      <c r="D18" s="70" t="s">
        <v>155</v>
      </c>
    </row>
    <row r="19" spans="1:4" ht="30">
      <c r="A19" s="71" t="s">
        <v>32</v>
      </c>
      <c r="B19" s="71" t="s">
        <v>48</v>
      </c>
      <c r="C19" s="73" t="s">
        <v>156</v>
      </c>
      <c r="D19" s="70" t="s">
        <v>157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158</v>
      </c>
      <c r="B3" s="10" t="str">
        <f>VLOOKUP(A$2, Eixo[], 4, FALSE)</f>
        <v>Eixo 2: Questão 6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1724-SUM(C7:C11)</f>
        <v>1716</v>
      </c>
      <c r="D6" s="9">
        <f>1724-SUM(D7:D11)</f>
        <v>1702</v>
      </c>
      <c r="E6" s="10">
        <f>1724-SUM(E7:E11)</f>
        <v>1694</v>
      </c>
      <c r="F6" s="25">
        <f>ROUND($E6/1724*100,2)</f>
        <v>98.26</v>
      </c>
    </row>
    <row r="7" spans="1:7">
      <c r="B7" s="9" t="s">
        <v>21</v>
      </c>
      <c r="C7" s="10">
        <f>COUNTIFS(Resp2[Vínculo],"tecnico",Resp2[2.06],B7)</f>
        <v>1</v>
      </c>
      <c r="D7" s="10">
        <f>COUNTIFS(Resp2[Vínculo],"docente",Resp2[2.06],B7)</f>
        <v>2</v>
      </c>
      <c r="E7" s="10">
        <f>COUNTIF(Resp2[2.06],B7)</f>
        <v>3</v>
      </c>
      <c r="F7" s="25">
        <f>ROUND($E7/1724*100,2)</f>
        <v>0.17</v>
      </c>
      <c r="G7" s="25">
        <f>ROUND($E7/SUM($E$7:$E$11)*100,3)</f>
        <v>10</v>
      </c>
    </row>
    <row r="8" spans="1:7">
      <c r="B8" s="9" t="s">
        <v>166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ref="F8:F12" si="0">ROUND($E8/1724*100,2)</f>
        <v>0</v>
      </c>
      <c r="G8" s="25">
        <f t="shared" ref="G8:G11" si="1">ROUND($E8/SUM($E$7:$E$11)*100,3)</f>
        <v>0</v>
      </c>
    </row>
    <row r="9" spans="1:7">
      <c r="B9" s="9" t="s">
        <v>15</v>
      </c>
      <c r="C9" s="10">
        <f>COUNTIFS(Resp2[Vínculo],"tecnico",Resp2[2.06],B9)</f>
        <v>2</v>
      </c>
      <c r="D9" s="10">
        <f>COUNTIFS(Resp2[Vínculo],"docente",Resp2[2.06],B9)</f>
        <v>6</v>
      </c>
      <c r="E9" s="10">
        <f>COUNTIF(Resp2[2.06],B9)</f>
        <v>8</v>
      </c>
      <c r="F9" s="25">
        <f t="shared" si="0"/>
        <v>0.46</v>
      </c>
      <c r="G9" s="25">
        <f t="shared" si="1"/>
        <v>26.667000000000002</v>
      </c>
    </row>
    <row r="10" spans="1:7">
      <c r="B10" s="9" t="s">
        <v>13</v>
      </c>
      <c r="C10" s="10">
        <f>COUNTIFS(Resp2[Vínculo],"tecnico",Resp2[2.06],B10)</f>
        <v>4</v>
      </c>
      <c r="D10" s="10">
        <f>COUNTIFS(Resp2[Vínculo],"docente",Resp2[2.06],B10)</f>
        <v>11</v>
      </c>
      <c r="E10" s="10">
        <f>COUNTIF(Resp2[2.06],B10)</f>
        <v>15</v>
      </c>
      <c r="F10" s="25">
        <f t="shared" si="0"/>
        <v>0.87</v>
      </c>
      <c r="G10" s="25">
        <f t="shared" si="1"/>
        <v>50</v>
      </c>
    </row>
    <row r="11" spans="1:7">
      <c r="B11" s="26" t="s">
        <v>16</v>
      </c>
      <c r="C11" s="10">
        <f>COUNTIFS(Resp2[Vínculo],"tecnico",Resp2[2.06],B11)</f>
        <v>1</v>
      </c>
      <c r="D11" s="10">
        <f>COUNTIFS(Resp2[Vínculo],"docente",Resp2[2.06],B11)</f>
        <v>3</v>
      </c>
      <c r="E11" s="10">
        <f>COUNTIF(Resp2[2.06],B11)</f>
        <v>4</v>
      </c>
      <c r="F11" s="25">
        <f t="shared" si="0"/>
        <v>0.23</v>
      </c>
      <c r="G11" s="25">
        <f t="shared" si="1"/>
        <v>13.333</v>
      </c>
    </row>
    <row r="12" spans="1:7">
      <c r="B12" s="27" t="s">
        <v>167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23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158</v>
      </c>
      <c r="B3" s="10" t="str">
        <f>VLOOKUP(A$2, Eixo[], 4, FALSE)</f>
        <v>Eixo3: Questão 1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1470-SUM(C7:C11)</f>
        <v>1462</v>
      </c>
      <c r="D6" s="9">
        <f>1470-SUM(D7:D11)</f>
        <v>1445</v>
      </c>
      <c r="E6" s="10">
        <f>1470-SUM(E7:E11)</f>
        <v>1437</v>
      </c>
      <c r="F6" s="25">
        <f>ROUND($E6/1470*100,2)</f>
        <v>97.76</v>
      </c>
    </row>
    <row r="7" spans="1:7">
      <c r="B7" s="9" t="s">
        <v>21</v>
      </c>
      <c r="C7" s="10">
        <f>COUNTIFS(Resp3[Vínculo],"tecnico",Resp3[3.01],B7)</f>
        <v>2</v>
      </c>
      <c r="D7" s="10">
        <f>COUNTIFS(Resp3[Vínculo],"docente",Resp3[3.01],B7)</f>
        <v>6</v>
      </c>
      <c r="E7" s="10">
        <f>COUNTIF(Resp3[3.01],B7)</f>
        <v>8</v>
      </c>
      <c r="F7" s="25">
        <f t="shared" ref="F7:F12" si="0">ROUND($E7/1470*100,2)</f>
        <v>0.54</v>
      </c>
      <c r="G7" s="25">
        <f>ROUND($E7/SUM($E$7:$E$11)*100,3)</f>
        <v>24.242000000000001</v>
      </c>
    </row>
    <row r="8" spans="1:7">
      <c r="B8" s="9" t="s">
        <v>166</v>
      </c>
      <c r="C8" s="10">
        <f>COUNTIFS(Resp3[Vínculo],"tecnico",Resp3[3.01],B8)</f>
        <v>0</v>
      </c>
      <c r="D8" s="10">
        <f>COUNTIFS(Resp3[Vínculo],"docente",Resp3[3.01],B8)</f>
        <v>0</v>
      </c>
      <c r="E8" s="10">
        <f>COUNTIF(Resp3[3.01],B8)</f>
        <v>0</v>
      </c>
      <c r="F8" s="25">
        <f t="shared" si="0"/>
        <v>0</v>
      </c>
      <c r="G8" s="25">
        <f t="shared" ref="G8:G11" si="1">ROUND($E8/SUM($E$7:$E$11)*100,3)</f>
        <v>0</v>
      </c>
    </row>
    <row r="9" spans="1:7">
      <c r="B9" s="9" t="s">
        <v>15</v>
      </c>
      <c r="C9" s="10">
        <f>COUNTIFS(Resp3[Vínculo],"tecnico",Resp3[3.01],B9)</f>
        <v>0</v>
      </c>
      <c r="D9" s="10">
        <f>COUNTIFS(Resp3[Vínculo],"docente",Resp3[3.01],B9)</f>
        <v>2</v>
      </c>
      <c r="E9" s="10">
        <f>COUNTIF(Resp3[3.01],B9)</f>
        <v>2</v>
      </c>
      <c r="F9" s="25">
        <f t="shared" si="0"/>
        <v>0.14000000000000001</v>
      </c>
      <c r="G9" s="25">
        <f t="shared" si="1"/>
        <v>6.0609999999999999</v>
      </c>
    </row>
    <row r="10" spans="1:7">
      <c r="B10" s="9" t="s">
        <v>13</v>
      </c>
      <c r="C10" s="10">
        <f>COUNTIFS(Resp3[Vínculo],"tecnico",Resp3[3.01],B10)</f>
        <v>6</v>
      </c>
      <c r="D10" s="10">
        <f>COUNTIFS(Resp3[Vínculo],"docente",Resp3[3.01],B10)</f>
        <v>10</v>
      </c>
      <c r="E10" s="10">
        <f>COUNTIF(Resp3[3.01],B10)</f>
        <v>16</v>
      </c>
      <c r="F10" s="25">
        <f t="shared" si="0"/>
        <v>1.0900000000000001</v>
      </c>
      <c r="G10" s="25">
        <f t="shared" si="1"/>
        <v>48.484999999999999</v>
      </c>
    </row>
    <row r="11" spans="1:7">
      <c r="B11" s="26" t="s">
        <v>16</v>
      </c>
      <c r="C11" s="10">
        <f>COUNTIFS(Resp3[Vínculo],"tecnico",Resp3[3.01],B11)</f>
        <v>0</v>
      </c>
      <c r="D11" s="10">
        <f>COUNTIFS(Resp3[Vínculo],"docente",Resp3[3.01],B11)</f>
        <v>7</v>
      </c>
      <c r="E11" s="10">
        <f>COUNTIF(Resp3[3.01],B11)</f>
        <v>7</v>
      </c>
      <c r="F11" s="25">
        <f t="shared" si="0"/>
        <v>0.48</v>
      </c>
      <c r="G11" s="25">
        <f t="shared" si="1"/>
        <v>21.212</v>
      </c>
    </row>
    <row r="12" spans="1:7">
      <c r="B12" s="27" t="s">
        <v>167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topLeftCell="A20" zoomScale="90" zoomScaleNormal="90" workbookViewId="0">
      <selection activeCell="D38" sqref="D38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158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168</v>
      </c>
      <c r="C5" s="7" t="s">
        <v>169</v>
      </c>
      <c r="D5" s="7" t="s">
        <v>170</v>
      </c>
      <c r="E5" s="7" t="s">
        <v>162</v>
      </c>
      <c r="F5" s="8" t="s">
        <v>163</v>
      </c>
      <c r="G5" s="7" t="s">
        <v>164</v>
      </c>
    </row>
    <row r="6" spans="1:8" ht="15" customHeight="1">
      <c r="B6" s="18" t="s">
        <v>171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82</v>
      </c>
      <c r="C7" s="18">
        <f>COUNTIFS(Resp2[Vínculo],"tecnico",Resp2[2.01],C17)</f>
        <v>4</v>
      </c>
      <c r="D7" s="18">
        <f>COUNTIFS(Resp2[Vínculo],"docente",Resp2[2.01],C17)</f>
        <v>18</v>
      </c>
      <c r="E7" s="13">
        <f>COUNTIF(Resp2[2.01],C17)</f>
        <v>22</v>
      </c>
      <c r="F7" s="14">
        <f>ROUND($E7/$E$10*100,2)</f>
        <v>66.67</v>
      </c>
      <c r="G7" s="13">
        <f>ROUND($E7/SUM($E$7:$E$9)*100,2)</f>
        <v>66.67</v>
      </c>
    </row>
    <row r="8" spans="1:8" ht="15" customHeight="1">
      <c r="B8" s="18" t="s">
        <v>83</v>
      </c>
      <c r="C8" s="18">
        <f>COUNTIFS(Resp2[Vínculo],"tecnico",Resp2[2.01],C18)</f>
        <v>2</v>
      </c>
      <c r="D8" s="18">
        <f>COUNTIFS(Resp2[Vínculo],"docente",Resp2[2.01],C18)</f>
        <v>6</v>
      </c>
      <c r="E8" s="13">
        <f>COUNTIF(Resp2[2.01],C18)</f>
        <v>8</v>
      </c>
      <c r="F8" s="14">
        <f t="shared" ref="F8:F10" si="0">ROUND($E8/$E$10*100,2)</f>
        <v>24.24</v>
      </c>
      <c r="G8" s="13">
        <f>ROUND($E8/SUM($E$7:$E$9)*100,2)</f>
        <v>24.24</v>
      </c>
    </row>
    <row r="9" spans="1:8" ht="15" customHeight="1">
      <c r="B9" s="18" t="s">
        <v>93</v>
      </c>
      <c r="C9" s="18">
        <f>COUNTIFS(Resp2[Vínculo],"tecnico",Resp2[2.01],C19)</f>
        <v>2</v>
      </c>
      <c r="D9" s="95">
        <f>COUNTIFS(Resp2[Vínculo],"docente",Resp2[2.01],C19)</f>
        <v>1</v>
      </c>
      <c r="E9" s="96">
        <f>COUNTIF(Resp2[2.01],C19)</f>
        <v>3</v>
      </c>
      <c r="F9" s="97">
        <f t="shared" si="0"/>
        <v>9.09</v>
      </c>
      <c r="G9" s="96">
        <f>ROUND($E9/SUM($E$7:$E$9)*100,2)</f>
        <v>9.09</v>
      </c>
    </row>
    <row r="10" spans="1:8" ht="15" customHeight="1">
      <c r="B10" s="11" t="s">
        <v>167</v>
      </c>
      <c r="C10" s="11">
        <f>SUM(C6:C9)</f>
        <v>8</v>
      </c>
      <c r="D10" s="9">
        <f>SUM(D6:D9)</f>
        <v>25</v>
      </c>
      <c r="E10" s="15">
        <f>SUM(C10:D10)</f>
        <v>33</v>
      </c>
      <c r="F10" s="104">
        <f t="shared" si="0"/>
        <v>100</v>
      </c>
      <c r="G10" s="103">
        <f>SUM(G7:G9)</f>
        <v>100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172</v>
      </c>
      <c r="C15" s="22" t="s">
        <v>168</v>
      </c>
      <c r="D15" s="6"/>
      <c r="E15" s="6"/>
      <c r="F15" s="6"/>
      <c r="G15" s="6"/>
    </row>
    <row r="16" spans="1:8" ht="15" customHeight="1">
      <c r="B16" t="s">
        <v>171</v>
      </c>
      <c r="C16" s="21" t="s">
        <v>173</v>
      </c>
    </row>
    <row r="17" spans="1:5" ht="15" customHeight="1">
      <c r="B17" t="s">
        <v>82</v>
      </c>
      <c r="C17" s="9" t="s">
        <v>10</v>
      </c>
    </row>
    <row r="18" spans="1:5" ht="15" customHeight="1">
      <c r="B18" t="s">
        <v>83</v>
      </c>
      <c r="C18" s="21" t="s">
        <v>17</v>
      </c>
    </row>
    <row r="19" spans="1:5">
      <c r="B19" t="s">
        <v>93</v>
      </c>
      <c r="C19" s="21" t="s">
        <v>22</v>
      </c>
    </row>
    <row r="24" spans="1:5">
      <c r="B24" s="11" t="s">
        <v>174</v>
      </c>
      <c r="C24" s="11" t="s">
        <v>175</v>
      </c>
      <c r="D24" s="7" t="s">
        <v>160</v>
      </c>
      <c r="E24" s="8" t="s">
        <v>163</v>
      </c>
    </row>
    <row r="25" spans="1:5">
      <c r="B25" s="29" t="s">
        <v>93</v>
      </c>
      <c r="C25" s="29" t="s">
        <v>84</v>
      </c>
      <c r="D25" s="15">
        <f>C9</f>
        <v>2</v>
      </c>
      <c r="E25" s="44">
        <f>ROUND(D25/SUM(D$25:D$28)*100,3)</f>
        <v>25</v>
      </c>
    </row>
    <row r="26" spans="1:5">
      <c r="A26" t="s">
        <v>176</v>
      </c>
      <c r="B26" s="30"/>
      <c r="C26" s="30"/>
      <c r="D26" s="15"/>
      <c r="E26" s="44"/>
    </row>
    <row r="27" spans="1:5">
      <c r="B27" s="31" t="s">
        <v>83</v>
      </c>
      <c r="C27" s="31" t="s">
        <v>89</v>
      </c>
      <c r="D27" s="15">
        <f>C8</f>
        <v>2</v>
      </c>
      <c r="E27" s="44">
        <f t="shared" ref="E27:E28" si="1">ROUND(D27/SUM(D$25:D$28)*100,3)</f>
        <v>25</v>
      </c>
    </row>
    <row r="28" spans="1:5">
      <c r="B28" s="52" t="s">
        <v>82</v>
      </c>
      <c r="C28" s="52" t="s">
        <v>94</v>
      </c>
      <c r="D28" s="33">
        <f>C7</f>
        <v>4</v>
      </c>
      <c r="E28" s="45">
        <f t="shared" si="1"/>
        <v>50</v>
      </c>
    </row>
    <row r="33" spans="1:5">
      <c r="B33" s="11" t="s">
        <v>174</v>
      </c>
      <c r="C33" s="11" t="s">
        <v>175</v>
      </c>
      <c r="D33" s="7" t="s">
        <v>161</v>
      </c>
      <c r="E33" s="8" t="s">
        <v>163</v>
      </c>
    </row>
    <row r="34" spans="1:5">
      <c r="B34" s="29" t="s">
        <v>93</v>
      </c>
      <c r="C34" s="29" t="s">
        <v>84</v>
      </c>
      <c r="D34" s="15">
        <f>D9</f>
        <v>1</v>
      </c>
      <c r="E34" s="44">
        <f>ROUND(D34/SUM(D$34:D$37)*100,3)</f>
        <v>4</v>
      </c>
    </row>
    <row r="35" spans="1:5">
      <c r="A35" t="s">
        <v>176</v>
      </c>
      <c r="B35" s="30"/>
      <c r="C35" s="30"/>
      <c r="D35" s="15"/>
      <c r="E35" s="44"/>
    </row>
    <row r="36" spans="1:5">
      <c r="B36" s="31" t="s">
        <v>83</v>
      </c>
      <c r="C36" s="31" t="s">
        <v>89</v>
      </c>
      <c r="D36" s="15">
        <f>D8</f>
        <v>6</v>
      </c>
      <c r="E36" s="44">
        <f t="shared" ref="E36:E37" si="2">ROUND(D36/SUM(D$34:D$37)*100,3)</f>
        <v>24</v>
      </c>
    </row>
    <row r="37" spans="1:5">
      <c r="B37" s="52" t="s">
        <v>82</v>
      </c>
      <c r="C37" s="52" t="s">
        <v>94</v>
      </c>
      <c r="D37" s="33">
        <f>D7</f>
        <v>18</v>
      </c>
      <c r="E37" s="45">
        <f t="shared" si="2"/>
        <v>72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3"/>
  <sheetViews>
    <sheetView topLeftCell="A15" workbookViewId="0">
      <selection activeCell="K17" sqref="K17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158</v>
      </c>
      <c r="B3" s="5" t="str">
        <f>VLOOKUP(A$2,Eixo[],4,FALSE)</f>
        <v>Eixo 2: Questão 2</v>
      </c>
      <c r="C3" s="5"/>
      <c r="D3" s="5"/>
    </row>
    <row r="5" spans="1:7">
      <c r="B5" s="3" t="s">
        <v>159</v>
      </c>
      <c r="C5" s="3" t="s">
        <v>169</v>
      </c>
      <c r="D5" s="3" t="s">
        <v>170</v>
      </c>
      <c r="E5" s="3" t="s">
        <v>162</v>
      </c>
      <c r="F5" s="4" t="s">
        <v>163</v>
      </c>
      <c r="G5" s="3" t="s">
        <v>164</v>
      </c>
    </row>
    <row r="6" spans="1:7">
      <c r="B6" s="16" t="s">
        <v>171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82</v>
      </c>
      <c r="C7" s="17">
        <f>COUNTIFS(Resp2[Vínculo],"tecnico",Resp2[2.02],C17)</f>
        <v>1</v>
      </c>
      <c r="D7" s="17">
        <f>COUNTIFS(Resp2[Vínculo],"docente",Resp2[2.02],C17)</f>
        <v>4</v>
      </c>
      <c r="E7" s="15">
        <f>COUNTIF(Resp2[2.02],C17)</f>
        <v>5</v>
      </c>
      <c r="F7" s="10">
        <f>ROUND($E7/$E$9*100,2)</f>
        <v>15.15</v>
      </c>
      <c r="G7" s="9">
        <f>ROUND($E7/SUM($E$7:$E$8)*100,2)</f>
        <v>15.15</v>
      </c>
    </row>
    <row r="8" spans="1:7">
      <c r="B8" s="17" t="s">
        <v>83</v>
      </c>
      <c r="C8" s="17">
        <f>COUNTIFS(Resp2[Vínculo],"tecnico",Resp2[2.02],C18)</f>
        <v>7</v>
      </c>
      <c r="D8" s="98">
        <f>COUNTIFS(Resp2[Vínculo],"docente",Resp2[2.02],C18)</f>
        <v>21</v>
      </c>
      <c r="E8" s="99">
        <f>COUNTIF(Resp2[2.02],C18)</f>
        <v>28</v>
      </c>
      <c r="F8" s="100">
        <f>ROUND($E8/$E$9*100,2)</f>
        <v>84.85</v>
      </c>
      <c r="G8" s="101">
        <f>ROUND($E8/SUM($E$7:$E$8)*100,2)</f>
        <v>84.85</v>
      </c>
    </row>
    <row r="9" spans="1:7">
      <c r="B9" s="11" t="s">
        <v>167</v>
      </c>
      <c r="C9" s="11">
        <f>SUM(C6:C8)</f>
        <v>8</v>
      </c>
      <c r="D9" s="9">
        <f>SUM(D6:D8)</f>
        <v>25</v>
      </c>
      <c r="E9" s="9">
        <f>SUM(C9:D9)</f>
        <v>33</v>
      </c>
      <c r="F9" s="106">
        <f t="shared" ref="F9" si="0">ROUND($E9/$E$9*100,2)</f>
        <v>100</v>
      </c>
      <c r="G9" s="105">
        <f>SUM(G7:G8)</f>
        <v>100</v>
      </c>
    </row>
    <row r="15" spans="1:7">
      <c r="B15" s="6" t="s">
        <v>177</v>
      </c>
      <c r="C15" s="6" t="s">
        <v>178</v>
      </c>
      <c r="D15" s="6"/>
      <c r="E15" s="6"/>
      <c r="F15" s="6"/>
      <c r="G15" s="6"/>
    </row>
    <row r="16" spans="1:7">
      <c r="B16" t="s">
        <v>171</v>
      </c>
      <c r="C16" s="24" t="s">
        <v>179</v>
      </c>
    </row>
    <row r="17" spans="1:5">
      <c r="B17" t="s">
        <v>82</v>
      </c>
      <c r="C17" s="24" t="s">
        <v>18</v>
      </c>
    </row>
    <row r="18" spans="1:5">
      <c r="B18" t="s">
        <v>83</v>
      </c>
      <c r="C18" s="24" t="s">
        <v>11</v>
      </c>
    </row>
    <row r="21" spans="1:5">
      <c r="B21" s="11" t="s">
        <v>174</v>
      </c>
      <c r="C21" s="11" t="s">
        <v>175</v>
      </c>
      <c r="D21" s="7" t="s">
        <v>160</v>
      </c>
      <c r="E21" s="8" t="s">
        <v>163</v>
      </c>
    </row>
    <row r="22" spans="1:5">
      <c r="B22" s="29" t="s">
        <v>82</v>
      </c>
      <c r="C22" s="29" t="s">
        <v>84</v>
      </c>
      <c r="D22" s="15">
        <f>C7</f>
        <v>1</v>
      </c>
      <c r="E22" s="44">
        <f>ROUND(D22/SUM(D$22:D$25)*100,3)</f>
        <v>12.5</v>
      </c>
    </row>
    <row r="23" spans="1:5">
      <c r="A23" s="132" t="s">
        <v>176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30"/>
      <c r="B25" s="52" t="s">
        <v>83</v>
      </c>
      <c r="C25" s="52" t="s">
        <v>94</v>
      </c>
      <c r="D25" s="33">
        <f>C8</f>
        <v>7</v>
      </c>
      <c r="E25" s="45">
        <f>ROUND(D25/SUM(D$22:D$25)*100,3)</f>
        <v>87.5</v>
      </c>
    </row>
    <row r="26" spans="1:5">
      <c r="A26" s="130"/>
      <c r="D26">
        <f>SUM(D22:D25)</f>
        <v>8</v>
      </c>
    </row>
    <row r="27" spans="1:5">
      <c r="A27" s="130"/>
    </row>
    <row r="28" spans="1:5">
      <c r="A28" s="130"/>
      <c r="B28" s="11" t="s">
        <v>174</v>
      </c>
      <c r="C28" s="11" t="s">
        <v>175</v>
      </c>
      <c r="D28" s="7" t="s">
        <v>180</v>
      </c>
      <c r="E28" s="8" t="s">
        <v>163</v>
      </c>
    </row>
    <row r="29" spans="1:5" ht="15.75" customHeight="1">
      <c r="A29" s="130"/>
      <c r="B29" s="29" t="s">
        <v>82</v>
      </c>
      <c r="C29" s="29" t="s">
        <v>84</v>
      </c>
      <c r="D29" s="15">
        <f>D7</f>
        <v>4</v>
      </c>
      <c r="E29" s="44">
        <f>ROUND(D29/SUM(D$29:D$32)*100,3)</f>
        <v>16</v>
      </c>
    </row>
    <row r="30" spans="1:5" ht="12.75" customHeight="1">
      <c r="A30" s="132" t="s">
        <v>176</v>
      </c>
      <c r="B30" s="30"/>
      <c r="C30" s="30"/>
      <c r="D30" s="15"/>
      <c r="E30" s="44"/>
    </row>
    <row r="31" spans="1:5" ht="17.25" customHeight="1">
      <c r="A31" s="132"/>
      <c r="B31" s="31"/>
      <c r="C31" s="31"/>
      <c r="D31" s="15"/>
      <c r="E31" s="44"/>
    </row>
    <row r="32" spans="1:5">
      <c r="B32" s="52" t="s">
        <v>83</v>
      </c>
      <c r="C32" s="52" t="s">
        <v>94</v>
      </c>
      <c r="D32" s="33">
        <f>D8</f>
        <v>21</v>
      </c>
      <c r="E32" s="45">
        <f>ROUND(D32/SUM(D$29:D$32)*100,3)</f>
        <v>84</v>
      </c>
    </row>
    <row r="33" spans="4:4">
      <c r="D33">
        <f>SUM(D29:D32)</f>
        <v>25</v>
      </c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2" workbookViewId="0">
      <selection activeCell="A3" sqref="A3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158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159</v>
      </c>
      <c r="C5" s="7" t="s">
        <v>169</v>
      </c>
      <c r="D5" s="7" t="s">
        <v>161</v>
      </c>
      <c r="E5" s="7" t="s">
        <v>162</v>
      </c>
      <c r="F5" s="8" t="s">
        <v>163</v>
      </c>
      <c r="G5" s="7" t="s">
        <v>164</v>
      </c>
    </row>
    <row r="6" spans="1:7">
      <c r="B6" s="9" t="s">
        <v>173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12</v>
      </c>
      <c r="C7" s="10">
        <f>COUNTIFS(Resp2[Vínculo],"tecnico",Resp2[2.03],B7)</f>
        <v>7</v>
      </c>
      <c r="D7" s="10">
        <f>COUNTIFS(Resp2[Vínculo],"docente",Resp2[2.03],B7)</f>
        <v>20</v>
      </c>
      <c r="E7" s="9">
        <f>COUNTIF(Resp2[2.03],B7)</f>
        <v>27</v>
      </c>
      <c r="F7" s="10">
        <f t="shared" ref="F7:F9" si="0">ROUND($E7/$E$9*100,2)</f>
        <v>81.819999999999993</v>
      </c>
      <c r="G7" s="10">
        <f>ROUND($E7/SUM($E$7:$E$8)*100,2)</f>
        <v>81.819999999999993</v>
      </c>
    </row>
    <row r="8" spans="1:7">
      <c r="B8" s="9" t="s">
        <v>19</v>
      </c>
      <c r="C8" s="10">
        <f>COUNTIFS(Resp2[Vínculo],"tecnico",Resp2[2.03],B8)</f>
        <v>1</v>
      </c>
      <c r="D8" s="10">
        <f>COUNTIFS(Resp2[Vínculo],"docente",Resp2[2.03],B8)</f>
        <v>5</v>
      </c>
      <c r="E8" s="9">
        <f>COUNTIF(Resp2[2.03],B8)</f>
        <v>6</v>
      </c>
      <c r="F8" s="100">
        <f>ROUND($E8/$E$9*100,2)</f>
        <v>18.18</v>
      </c>
      <c r="G8" s="100">
        <f>ROUND($E8/SUM($E$7:$E$8)*100,2)</f>
        <v>18.18</v>
      </c>
    </row>
    <row r="9" spans="1:7">
      <c r="B9" s="11" t="s">
        <v>167</v>
      </c>
      <c r="C9" s="11">
        <f>SUM(C6:C8)</f>
        <v>8</v>
      </c>
      <c r="D9" s="11">
        <f>SUM(D6:D8)</f>
        <v>25</v>
      </c>
      <c r="E9" s="11">
        <f>SUM(C9:D9)</f>
        <v>33</v>
      </c>
      <c r="F9" s="106">
        <f t="shared" si="0"/>
        <v>100</v>
      </c>
      <c r="G9" s="106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zoomScale="90" zoomScaleNormal="90" workbookViewId="0">
      <selection activeCell="D26" sqref="D26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158</v>
      </c>
      <c r="B3" s="10" t="str">
        <f>VLOOKUP(A$2, Eixo[], 4, FALSE)</f>
        <v>Eixo 2: Questão 6</v>
      </c>
      <c r="C3" s="10"/>
      <c r="D3" s="10"/>
    </row>
    <row r="5" spans="1:9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9">
      <c r="B6" s="9" t="s">
        <v>165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21</v>
      </c>
      <c r="C7" s="10">
        <f>COUNTIFS(Resp2[Vínculo],"tecnico",Resp2[2.06],B7)</f>
        <v>1</v>
      </c>
      <c r="D7" s="10">
        <f>COUNTIFS(Resp2[Vínculo],"docente",Resp2[2.06],B7)</f>
        <v>2</v>
      </c>
      <c r="E7" s="10">
        <f>COUNTIF(Resp2[2.06],B7)</f>
        <v>3</v>
      </c>
      <c r="F7" s="25">
        <f t="shared" ref="F7:F13" si="0">ROUND($E7/$E$13*100,2)</f>
        <v>9.09</v>
      </c>
      <c r="G7" s="25">
        <f>ROUND($E7/SUM($E$7:$E$12)*100,3)</f>
        <v>9.0909999999999993</v>
      </c>
    </row>
    <row r="8" spans="1:9">
      <c r="B8" s="9" t="s">
        <v>166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9">
      <c r="B9" s="9" t="s">
        <v>20</v>
      </c>
      <c r="C9" s="10">
        <f>COUNTIFS(Resp2[Vínculo],"tecnico",Resp2[2.06],B9)</f>
        <v>0</v>
      </c>
      <c r="D9" s="10">
        <f>COUNTIFS(Resp2[Vínculo],"docente",Resp2[2.06],B9)</f>
        <v>3</v>
      </c>
      <c r="E9" s="10">
        <f>COUNTIF(Resp2[2.06],B9)</f>
        <v>3</v>
      </c>
      <c r="F9" s="25">
        <f t="shared" si="0"/>
        <v>9.09</v>
      </c>
      <c r="G9" s="25">
        <f t="shared" si="1"/>
        <v>9.0909999999999993</v>
      </c>
    </row>
    <row r="10" spans="1:9">
      <c r="B10" s="9" t="s">
        <v>15</v>
      </c>
      <c r="C10" s="10">
        <f>COUNTIFS(Resp2[Vínculo],"tecnico",Resp2[2.06],B10)</f>
        <v>2</v>
      </c>
      <c r="D10" s="10">
        <f>COUNTIFS(Resp2[Vínculo],"docente",Resp2[2.06],B10)</f>
        <v>6</v>
      </c>
      <c r="E10" s="10">
        <f>COUNTIF(Resp2[2.06],B10)</f>
        <v>8</v>
      </c>
      <c r="F10" s="25">
        <f t="shared" si="0"/>
        <v>24.24</v>
      </c>
      <c r="G10" s="25">
        <f t="shared" si="1"/>
        <v>24.242000000000001</v>
      </c>
    </row>
    <row r="11" spans="1:9">
      <c r="B11" s="9" t="s">
        <v>13</v>
      </c>
      <c r="C11" s="10">
        <f>COUNTIFS(Resp2[Vínculo],"tecnico",Resp2[2.06],B11)</f>
        <v>4</v>
      </c>
      <c r="D11" s="10">
        <f>COUNTIFS(Resp2[Vínculo],"docente",Resp2[2.06],B11)</f>
        <v>11</v>
      </c>
      <c r="E11" s="10">
        <f>COUNTIF(Resp2[2.06],B11)</f>
        <v>15</v>
      </c>
      <c r="F11" s="25">
        <f t="shared" si="0"/>
        <v>45.45</v>
      </c>
      <c r="G11" s="25">
        <f t="shared" si="1"/>
        <v>45.454999999999998</v>
      </c>
    </row>
    <row r="12" spans="1:9">
      <c r="B12" s="101" t="s">
        <v>16</v>
      </c>
      <c r="C12" s="100">
        <f>COUNTIFS(Resp2[Vínculo],"tecnico",Resp2[2.06],B12)</f>
        <v>1</v>
      </c>
      <c r="D12" s="100">
        <f>COUNTIFS(Resp2[Vínculo],"docente",Resp2[2.06],B12)</f>
        <v>3</v>
      </c>
      <c r="E12" s="100">
        <f>COUNTIF(Resp2[2.06],B12)</f>
        <v>4</v>
      </c>
      <c r="F12" s="102">
        <f t="shared" si="0"/>
        <v>12.12</v>
      </c>
      <c r="G12" s="102">
        <f t="shared" si="1"/>
        <v>12.121</v>
      </c>
    </row>
    <row r="13" spans="1:9">
      <c r="B13" s="10" t="s">
        <v>167</v>
      </c>
      <c r="C13" s="10">
        <f>SUM(C6:C12)</f>
        <v>8</v>
      </c>
      <c r="D13" s="10">
        <f>SUM(D6:D12)</f>
        <v>25</v>
      </c>
      <c r="E13" s="10">
        <f>SUM(C13:D13)</f>
        <v>33</v>
      </c>
      <c r="F13" s="105">
        <f t="shared" si="0"/>
        <v>100</v>
      </c>
      <c r="G13" s="105">
        <f>SUM(G7:G12)</f>
        <v>99.999999999999986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174</v>
      </c>
      <c r="C17" s="11" t="s">
        <v>175</v>
      </c>
      <c r="D17" s="7" t="s">
        <v>160</v>
      </c>
      <c r="E17" s="8" t="s">
        <v>163</v>
      </c>
      <c r="F17" s="37"/>
      <c r="G17" s="38"/>
    </row>
    <row r="18" spans="2:7">
      <c r="B18" s="29" t="s">
        <v>85</v>
      </c>
      <c r="C18" s="29" t="s">
        <v>84</v>
      </c>
      <c r="D18" s="15">
        <f>SUM(C8:C9)</f>
        <v>0</v>
      </c>
      <c r="E18" s="44">
        <f>ROUND(D18/SUM(D$18:D$21)*100,3)</f>
        <v>0</v>
      </c>
      <c r="F18" s="37"/>
      <c r="G18" s="38"/>
    </row>
    <row r="19" spans="2:7">
      <c r="B19" s="30" t="s">
        <v>181</v>
      </c>
      <c r="C19" s="30" t="s">
        <v>77</v>
      </c>
      <c r="D19" s="15">
        <f>C7</f>
        <v>1</v>
      </c>
      <c r="E19" s="44">
        <f t="shared" ref="E19:E21" si="2">ROUND(D19/SUM(D$18:D$21)*100,3)</f>
        <v>12.5</v>
      </c>
      <c r="F19" s="37"/>
      <c r="G19" s="38"/>
    </row>
    <row r="20" spans="2:7">
      <c r="B20" s="31" t="s">
        <v>15</v>
      </c>
      <c r="C20" s="31" t="s">
        <v>89</v>
      </c>
      <c r="D20" s="15">
        <f>C10</f>
        <v>2</v>
      </c>
      <c r="E20" s="44">
        <f t="shared" si="2"/>
        <v>25</v>
      </c>
    </row>
    <row r="21" spans="2:7">
      <c r="B21" s="52" t="s">
        <v>95</v>
      </c>
      <c r="C21" s="52" t="s">
        <v>94</v>
      </c>
      <c r="D21" s="33">
        <f>SUM(C11:C12)</f>
        <v>5</v>
      </c>
      <c r="E21" s="45">
        <f t="shared" si="2"/>
        <v>62.5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161</v>
      </c>
      <c r="E24" s="8" t="s">
        <v>163</v>
      </c>
    </row>
    <row r="25" spans="2:7">
      <c r="B25" s="29" t="s">
        <v>85</v>
      </c>
      <c r="C25" s="29" t="s">
        <v>84</v>
      </c>
      <c r="D25" s="15">
        <f>SUM(D8:D9)</f>
        <v>3</v>
      </c>
      <c r="E25" s="44">
        <f>ROUND(D25/SUM(D$25:D$28)*100,3)</f>
        <v>12</v>
      </c>
    </row>
    <row r="26" spans="2:7">
      <c r="B26" s="30" t="s">
        <v>181</v>
      </c>
      <c r="C26" s="30" t="s">
        <v>77</v>
      </c>
      <c r="D26" s="15">
        <f>D7</f>
        <v>2</v>
      </c>
      <c r="E26" s="44">
        <f>ROUND(D26/SUM(D$25:D$28)*100,3)</f>
        <v>8</v>
      </c>
    </row>
    <row r="27" spans="2:7">
      <c r="B27" s="31" t="s">
        <v>15</v>
      </c>
      <c r="C27" s="31" t="s">
        <v>89</v>
      </c>
      <c r="D27" s="15">
        <f>D10</f>
        <v>6</v>
      </c>
      <c r="E27" s="44">
        <f>ROUND(D27/SUM(D$25:D$28)*100,3)</f>
        <v>24</v>
      </c>
    </row>
    <row r="28" spans="2:7">
      <c r="B28" s="32" t="s">
        <v>95</v>
      </c>
      <c r="C28" s="32" t="s">
        <v>94</v>
      </c>
      <c r="D28" s="33">
        <f>SUM(D11:D12)</f>
        <v>14</v>
      </c>
      <c r="E28" s="45">
        <f>ROUND(D28/SUM(D$25:D$28)*100,3)</f>
        <v>56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8" workbookViewId="0">
      <selection activeCell="D26" sqref="D26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158</v>
      </c>
      <c r="B3" s="10" t="str">
        <f>VLOOKUP(A$2, Eixo[], 4, FALSE)</f>
        <v>Eixo 2: Questão 7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COUNTIFS(Resp2[Vínculo],"tecnico",Resp2[2.07],B7)</f>
        <v>1</v>
      </c>
      <c r="D7" s="10">
        <f>COUNTIFS(Resp2[Vínculo],"docente",Resp2[2.07],B7)</f>
        <v>3</v>
      </c>
      <c r="E7" s="10">
        <f>COUNTIF(Resp2[2.07],B7)</f>
        <v>4</v>
      </c>
      <c r="F7" s="25">
        <f t="shared" ref="F7:F12" si="0">ROUND($E7/$E$13*100,2)</f>
        <v>12.12</v>
      </c>
      <c r="G7" s="25">
        <f>ROUND($E7/SUM($E$7:$E$12)*100,3)</f>
        <v>12.121</v>
      </c>
    </row>
    <row r="8" spans="1:7">
      <c r="B8" s="9" t="s">
        <v>166</v>
      </c>
      <c r="C8" s="10">
        <f>COUNTIFS(Resp2[Vínculo],"tecnico",Resp2[2.07],B8)</f>
        <v>0</v>
      </c>
      <c r="D8" s="10">
        <f>COUNTIFS(Resp2[Vínculo],"docente",Resp2[2.07],B8)</f>
        <v>0</v>
      </c>
      <c r="E8" s="10">
        <f>COUNTIF(Resp2[2.07],B8)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20</v>
      </c>
      <c r="C9" s="10">
        <f>COUNTIFS(Resp2[Vínculo],"tecnico",Resp2[2.07],B9)</f>
        <v>0</v>
      </c>
      <c r="D9" s="10">
        <f>COUNTIFS(Resp2[Vínculo],"docente",Resp2[2.07],B9)</f>
        <v>0</v>
      </c>
      <c r="E9" s="10">
        <f>COUNTIF(Resp2[2.07],B9)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15</v>
      </c>
      <c r="C10" s="10">
        <f>COUNTIFS(Resp2[Vínculo],"tecnico",Resp2[2.07],B10)</f>
        <v>0</v>
      </c>
      <c r="D10" s="10">
        <f>COUNTIFS(Resp2[Vínculo],"docente",Resp2[2.07],B10)</f>
        <v>5</v>
      </c>
      <c r="E10" s="10">
        <f>COUNTIF(Resp2[2.07],B10)</f>
        <v>5</v>
      </c>
      <c r="F10" s="25">
        <f t="shared" si="0"/>
        <v>15.15</v>
      </c>
      <c r="G10" s="25">
        <f t="shared" si="1"/>
        <v>15.151999999999999</v>
      </c>
    </row>
    <row r="11" spans="1:7">
      <c r="B11" s="9" t="s">
        <v>13</v>
      </c>
      <c r="C11" s="10">
        <f>COUNTIFS(Resp2[Vínculo],"tecnico",Resp2[2.07],B11)</f>
        <v>6</v>
      </c>
      <c r="D11" s="10">
        <f>COUNTIFS(Resp2[Vínculo],"docente",Resp2[2.07],B11)</f>
        <v>14</v>
      </c>
      <c r="E11" s="10">
        <f>COUNTIF(Resp2[2.07],B11)</f>
        <v>20</v>
      </c>
      <c r="F11" s="25">
        <f t="shared" si="0"/>
        <v>60.61</v>
      </c>
      <c r="G11" s="25">
        <f t="shared" si="1"/>
        <v>60.606000000000002</v>
      </c>
    </row>
    <row r="12" spans="1:7">
      <c r="B12" s="26" t="s">
        <v>16</v>
      </c>
      <c r="C12" s="10">
        <f>COUNTIFS(Resp2[Vínculo],"tecnico",Resp2[2.07],B12)</f>
        <v>1</v>
      </c>
      <c r="D12" s="10">
        <f>COUNTIFS(Resp2[Vínculo],"docente",Resp2[2.07],B12)</f>
        <v>3</v>
      </c>
      <c r="E12" s="10">
        <f>COUNTIF(Resp2[2.07],B12)</f>
        <v>4</v>
      </c>
      <c r="F12" s="102">
        <f t="shared" si="0"/>
        <v>12.12</v>
      </c>
      <c r="G12" s="25">
        <f t="shared" si="1"/>
        <v>12.121</v>
      </c>
    </row>
    <row r="13" spans="1:7">
      <c r="B13" s="9" t="s">
        <v>167</v>
      </c>
      <c r="C13" s="11">
        <f>SUM(C6:C12)</f>
        <v>8</v>
      </c>
      <c r="D13" s="11">
        <f>SUM(D6:D12)</f>
        <v>25</v>
      </c>
      <c r="E13" s="11">
        <f>SUM(C13:D13)</f>
        <v>33</v>
      </c>
      <c r="F13" s="105">
        <f>ROUND($E13/$E$13*100,2)</f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174</v>
      </c>
      <c r="C17" s="22" t="s">
        <v>175</v>
      </c>
      <c r="D17" s="7" t="s">
        <v>160</v>
      </c>
      <c r="E17" s="8" t="s">
        <v>163</v>
      </c>
      <c r="F17" s="15"/>
      <c r="G17" s="10"/>
    </row>
    <row r="18" spans="2:7">
      <c r="B18" s="29" t="s">
        <v>85</v>
      </c>
      <c r="C18" s="29" t="s">
        <v>84</v>
      </c>
      <c r="D18" s="15">
        <f>SUM(C8:C9)</f>
        <v>0</v>
      </c>
      <c r="E18" s="39">
        <f>ROUND(D18/SUM(D$18:D$21)*100,3)</f>
        <v>0</v>
      </c>
      <c r="F18" s="15"/>
      <c r="G18" s="10"/>
    </row>
    <row r="19" spans="2:7">
      <c r="B19" s="30" t="s">
        <v>181</v>
      </c>
      <c r="C19" s="30" t="s">
        <v>77</v>
      </c>
      <c r="D19" s="15">
        <f>C7</f>
        <v>1</v>
      </c>
      <c r="E19" s="39">
        <f t="shared" ref="E19:E21" si="2">ROUND(D19/SUM(D$18:D$21)*100,3)</f>
        <v>12.5</v>
      </c>
      <c r="F19" s="15"/>
      <c r="G19" s="10"/>
    </row>
    <row r="20" spans="2:7">
      <c r="B20" s="31" t="s">
        <v>15</v>
      </c>
      <c r="C20" s="31" t="s">
        <v>89</v>
      </c>
      <c r="D20" s="15">
        <f>C10</f>
        <v>0</v>
      </c>
      <c r="E20" s="39">
        <f t="shared" si="2"/>
        <v>0</v>
      </c>
    </row>
    <row r="21" spans="2:7">
      <c r="B21" s="32" t="s">
        <v>95</v>
      </c>
      <c r="C21" s="32" t="s">
        <v>94</v>
      </c>
      <c r="D21" s="33">
        <f>SUM(C11:C12)</f>
        <v>7</v>
      </c>
      <c r="E21" s="42">
        <f t="shared" si="2"/>
        <v>87.5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161</v>
      </c>
      <c r="E24" s="8" t="s">
        <v>163</v>
      </c>
    </row>
    <row r="25" spans="2:7">
      <c r="B25" s="29" t="s">
        <v>85</v>
      </c>
      <c r="C25" s="29" t="s">
        <v>84</v>
      </c>
      <c r="D25" s="15">
        <f>SUM(D8:D9)</f>
        <v>0</v>
      </c>
      <c r="E25" s="39">
        <f>ROUND(D25/SUM(D$25:D$28)*100,3)</f>
        <v>0</v>
      </c>
    </row>
    <row r="26" spans="2:7">
      <c r="B26" s="30" t="s">
        <v>181</v>
      </c>
      <c r="C26" s="30" t="s">
        <v>77</v>
      </c>
      <c r="D26" s="15">
        <f>D7</f>
        <v>3</v>
      </c>
      <c r="E26" s="39">
        <f>ROUND(D26/SUM(D$25:D$28)*100,3)</f>
        <v>12</v>
      </c>
    </row>
    <row r="27" spans="2:7">
      <c r="B27" s="31" t="s">
        <v>15</v>
      </c>
      <c r="C27" s="31" t="s">
        <v>89</v>
      </c>
      <c r="D27" s="15">
        <f>D10</f>
        <v>5</v>
      </c>
      <c r="E27" s="39">
        <f>ROUND(D27/SUM(D$25:D$28)*100,3)</f>
        <v>20</v>
      </c>
    </row>
    <row r="28" spans="2:7">
      <c r="B28" s="32" t="s">
        <v>95</v>
      </c>
      <c r="C28" s="32" t="s">
        <v>94</v>
      </c>
      <c r="D28" s="33">
        <f>SUM(D11:D12)</f>
        <v>17</v>
      </c>
      <c r="E28" s="42">
        <f>ROUND(D28/SUM(D$25:D$28)*100,3)</f>
        <v>68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11" workbookViewId="0">
      <selection activeCell="D27" sqref="D27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158</v>
      </c>
      <c r="B3" s="10" t="str">
        <f>VLOOKUP(A$2, Eixo[], 4, FALSE)</f>
        <v>Eixo 2: Questão 8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COUNTIFS(Resp2[Vínculo],"tecnico",Resp2[2.08],B7)</f>
        <v>1</v>
      </c>
      <c r="D7" s="10">
        <f>COUNTIFS(Resp2[Vínculo],"docente",Resp2[2.08],B7)</f>
        <v>5</v>
      </c>
      <c r="E7" s="10">
        <f>COUNTIF(Resp2[2.08],B7)</f>
        <v>6</v>
      </c>
      <c r="F7" s="25">
        <f t="shared" ref="F7:F13" si="0">ROUND($E7/$E$13*100,2)</f>
        <v>18.18</v>
      </c>
      <c r="G7" s="25">
        <f>ROUND($E7/SUM($E$7:$E$12)*100,3)</f>
        <v>18.181999999999999</v>
      </c>
    </row>
    <row r="8" spans="1:7">
      <c r="B8" s="9" t="s">
        <v>166</v>
      </c>
      <c r="C8" s="10">
        <f>COUNTIFS(Resp2[Vínculo],"tecnico",Resp2[2.08],B8)</f>
        <v>0</v>
      </c>
      <c r="D8" s="10">
        <f>COUNTIFS(Resp2[Vínculo],"docente",Resp2[2.08],B8)</f>
        <v>0</v>
      </c>
      <c r="E8" s="10">
        <f>COUNTIF(Resp2[2.08],B8)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20</v>
      </c>
      <c r="C9" s="10">
        <f>COUNTIFS(Resp2[Vínculo],"tecnico",Resp2[2.08],B9)</f>
        <v>0</v>
      </c>
      <c r="D9" s="10">
        <f>COUNTIFS(Resp2[Vínculo],"docente",Resp2[2.08],B9)</f>
        <v>1</v>
      </c>
      <c r="E9" s="10">
        <f>COUNTIF(Resp2[2.08],B9)</f>
        <v>1</v>
      </c>
      <c r="F9" s="25">
        <f t="shared" si="0"/>
        <v>3.03</v>
      </c>
      <c r="G9" s="25">
        <f t="shared" si="1"/>
        <v>3.03</v>
      </c>
    </row>
    <row r="10" spans="1:7">
      <c r="B10" s="9" t="s">
        <v>15</v>
      </c>
      <c r="C10" s="10">
        <f>COUNTIFS(Resp2[Vínculo],"tecnico",Resp2[2.08],B10)</f>
        <v>2</v>
      </c>
      <c r="D10" s="10">
        <f>COUNTIFS(Resp2[Vínculo],"docente",Resp2[2.08],B10)</f>
        <v>4</v>
      </c>
      <c r="E10" s="10">
        <f>COUNTIF(Resp2[2.08],B10)</f>
        <v>6</v>
      </c>
      <c r="F10" s="25">
        <f t="shared" si="0"/>
        <v>18.18</v>
      </c>
      <c r="G10" s="25">
        <f t="shared" si="1"/>
        <v>18.181999999999999</v>
      </c>
    </row>
    <row r="11" spans="1:7">
      <c r="B11" s="9" t="s">
        <v>13</v>
      </c>
      <c r="C11" s="10">
        <f>COUNTIFS(Resp2[Vínculo],"tecnico",Resp2[2.08],B11)</f>
        <v>4</v>
      </c>
      <c r="D11" s="10">
        <f>COUNTIFS(Resp2[Vínculo],"docente",Resp2[2.08],B11)</f>
        <v>11</v>
      </c>
      <c r="E11" s="10">
        <f>COUNTIF(Resp2[2.08],B11)</f>
        <v>15</v>
      </c>
      <c r="F11" s="25">
        <f t="shared" si="0"/>
        <v>45.45</v>
      </c>
      <c r="G11" s="25">
        <f t="shared" si="1"/>
        <v>45.454999999999998</v>
      </c>
    </row>
    <row r="12" spans="1:7">
      <c r="B12" s="26" t="s">
        <v>16</v>
      </c>
      <c r="C12" s="10">
        <f>COUNTIFS(Resp2[Vínculo],"tecnico",Resp2[2.08],B12)</f>
        <v>1</v>
      </c>
      <c r="D12" s="10">
        <f>COUNTIFS(Resp2[Vínculo],"docente",Resp2[2.08],B12)</f>
        <v>4</v>
      </c>
      <c r="E12" s="10">
        <f>COUNTIF(Resp2[2.08],B12)</f>
        <v>5</v>
      </c>
      <c r="F12" s="102">
        <f t="shared" si="0"/>
        <v>15.15</v>
      </c>
      <c r="G12" s="25">
        <f t="shared" si="1"/>
        <v>15.151999999999999</v>
      </c>
    </row>
    <row r="13" spans="1:7">
      <c r="B13" s="27" t="s">
        <v>167</v>
      </c>
      <c r="C13" s="11">
        <f>SUM(C6:C12)</f>
        <v>8</v>
      </c>
      <c r="D13" s="11">
        <f>SUM(D6:D12)</f>
        <v>25</v>
      </c>
      <c r="E13" s="11">
        <f>SUM(C13:D13)</f>
        <v>33</v>
      </c>
      <c r="F13" s="105">
        <f t="shared" si="0"/>
        <v>100</v>
      </c>
      <c r="G13" s="107">
        <f>SUM(G7:G12)</f>
        <v>100.00099999999999</v>
      </c>
    </row>
    <row r="15" spans="1:7">
      <c r="G15" s="9"/>
    </row>
    <row r="16" spans="1:7">
      <c r="F16" s="15"/>
      <c r="G16" s="10"/>
    </row>
    <row r="17" spans="2:7">
      <c r="B17" s="22" t="s">
        <v>174</v>
      </c>
      <c r="C17" s="22" t="s">
        <v>175</v>
      </c>
      <c r="D17" s="7" t="s">
        <v>160</v>
      </c>
      <c r="E17" s="8" t="s">
        <v>163</v>
      </c>
      <c r="F17" s="15"/>
      <c r="G17" s="10"/>
    </row>
    <row r="18" spans="2:7">
      <c r="B18" s="29" t="s">
        <v>85</v>
      </c>
      <c r="C18" s="29" t="s">
        <v>84</v>
      </c>
      <c r="D18" s="15">
        <f>SUM(C8:C9)</f>
        <v>0</v>
      </c>
      <c r="E18" s="39">
        <f>ROUND(D18/SUM(D$18:D$21)*100,3)</f>
        <v>0</v>
      </c>
      <c r="F18" s="15"/>
      <c r="G18" s="10"/>
    </row>
    <row r="19" spans="2:7">
      <c r="B19" s="30" t="s">
        <v>181</v>
      </c>
      <c r="C19" s="30" t="s">
        <v>77</v>
      </c>
      <c r="D19" s="15">
        <f>C7</f>
        <v>1</v>
      </c>
      <c r="E19" s="39">
        <f t="shared" ref="E19:E21" si="2">ROUND(D19/SUM(D$18:D$21)*100,3)</f>
        <v>12.5</v>
      </c>
      <c r="F19" s="15"/>
      <c r="G19" s="10"/>
    </row>
    <row r="20" spans="2:7">
      <c r="B20" s="31" t="s">
        <v>15</v>
      </c>
      <c r="C20" s="31" t="s">
        <v>89</v>
      </c>
      <c r="D20" s="15">
        <f>C10</f>
        <v>2</v>
      </c>
      <c r="E20" s="39">
        <f t="shared" si="2"/>
        <v>25</v>
      </c>
    </row>
    <row r="21" spans="2:7">
      <c r="B21" s="32" t="s">
        <v>95</v>
      </c>
      <c r="C21" s="32" t="s">
        <v>94</v>
      </c>
      <c r="D21" s="33">
        <f>SUM(C11:C12)</f>
        <v>5</v>
      </c>
      <c r="E21" s="42">
        <f t="shared" si="2"/>
        <v>62.5</v>
      </c>
    </row>
    <row r="22" spans="2:7">
      <c r="E22" s="40"/>
    </row>
    <row r="23" spans="2:7">
      <c r="E23" s="40"/>
    </row>
    <row r="24" spans="2:7">
      <c r="B24" s="22" t="s">
        <v>174</v>
      </c>
      <c r="C24" s="22" t="s">
        <v>175</v>
      </c>
      <c r="D24" s="7" t="s">
        <v>161</v>
      </c>
      <c r="E24" s="8" t="s">
        <v>163</v>
      </c>
    </row>
    <row r="25" spans="2:7">
      <c r="B25" s="29" t="s">
        <v>85</v>
      </c>
      <c r="C25" s="29" t="s">
        <v>84</v>
      </c>
      <c r="D25" s="15">
        <f>SUM(D8:D9)</f>
        <v>1</v>
      </c>
      <c r="E25" s="39">
        <f>ROUND(D25/SUM(D$25:D$28)*100,3)</f>
        <v>4</v>
      </c>
    </row>
    <row r="26" spans="2:7">
      <c r="B26" s="30" t="s">
        <v>181</v>
      </c>
      <c r="C26" s="30" t="s">
        <v>77</v>
      </c>
      <c r="D26" s="15">
        <f>D7</f>
        <v>5</v>
      </c>
      <c r="E26" s="39">
        <f>ROUND(D26/SUM(D$25:D$28)*100,3)</f>
        <v>20</v>
      </c>
    </row>
    <row r="27" spans="2:7">
      <c r="B27" s="31" t="s">
        <v>15</v>
      </c>
      <c r="C27" s="31" t="s">
        <v>89</v>
      </c>
      <c r="D27" s="15">
        <f>D10</f>
        <v>4</v>
      </c>
      <c r="E27" s="39">
        <f>ROUND(D27/SUM(D$25:D$28)*100,3)</f>
        <v>16</v>
      </c>
    </row>
    <row r="28" spans="2:7">
      <c r="B28" s="32" t="s">
        <v>95</v>
      </c>
      <c r="C28" s="32" t="s">
        <v>94</v>
      </c>
      <c r="D28" s="33">
        <f>SUM(D11:D12)</f>
        <v>15</v>
      </c>
      <c r="E28" s="42">
        <f>ROUND(D28/SUM(D$25:D$28)*100,3)</f>
        <v>60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23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158</v>
      </c>
      <c r="B3" s="10" t="str">
        <f>VLOOKUP(A$2, Eixo[], 4, FALSE)</f>
        <v>Eixo3: Questão 1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COUNTIFS(Resp3[Vínculo],"tecnico",Resp3[3.01],B7)</f>
        <v>2</v>
      </c>
      <c r="D7" s="10">
        <f>COUNTIFS(Resp3[Vínculo],"docente",Resp3[3.01],B7)</f>
        <v>6</v>
      </c>
      <c r="E7" s="10">
        <f>COUNTIF(Resp3[3.01],B7)</f>
        <v>8</v>
      </c>
      <c r="F7" s="25">
        <f t="shared" ref="F7:F13" si="0">ROUND($E7/$E$13*100,2)</f>
        <v>24.24</v>
      </c>
      <c r="G7" s="25">
        <f>ROUND($E7/SUM($E$7:$E$12)*100,3)</f>
        <v>24.242000000000001</v>
      </c>
    </row>
    <row r="8" spans="1:7">
      <c r="B8" s="9" t="s">
        <v>166</v>
      </c>
      <c r="C8" s="10">
        <f>COUNTIFS(Resp3[Vínculo],"tecnico",Resp3[3.01],B8)</f>
        <v>0</v>
      </c>
      <c r="D8" s="10">
        <f>COUNTIFS(Resp3[Vínculo],"docente",Resp3[3.01],B8)</f>
        <v>0</v>
      </c>
      <c r="E8" s="10">
        <f>COUNTIF(Resp3[3.01],B8)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20</v>
      </c>
      <c r="C9" s="10">
        <f>COUNTIFS(Resp3[Vínculo],"tecnico",Resp3[3.01],B9)</f>
        <v>0</v>
      </c>
      <c r="D9" s="10">
        <f>COUNTIFS(Resp3[Vínculo],"docente",Resp3[3.01],B9)</f>
        <v>0</v>
      </c>
      <c r="E9" s="10">
        <f>COUNTIF(Resp3[3.01],B9)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15</v>
      </c>
      <c r="C10" s="10">
        <f>COUNTIFS(Resp3[Vínculo],"tecnico",Resp3[3.01],B10)</f>
        <v>0</v>
      </c>
      <c r="D10" s="10">
        <f>COUNTIFS(Resp3[Vínculo],"docente",Resp3[3.01],B10)</f>
        <v>2</v>
      </c>
      <c r="E10" s="10">
        <f>COUNTIF(Resp3[3.01],B10)</f>
        <v>2</v>
      </c>
      <c r="F10" s="25">
        <f t="shared" si="0"/>
        <v>6.06</v>
      </c>
      <c r="G10" s="25">
        <f t="shared" si="1"/>
        <v>6.0609999999999999</v>
      </c>
    </row>
    <row r="11" spans="1:7">
      <c r="B11" s="9" t="s">
        <v>13</v>
      </c>
      <c r="C11" s="10">
        <f>COUNTIFS(Resp3[Vínculo],"tecnico",Resp3[3.01],B11)</f>
        <v>6</v>
      </c>
      <c r="D11" s="10">
        <f>COUNTIFS(Resp3[Vínculo],"docente",Resp3[3.01],B11)</f>
        <v>10</v>
      </c>
      <c r="E11" s="10">
        <f>COUNTIF(Resp3[3.01],B11)</f>
        <v>16</v>
      </c>
      <c r="F11" s="25">
        <f t="shared" si="0"/>
        <v>48.48</v>
      </c>
      <c r="G11" s="25">
        <f t="shared" si="1"/>
        <v>48.484999999999999</v>
      </c>
    </row>
    <row r="12" spans="1:7">
      <c r="B12" s="26" t="s">
        <v>16</v>
      </c>
      <c r="C12" s="10">
        <f>COUNTIFS(Resp3[Vínculo],"tecnico",Resp3[3.01],B12)</f>
        <v>0</v>
      </c>
      <c r="D12" s="10">
        <f>COUNTIFS(Resp3[Vínculo],"docente",Resp3[3.01],B12)</f>
        <v>7</v>
      </c>
      <c r="E12" s="10">
        <f>COUNTIF(Resp3[3.01],B12)</f>
        <v>7</v>
      </c>
      <c r="F12" s="102">
        <f t="shared" si="0"/>
        <v>21.21</v>
      </c>
      <c r="G12" s="25">
        <f t="shared" si="1"/>
        <v>21.212</v>
      </c>
    </row>
    <row r="13" spans="1:7">
      <c r="B13" s="27" t="s">
        <v>167</v>
      </c>
      <c r="C13" s="11">
        <f>SUM(C6:C12)</f>
        <v>8</v>
      </c>
      <c r="D13" s="11">
        <f>SUM(D6:D12)</f>
        <v>25</v>
      </c>
      <c r="E13" s="11">
        <f>SUM(C13:D13)</f>
        <v>33</v>
      </c>
      <c r="F13" s="105">
        <f t="shared" si="0"/>
        <v>100</v>
      </c>
      <c r="G13" s="107">
        <f>SUM(G7:G12)</f>
        <v>100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46" t="s">
        <v>160</v>
      </c>
      <c r="E18" s="47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181</v>
      </c>
      <c r="C20" s="30" t="s">
        <v>77</v>
      </c>
      <c r="D20" s="15">
        <f>C7</f>
        <v>2</v>
      </c>
      <c r="E20" s="44">
        <f>ROUND(D20/SUM(D$19:D$22)*100,3)</f>
        <v>25</v>
      </c>
    </row>
    <row r="21" spans="2:7">
      <c r="B21" s="31" t="s">
        <v>15</v>
      </c>
      <c r="C21" s="31" t="s">
        <v>89</v>
      </c>
      <c r="D21" s="15">
        <f>C10</f>
        <v>0</v>
      </c>
      <c r="E21" s="44">
        <f>ROUND(D21/SUM(D$19:D$22)*100,3)</f>
        <v>0</v>
      </c>
    </row>
    <row r="22" spans="2:7">
      <c r="B22" s="32" t="s">
        <v>95</v>
      </c>
      <c r="C22" s="32" t="s">
        <v>94</v>
      </c>
      <c r="D22" s="33">
        <f>SUM(C11:C12)</f>
        <v>6</v>
      </c>
      <c r="E22" s="45">
        <f>ROUND(D22/SUM(D$19:D$22)*100,3)</f>
        <v>75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161</v>
      </c>
      <c r="E25" s="48" t="s">
        <v>163</v>
      </c>
    </row>
    <row r="26" spans="2:7">
      <c r="B26" s="29" t="s">
        <v>85</v>
      </c>
      <c r="C26" s="29" t="s">
        <v>84</v>
      </c>
      <c r="D26" s="15">
        <f>SUM(D8:D9)</f>
        <v>0</v>
      </c>
      <c r="E26" s="44">
        <f>ROUND(D26/SUM(D$26:D$29)*100,3)</f>
        <v>0</v>
      </c>
    </row>
    <row r="27" spans="2:7">
      <c r="B27" s="30" t="s">
        <v>181</v>
      </c>
      <c r="C27" s="30" t="s">
        <v>77</v>
      </c>
      <c r="D27" s="15">
        <f>D7</f>
        <v>6</v>
      </c>
      <c r="E27" s="44">
        <f>ROUND(D27/SUM(D$26:D$29)*100,3)</f>
        <v>24</v>
      </c>
    </row>
    <row r="28" spans="2:7">
      <c r="B28" s="31" t="s">
        <v>15</v>
      </c>
      <c r="C28" s="31" t="s">
        <v>89</v>
      </c>
      <c r="D28" s="15">
        <f>SUM(D10)</f>
        <v>2</v>
      </c>
      <c r="E28" s="44">
        <f>ROUND(D28/SUM(D$26:D$29)*100,3)</f>
        <v>8</v>
      </c>
    </row>
    <row r="29" spans="2:7">
      <c r="B29" s="32" t="s">
        <v>95</v>
      </c>
      <c r="C29" s="32" t="s">
        <v>94</v>
      </c>
      <c r="D29" s="33">
        <f>SUM(D11:D12)</f>
        <v>17</v>
      </c>
      <c r="E29" s="45">
        <f>ROUND(D29/SUM(D$26:D$29)*100,3)</f>
        <v>68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158</v>
      </c>
      <c r="B3" s="10" t="str">
        <f>VLOOKUP(A$2, Eixo[], 4, FALSE)</f>
        <v>Eixo3: Questão 2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21</v>
      </c>
      <c r="C7" s="10">
        <f>COUNTIFS(Resp3[Vínculo],"tecnico",Resp3[3.02],B7)</f>
        <v>1</v>
      </c>
      <c r="D7" s="10">
        <f>COUNTIFS(Resp3[Vínculo],"docente",Resp3[3.02],B7)</f>
        <v>5</v>
      </c>
      <c r="E7" s="10">
        <f>COUNTIF(Resp3[3.02],B7)</f>
        <v>6</v>
      </c>
      <c r="F7" s="25">
        <f t="shared" ref="F7:F13" si="0">ROUND($E7/E$13*100,2)</f>
        <v>18.18</v>
      </c>
      <c r="G7" s="25">
        <f>ROUND($E7/SUM($E$7:$E$12)*100,3)</f>
        <v>18.181999999999999</v>
      </c>
    </row>
    <row r="8" spans="1:7">
      <c r="B8" s="9" t="s">
        <v>166</v>
      </c>
      <c r="C8" s="10">
        <f>COUNTIFS(Resp3[Vínculo],"tecnico",Resp3[3.02],B8)</f>
        <v>0</v>
      </c>
      <c r="D8" s="10">
        <f>COUNTIFS(Resp3[Vínculo],"docente",Resp3[3.02],B8)</f>
        <v>0</v>
      </c>
      <c r="E8" s="10">
        <f>COUNTIF(Resp3[3.02],B8)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20</v>
      </c>
      <c r="C9" s="10">
        <f>COUNTIFS(Resp3[Vínculo],"tecnico",Resp3[3.02],B9)</f>
        <v>0</v>
      </c>
      <c r="D9" s="10">
        <f>COUNTIFS(Resp3[Vínculo],"docente",Resp3[3.02],B9)</f>
        <v>0</v>
      </c>
      <c r="E9" s="10">
        <f>COUNTIF(Resp3[3.02],B9)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15</v>
      </c>
      <c r="C10" s="10">
        <f>COUNTIFS(Resp3[Vínculo],"tecnico",Resp3[3.02],B10)</f>
        <v>0</v>
      </c>
      <c r="D10" s="10">
        <f>COUNTIFS(Resp3[Vínculo],"docente",Resp3[3.02],B10)</f>
        <v>0</v>
      </c>
      <c r="E10" s="10">
        <f>COUNTIF(Resp3[3.02],B10)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13</v>
      </c>
      <c r="C11" s="10">
        <f>COUNTIFS(Resp3[Vínculo],"tecnico",Resp3[3.02],B11)</f>
        <v>5</v>
      </c>
      <c r="D11" s="10">
        <f>COUNTIFS(Resp3[Vínculo],"docente",Resp3[3.02],B11)</f>
        <v>15</v>
      </c>
      <c r="E11" s="10">
        <f>COUNTIF(Resp3[3.02],B11)</f>
        <v>20</v>
      </c>
      <c r="F11" s="25">
        <f t="shared" si="0"/>
        <v>60.61</v>
      </c>
      <c r="G11" s="25">
        <f t="shared" si="1"/>
        <v>60.606000000000002</v>
      </c>
    </row>
    <row r="12" spans="1:7">
      <c r="B12" s="26" t="s">
        <v>16</v>
      </c>
      <c r="C12" s="10">
        <f>COUNTIFS(Resp3[Vínculo],"tecnico",Resp3[3.02],B12)</f>
        <v>2</v>
      </c>
      <c r="D12" s="10">
        <f>COUNTIFS(Resp3[Vínculo],"docente",Resp3[3.02],B12)</f>
        <v>5</v>
      </c>
      <c r="E12" s="10">
        <f>COUNTIF(Resp3[3.02],B12)</f>
        <v>7</v>
      </c>
      <c r="F12" s="102">
        <f t="shared" si="0"/>
        <v>21.21</v>
      </c>
      <c r="G12" s="25">
        <f t="shared" si="1"/>
        <v>21.212</v>
      </c>
    </row>
    <row r="13" spans="1:7">
      <c r="B13" s="27" t="s">
        <v>167</v>
      </c>
      <c r="C13" s="11">
        <f>SUM(C6:C12)</f>
        <v>8</v>
      </c>
      <c r="D13" s="11">
        <f>SUM(D6:D12)</f>
        <v>25</v>
      </c>
      <c r="E13" s="11">
        <f>SUM(C13:D13)</f>
        <v>33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174</v>
      </c>
      <c r="C18" s="22" t="s">
        <v>175</v>
      </c>
      <c r="D18" s="7" t="s">
        <v>160</v>
      </c>
      <c r="E18" s="35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181</v>
      </c>
      <c r="C20" s="30" t="s">
        <v>77</v>
      </c>
      <c r="D20" s="15">
        <f>C7</f>
        <v>1</v>
      </c>
      <c r="E20" s="10">
        <f>ROUND(D20/SUM(D$19:D$22)*100,3)</f>
        <v>12.5</v>
      </c>
    </row>
    <row r="21" spans="2:7">
      <c r="B21" s="31" t="s">
        <v>15</v>
      </c>
      <c r="C21" s="31" t="s">
        <v>89</v>
      </c>
      <c r="D21" s="15">
        <f>C10</f>
        <v>0</v>
      </c>
      <c r="E21" s="10">
        <f>ROUND(D21/SUM(D$19:D$22)*100,3)</f>
        <v>0</v>
      </c>
    </row>
    <row r="22" spans="2:7">
      <c r="B22" s="32" t="s">
        <v>95</v>
      </c>
      <c r="C22" s="32" t="s">
        <v>94</v>
      </c>
      <c r="D22" s="33">
        <f>SUM(C11:C12)</f>
        <v>7</v>
      </c>
      <c r="E22" s="34">
        <f>ROUND(D22/SUM(D$19:D$22)*100,3)</f>
        <v>87.5</v>
      </c>
    </row>
    <row r="25" spans="2:7">
      <c r="B25" s="22" t="s">
        <v>174</v>
      </c>
      <c r="C25" s="22" t="s">
        <v>175</v>
      </c>
      <c r="D25" s="46" t="s">
        <v>161</v>
      </c>
      <c r="E25" s="48" t="s">
        <v>163</v>
      </c>
    </row>
    <row r="26" spans="2:7">
      <c r="B26" s="29" t="s">
        <v>85</v>
      </c>
      <c r="C26" s="29" t="s">
        <v>84</v>
      </c>
      <c r="D26" s="15">
        <f>SUM(D8:D9)</f>
        <v>0</v>
      </c>
      <c r="E26" s="44">
        <f>ROUND(D26/SUM(D$26:D$29)*100,3)</f>
        <v>0</v>
      </c>
    </row>
    <row r="27" spans="2:7">
      <c r="B27" s="30" t="s">
        <v>181</v>
      </c>
      <c r="C27" s="30" t="s">
        <v>77</v>
      </c>
      <c r="D27" s="15">
        <f>D7</f>
        <v>5</v>
      </c>
      <c r="E27" s="44">
        <f>ROUND(D27/SUM(D$26:D$29)*100,3)</f>
        <v>20</v>
      </c>
    </row>
    <row r="28" spans="2:7">
      <c r="B28" s="31" t="s">
        <v>15</v>
      </c>
      <c r="C28" s="31" t="s">
        <v>89</v>
      </c>
      <c r="D28" s="15">
        <f>SUM(D10)</f>
        <v>0</v>
      </c>
      <c r="E28" s="44">
        <f>ROUND(D28/SUM(D$26:D$29)*100,3)</f>
        <v>0</v>
      </c>
    </row>
    <row r="29" spans="2:7">
      <c r="B29" s="32" t="s">
        <v>95</v>
      </c>
      <c r="C29" s="32" t="s">
        <v>94</v>
      </c>
      <c r="D29" s="33">
        <f>SUM(D11:D12)</f>
        <v>20</v>
      </c>
      <c r="E29" s="45">
        <f>ROUND(D29/SUM(D$26:D$29)*100,3)</f>
        <v>80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12" workbookViewId="0">
      <selection activeCell="D28" sqref="D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25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158</v>
      </c>
      <c r="B3" s="10" t="str">
        <f>VLOOKUP(A$2, Eixo[], 4, FALSE)</f>
        <v>Eixo3: Questão 3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COUNTIFS(Resp3[Vínculo],"tecnico",Resp3[3.03],B7)</f>
        <v>1</v>
      </c>
      <c r="D7" s="10">
        <f>COUNTIFS(Resp3[Vínculo],"docente",Resp3[3.03],B7)</f>
        <v>1</v>
      </c>
      <c r="E7" s="10">
        <f>COUNTIF(Resp3[3.03],B7)</f>
        <v>2</v>
      </c>
      <c r="F7" s="25">
        <f t="shared" ref="F7:F13" si="0">ROUND($E7/$E$13*100,2)</f>
        <v>6.06</v>
      </c>
      <c r="G7" s="25">
        <f>ROUND($E7/SUM($E$7:$E$12)*100,3)</f>
        <v>6.0609999999999999</v>
      </c>
    </row>
    <row r="8" spans="1:7">
      <c r="B8" s="9" t="s">
        <v>166</v>
      </c>
      <c r="C8" s="10">
        <f>COUNTIFS(Resp3[Vínculo],"tecnico",Resp3[3.03],B8)</f>
        <v>0</v>
      </c>
      <c r="D8" s="10">
        <f>COUNTIFS(Resp3[Vínculo],"docente",Resp3[3.03],B8)</f>
        <v>0</v>
      </c>
      <c r="E8" s="10">
        <f>COUNTIF(Resp3[3.03],B8)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20</v>
      </c>
      <c r="C9" s="10">
        <f>COUNTIFS(Resp3[Vínculo],"tecnico",Resp3[3.03],B9)</f>
        <v>0</v>
      </c>
      <c r="D9" s="10">
        <f>COUNTIFS(Resp3[Vínculo],"docente",Resp3[3.03],B9)</f>
        <v>0</v>
      </c>
      <c r="E9" s="10">
        <f>COUNTIF(Resp3[3.03],B9)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15</v>
      </c>
      <c r="C10" s="10">
        <f>COUNTIFS(Resp3[Vínculo],"tecnico",Resp3[3.03],B10)</f>
        <v>1</v>
      </c>
      <c r="D10" s="10">
        <f>COUNTIFS(Resp3[Vínculo],"docente",Resp3[3.03],B10)</f>
        <v>0</v>
      </c>
      <c r="E10" s="10">
        <f>COUNTIF(Resp3[3.03],B10)</f>
        <v>1</v>
      </c>
      <c r="F10" s="25">
        <f t="shared" si="0"/>
        <v>3.03</v>
      </c>
      <c r="G10" s="25">
        <f t="shared" si="1"/>
        <v>3.03</v>
      </c>
    </row>
    <row r="11" spans="1:7">
      <c r="B11" s="9" t="s">
        <v>13</v>
      </c>
      <c r="C11" s="10">
        <f>COUNTIFS(Resp3[Vínculo],"tecnico",Resp3[3.03],B11)</f>
        <v>4</v>
      </c>
      <c r="D11" s="10">
        <f>COUNTIFS(Resp3[Vínculo],"docente",Resp3[3.03],B11)</f>
        <v>17</v>
      </c>
      <c r="E11" s="10">
        <f>COUNTIF(Resp3[3.03],B11)</f>
        <v>21</v>
      </c>
      <c r="F11" s="25">
        <f t="shared" si="0"/>
        <v>63.64</v>
      </c>
      <c r="G11" s="25">
        <f t="shared" si="1"/>
        <v>63.636000000000003</v>
      </c>
    </row>
    <row r="12" spans="1:7">
      <c r="B12" s="26" t="s">
        <v>16</v>
      </c>
      <c r="C12" s="10">
        <f>COUNTIFS(Resp3[Vínculo],"tecnico",Resp3[3.03],B12)</f>
        <v>2</v>
      </c>
      <c r="D12" s="10">
        <f>COUNTIFS(Resp3[Vínculo],"docente",Resp3[3.03],B12)</f>
        <v>7</v>
      </c>
      <c r="E12" s="10">
        <f>COUNTIF(Resp3[3.03],B12)</f>
        <v>9</v>
      </c>
      <c r="F12" s="102">
        <f t="shared" si="0"/>
        <v>27.27</v>
      </c>
      <c r="G12" s="25">
        <f t="shared" si="1"/>
        <v>27.273</v>
      </c>
    </row>
    <row r="13" spans="1:7">
      <c r="B13" s="27" t="s">
        <v>167</v>
      </c>
      <c r="C13" s="11">
        <f>SUM(C6:C12)</f>
        <v>8</v>
      </c>
      <c r="D13" s="11">
        <f>SUM(D6:D12)</f>
        <v>25</v>
      </c>
      <c r="E13" s="11">
        <f>SUM(C13:D13)</f>
        <v>33</v>
      </c>
      <c r="F13" s="105">
        <f t="shared" si="0"/>
        <v>100</v>
      </c>
      <c r="G13" s="107">
        <f>SUM(G7:G12)</f>
        <v>100</v>
      </c>
    </row>
    <row r="17" spans="2:7">
      <c r="D17" s="13"/>
      <c r="E17" s="13"/>
      <c r="G17" s="9"/>
    </row>
    <row r="18" spans="2:7">
      <c r="B18" s="22" t="s">
        <v>174</v>
      </c>
      <c r="C18" s="22" t="s">
        <v>175</v>
      </c>
      <c r="D18" s="7" t="s">
        <v>160</v>
      </c>
      <c r="E18" s="41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181</v>
      </c>
      <c r="C20" s="30" t="s">
        <v>77</v>
      </c>
      <c r="D20" s="15">
        <f>C7</f>
        <v>1</v>
      </c>
      <c r="E20" s="44">
        <f>ROUND(D20/SUM(D$19:D$22)*100,3)</f>
        <v>12.5</v>
      </c>
      <c r="F20" s="15"/>
      <c r="G20" s="10"/>
    </row>
    <row r="21" spans="2:7">
      <c r="B21" s="31" t="s">
        <v>15</v>
      </c>
      <c r="C21" s="31" t="s">
        <v>89</v>
      </c>
      <c r="D21" s="15">
        <f>C10</f>
        <v>1</v>
      </c>
      <c r="E21" s="44">
        <f>ROUND(D21/SUM(D$19:D$22)*100,3)</f>
        <v>12.5</v>
      </c>
      <c r="F21" s="15"/>
      <c r="G21" s="10"/>
    </row>
    <row r="22" spans="2:7">
      <c r="B22" s="32" t="s">
        <v>95</v>
      </c>
      <c r="C22" s="32" t="s">
        <v>94</v>
      </c>
      <c r="D22" s="33">
        <f>SUM(C11:C12)</f>
        <v>6</v>
      </c>
      <c r="E22" s="45">
        <f>ROUND(D22/SUM(D$19:D$22)*100,3)</f>
        <v>75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161</v>
      </c>
      <c r="E25" s="48" t="s">
        <v>163</v>
      </c>
    </row>
    <row r="26" spans="2:7">
      <c r="B26" s="29" t="s">
        <v>85</v>
      </c>
      <c r="C26" s="29" t="s">
        <v>84</v>
      </c>
      <c r="D26" s="15">
        <f>SUM(D8:D9)</f>
        <v>0</v>
      </c>
      <c r="E26" s="44">
        <f>ROUND(D26/SUM(D$26:D$29)*100,3)</f>
        <v>0</v>
      </c>
    </row>
    <row r="27" spans="2:7">
      <c r="B27" s="30" t="s">
        <v>181</v>
      </c>
      <c r="C27" s="30" t="s">
        <v>77</v>
      </c>
      <c r="D27" s="15">
        <f>D7</f>
        <v>1</v>
      </c>
      <c r="E27" s="44">
        <f>ROUND(D27/SUM(D$26:D$29)*100,3)</f>
        <v>4</v>
      </c>
    </row>
    <row r="28" spans="2:7">
      <c r="B28" s="31" t="s">
        <v>15</v>
      </c>
      <c r="C28" s="31" t="s">
        <v>89</v>
      </c>
      <c r="D28" s="15">
        <f>SUM(D10)</f>
        <v>0</v>
      </c>
      <c r="E28" s="44">
        <f>ROUND(D28/SUM(D$26:D$29)*100,3)</f>
        <v>0</v>
      </c>
    </row>
    <row r="29" spans="2:7">
      <c r="B29" s="32" t="s">
        <v>95</v>
      </c>
      <c r="C29" s="32" t="s">
        <v>94</v>
      </c>
      <c r="D29" s="33">
        <f>SUM(D11:D12)</f>
        <v>24</v>
      </c>
      <c r="E29" s="45">
        <f>ROUND(D29/SUM(D$26:D$29)*100,3)</f>
        <v>96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0" sqref="B20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26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158</v>
      </c>
      <c r="B3" s="10" t="str">
        <f>VLOOKUP(A$2, Eixo[], 4, FALSE)</f>
        <v>Eixo3: Questão 4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COUNTIFS(Resp3[Vínculo],"tecnico",Resp3[3.04],B7)</f>
        <v>1</v>
      </c>
      <c r="D7" s="10">
        <f>COUNTIFS(Resp3[Vínculo],"docente",Resp3[3.04],B7)</f>
        <v>1</v>
      </c>
      <c r="E7" s="10">
        <f>COUNTIF(Resp3[3.04],B7)</f>
        <v>2</v>
      </c>
      <c r="F7" s="25">
        <f t="shared" ref="F7:F13" si="0">ROUND($E7/$E$13*100,2)</f>
        <v>6.06</v>
      </c>
      <c r="G7" s="25">
        <f>ROUND($E7/SUM($E$7:$E$12)*100,3)</f>
        <v>6.0609999999999999</v>
      </c>
    </row>
    <row r="8" spans="1:7">
      <c r="B8" s="9" t="s">
        <v>166</v>
      </c>
      <c r="C8" s="10">
        <f>COUNTIFS(Resp3[Vínculo],"tecnico",Resp3[3.04],B8)</f>
        <v>0</v>
      </c>
      <c r="D8" s="10">
        <f>COUNTIFS(Resp3[Vínculo],"docente",Resp3[3.04],B8)</f>
        <v>0</v>
      </c>
      <c r="E8" s="10">
        <f>COUNTIF(Resp3[3.04],B8)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20</v>
      </c>
      <c r="C9" s="10">
        <f>COUNTIFS(Resp3[Vínculo],"tecnico",Resp3[3.04],B9)</f>
        <v>0</v>
      </c>
      <c r="D9" s="10">
        <f>COUNTIFS(Resp3[Vínculo],"docente",Resp3[3.04],B9)</f>
        <v>0</v>
      </c>
      <c r="E9" s="10">
        <f>COUNTIF(Resp3[3.04],B9)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15</v>
      </c>
      <c r="C10" s="10">
        <f>COUNTIFS(Resp3[Vínculo],"tecnico",Resp3[3.04],B10)</f>
        <v>0</v>
      </c>
      <c r="D10" s="10">
        <f>COUNTIFS(Resp3[Vínculo],"docente",Resp3[3.04],B10)</f>
        <v>2</v>
      </c>
      <c r="E10" s="10">
        <f>COUNTIF(Resp3[3.04],B10)</f>
        <v>2</v>
      </c>
      <c r="F10" s="25">
        <f t="shared" si="0"/>
        <v>6.06</v>
      </c>
      <c r="G10" s="25">
        <f t="shared" si="1"/>
        <v>6.0609999999999999</v>
      </c>
    </row>
    <row r="11" spans="1:7">
      <c r="B11" s="9" t="s">
        <v>13</v>
      </c>
      <c r="C11" s="10">
        <f>COUNTIFS(Resp3[Vínculo],"tecnico",Resp3[3.04],B11)</f>
        <v>4</v>
      </c>
      <c r="D11" s="10">
        <f>COUNTIFS(Resp3[Vínculo],"docente",Resp3[3.04],B11)</f>
        <v>15</v>
      </c>
      <c r="E11" s="10">
        <f>COUNTIF(Resp3[3.04],B11)</f>
        <v>19</v>
      </c>
      <c r="F11" s="25">
        <f t="shared" si="0"/>
        <v>57.58</v>
      </c>
      <c r="G11" s="25">
        <f t="shared" si="1"/>
        <v>57.576000000000001</v>
      </c>
    </row>
    <row r="12" spans="1:7">
      <c r="B12" s="26" t="s">
        <v>16</v>
      </c>
      <c r="C12" s="10">
        <f>COUNTIFS(Resp3[Vínculo],"tecnico",Resp3[3.04],B12)</f>
        <v>3</v>
      </c>
      <c r="D12" s="10">
        <f>COUNTIFS(Resp3[Vínculo],"docente",Resp3[3.04],B12)</f>
        <v>7</v>
      </c>
      <c r="E12" s="10">
        <f>COUNTIF(Resp3[3.04],B12)</f>
        <v>10</v>
      </c>
      <c r="F12" s="102">
        <f t="shared" si="0"/>
        <v>30.3</v>
      </c>
      <c r="G12" s="25">
        <f t="shared" si="1"/>
        <v>30.303000000000001</v>
      </c>
    </row>
    <row r="13" spans="1:7">
      <c r="B13" s="27" t="s">
        <v>167</v>
      </c>
      <c r="C13" s="11">
        <f>SUM(C6:C12)</f>
        <v>8</v>
      </c>
      <c r="D13" s="11">
        <f>SUM(D6:D12)</f>
        <v>25</v>
      </c>
      <c r="E13" s="11">
        <f>SUM(C13:D13)</f>
        <v>33</v>
      </c>
      <c r="F13" s="105">
        <f t="shared" si="0"/>
        <v>100</v>
      </c>
      <c r="G13" s="107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160</v>
      </c>
      <c r="E18" s="50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181</v>
      </c>
      <c r="C20" s="30" t="s">
        <v>77</v>
      </c>
      <c r="D20" s="15">
        <f>C7</f>
        <v>1</v>
      </c>
      <c r="E20" s="44">
        <f>ROUND(D20/SUM(D$19:D$22)*100,3)</f>
        <v>12.5</v>
      </c>
    </row>
    <row r="21" spans="2:7">
      <c r="B21" s="31" t="s">
        <v>15</v>
      </c>
      <c r="C21" s="31" t="s">
        <v>89</v>
      </c>
      <c r="D21" s="15">
        <f>C10</f>
        <v>0</v>
      </c>
      <c r="E21" s="44">
        <f>ROUND(D21/SUM(D$19:D$22)*100,3)</f>
        <v>0</v>
      </c>
    </row>
    <row r="22" spans="2:7">
      <c r="B22" s="32" t="s">
        <v>95</v>
      </c>
      <c r="C22" s="32" t="s">
        <v>94</v>
      </c>
      <c r="D22" s="33">
        <f>SUM(C11:C12)</f>
        <v>7</v>
      </c>
      <c r="E22" s="45">
        <f>ROUND(D22/SUM(D$19:D$22)*100,3)</f>
        <v>87.5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161</v>
      </c>
      <c r="E25" s="48" t="s">
        <v>163</v>
      </c>
    </row>
    <row r="26" spans="2:7">
      <c r="B26" s="29" t="s">
        <v>85</v>
      </c>
      <c r="C26" s="29" t="s">
        <v>84</v>
      </c>
      <c r="D26" s="15">
        <f>SUM(D8:D9)</f>
        <v>0</v>
      </c>
      <c r="E26" s="44">
        <f>ROUND(D26/SUM(D$26:D$29)*100,3)</f>
        <v>0</v>
      </c>
    </row>
    <row r="27" spans="2:7">
      <c r="B27" s="30" t="s">
        <v>181</v>
      </c>
      <c r="C27" s="30" t="s">
        <v>77</v>
      </c>
      <c r="D27" s="15">
        <f>D7</f>
        <v>1</v>
      </c>
      <c r="E27" s="44">
        <f>ROUND(D27/SUM(D$26:D$29)*100,3)</f>
        <v>4</v>
      </c>
    </row>
    <row r="28" spans="2:7">
      <c r="B28" s="31" t="s">
        <v>15</v>
      </c>
      <c r="C28" s="31" t="s">
        <v>89</v>
      </c>
      <c r="D28" s="15">
        <f>SUM(D10)</f>
        <v>2</v>
      </c>
      <c r="E28" s="44">
        <f>ROUND(D28/SUM(D$26:D$29)*100,3)</f>
        <v>8</v>
      </c>
    </row>
    <row r="29" spans="2:7">
      <c r="B29" s="32" t="s">
        <v>95</v>
      </c>
      <c r="C29" s="32" t="s">
        <v>94</v>
      </c>
      <c r="D29" s="33">
        <f>SUM(D11:D12)</f>
        <v>22</v>
      </c>
      <c r="E29" s="45">
        <f>ROUND(D29/SUM(D$26:D$29)*100,3)</f>
        <v>88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11" workbookViewId="0">
      <selection activeCell="D28" sqref="D28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27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158</v>
      </c>
      <c r="B3" s="10" t="str">
        <f>VLOOKUP(A$2, Eixo[], 4, FALSE)</f>
        <v>Eixo3: Questão 5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COUNTIFS(Resp3[Vínculo],"tecnico",Resp3[3.05],B7)</f>
        <v>0</v>
      </c>
      <c r="D7" s="10">
        <f>COUNTIFS(Resp3[Vínculo],"docente",Resp3[3.05],B7)</f>
        <v>0</v>
      </c>
      <c r="E7" s="10">
        <f>COUNTIF(Resp3[3.05],B7)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166</v>
      </c>
      <c r="C8" s="10">
        <f>COUNTIFS(Resp3[Vínculo],"tecnico",Resp3[3.05],B8)</f>
        <v>0</v>
      </c>
      <c r="D8" s="10">
        <f>COUNTIFS(Resp3[Vínculo],"docente",Resp3[3.05],B8)</f>
        <v>0</v>
      </c>
      <c r="E8" s="10">
        <f>COUNTIF(Resp3[3.05],B8)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20</v>
      </c>
      <c r="C9" s="10">
        <f>COUNTIFS(Resp3[Vínculo],"tecnico",Resp3[3.05],B9)</f>
        <v>0</v>
      </c>
      <c r="D9" s="10">
        <f>COUNTIFS(Resp3[Vínculo],"docente",Resp3[3.05],B9)</f>
        <v>0</v>
      </c>
      <c r="E9" s="10">
        <f>COUNTIF(Resp3[3.05],B9)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15</v>
      </c>
      <c r="C10" s="10">
        <f>COUNTIFS(Resp3[Vínculo],"tecnico",Resp3[3.05],B10)</f>
        <v>2</v>
      </c>
      <c r="D10" s="10">
        <f>COUNTIFS(Resp3[Vínculo],"docente",Resp3[3.05],B10)</f>
        <v>1</v>
      </c>
      <c r="E10" s="10">
        <f>COUNTIF(Resp3[3.05],B10)</f>
        <v>3</v>
      </c>
      <c r="F10" s="25">
        <f t="shared" si="0"/>
        <v>9.09</v>
      </c>
      <c r="G10" s="25">
        <f t="shared" si="1"/>
        <v>9.0909999999999993</v>
      </c>
    </row>
    <row r="11" spans="1:7">
      <c r="B11" s="9" t="s">
        <v>13</v>
      </c>
      <c r="C11" s="10">
        <f>COUNTIFS(Resp3[Vínculo],"tecnico",Resp3[3.05],B11)</f>
        <v>4</v>
      </c>
      <c r="D11" s="10">
        <f>COUNTIFS(Resp3[Vínculo],"docente",Resp3[3.05],B11)</f>
        <v>17</v>
      </c>
      <c r="E11" s="10">
        <f>COUNTIF(Resp3[3.05],B11)</f>
        <v>21</v>
      </c>
      <c r="F11" s="25">
        <f t="shared" si="0"/>
        <v>63.64</v>
      </c>
      <c r="G11" s="25">
        <f t="shared" si="1"/>
        <v>63.636000000000003</v>
      </c>
    </row>
    <row r="12" spans="1:7">
      <c r="B12" s="26" t="s">
        <v>16</v>
      </c>
      <c r="C12" s="10">
        <f>COUNTIFS(Resp3[Vínculo],"tecnico",Resp3[3.05],B12)</f>
        <v>2</v>
      </c>
      <c r="D12" s="10">
        <f>COUNTIFS(Resp3[Vínculo],"docente",Resp3[3.05],B12)</f>
        <v>7</v>
      </c>
      <c r="E12" s="10">
        <f>COUNTIF(Resp3[3.05],B12)</f>
        <v>9</v>
      </c>
      <c r="F12" s="102">
        <f t="shared" si="0"/>
        <v>27.27</v>
      </c>
      <c r="G12" s="25">
        <f t="shared" si="1"/>
        <v>27.273</v>
      </c>
    </row>
    <row r="13" spans="1:7">
      <c r="B13" s="27" t="s">
        <v>167</v>
      </c>
      <c r="C13" s="11">
        <f>SUM(C6:C12)</f>
        <v>8</v>
      </c>
      <c r="D13" s="11">
        <f>SUM(D6:D12)</f>
        <v>25</v>
      </c>
      <c r="E13" s="11">
        <f>SUM(C13:D13)</f>
        <v>33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160</v>
      </c>
      <c r="E18" s="8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181</v>
      </c>
      <c r="C20" s="30" t="s">
        <v>77</v>
      </c>
      <c r="D20" s="15">
        <f>C7</f>
        <v>0</v>
      </c>
      <c r="E20" s="44">
        <f>ROUND(D20/SUM(D$19:D$22)*100,3)</f>
        <v>0</v>
      </c>
    </row>
    <row r="21" spans="2:7">
      <c r="B21" s="31" t="s">
        <v>15</v>
      </c>
      <c r="C21" s="31" t="s">
        <v>89</v>
      </c>
      <c r="D21" s="15">
        <f>C10</f>
        <v>2</v>
      </c>
      <c r="E21" s="44">
        <f>ROUND(D21/SUM(D$19:D$22)*100,3)</f>
        <v>25</v>
      </c>
    </row>
    <row r="22" spans="2:7">
      <c r="B22" s="32" t="s">
        <v>95</v>
      </c>
      <c r="C22" s="32" t="s">
        <v>94</v>
      </c>
      <c r="D22" s="33">
        <f>SUM(C11:C12)</f>
        <v>6</v>
      </c>
      <c r="E22" s="45">
        <f>ROUND(D22/SUM(D$19:D$22)*100,3)</f>
        <v>75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161</v>
      </c>
      <c r="E25" s="48" t="s">
        <v>163</v>
      </c>
    </row>
    <row r="26" spans="2:7">
      <c r="B26" s="29" t="s">
        <v>85</v>
      </c>
      <c r="C26" s="29" t="s">
        <v>84</v>
      </c>
      <c r="D26" s="15">
        <f>SUM(D8:D9)</f>
        <v>0</v>
      </c>
      <c r="E26" s="44">
        <f>ROUND(D26/SUM(D$26:D$29)*100,3)</f>
        <v>0</v>
      </c>
    </row>
    <row r="27" spans="2:7">
      <c r="B27" s="30" t="s">
        <v>181</v>
      </c>
      <c r="C27" s="30" t="s">
        <v>77</v>
      </c>
      <c r="D27" s="15">
        <f>D7</f>
        <v>0</v>
      </c>
      <c r="E27" s="44">
        <f>ROUND(D27/SUM(D$26:D$29)*100,3)</f>
        <v>0</v>
      </c>
    </row>
    <row r="28" spans="2:7">
      <c r="B28" s="31" t="s">
        <v>15</v>
      </c>
      <c r="C28" s="31" t="s">
        <v>89</v>
      </c>
      <c r="D28" s="15">
        <f>SUM(D10)</f>
        <v>1</v>
      </c>
      <c r="E28" s="44">
        <f>ROUND(D28/SUM(D$26:D$29)*100,3)</f>
        <v>4</v>
      </c>
    </row>
    <row r="29" spans="2:7">
      <c r="B29" s="32" t="s">
        <v>95</v>
      </c>
      <c r="C29" s="32" t="s">
        <v>94</v>
      </c>
      <c r="D29" s="33">
        <f>SUM(D11:D12)</f>
        <v>24</v>
      </c>
      <c r="E29" s="45">
        <f>ROUND(D29/SUM(D$26:D$29)*100,3)</f>
        <v>96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8" sqref="B28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28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158</v>
      </c>
      <c r="B3" s="10" t="str">
        <f>VLOOKUP(A$2, Eixo[], 4, FALSE)</f>
        <v>Eixo3: Questão 6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COUNTIFS(Resp3[Vínculo],"tecnico",Resp3[3.06],B7)</f>
        <v>0</v>
      </c>
      <c r="D7" s="10">
        <f>COUNTIFS(Resp3[Vínculo],"docente",Resp3[3.06],B7)</f>
        <v>2</v>
      </c>
      <c r="E7" s="10">
        <f>COUNTIF(Resp3[3.06],B7)</f>
        <v>2</v>
      </c>
      <c r="F7" s="25">
        <f t="shared" ref="F7:F13" si="0">ROUND($E7/$E$13*100,2)</f>
        <v>6.06</v>
      </c>
      <c r="G7" s="25">
        <f>ROUND($E7/SUM($E$7:$E$12)*100,3)</f>
        <v>6.0609999999999999</v>
      </c>
    </row>
    <row r="8" spans="1:7">
      <c r="B8" s="9" t="s">
        <v>166</v>
      </c>
      <c r="C8" s="10">
        <f>COUNTIFS(Resp3[Vínculo],"tecnico",Resp3[3.06],B8)</f>
        <v>0</v>
      </c>
      <c r="D8" s="10">
        <f>COUNTIFS(Resp3[Vínculo],"docente",Resp3[3.06],B8)</f>
        <v>0</v>
      </c>
      <c r="E8" s="10">
        <f>COUNTIF(Resp3[3.06],B8)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20</v>
      </c>
      <c r="C9" s="10">
        <f>COUNTIFS(Resp3[Vínculo],"tecnico",Resp3[3.06],B9)</f>
        <v>0</v>
      </c>
      <c r="D9" s="10">
        <f>COUNTIFS(Resp3[Vínculo],"docente",Resp3[3.06],B9)</f>
        <v>0</v>
      </c>
      <c r="E9" s="10">
        <f>COUNTIF(Resp3[3.06],B9)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15</v>
      </c>
      <c r="C10" s="10">
        <f>COUNTIFS(Resp3[Vínculo],"tecnico",Resp3[3.06],B10)</f>
        <v>0</v>
      </c>
      <c r="D10" s="10">
        <f>COUNTIFS(Resp3[Vínculo],"docente",Resp3[3.06],B10)</f>
        <v>0</v>
      </c>
      <c r="E10" s="10">
        <f>COUNTIF(Resp3[3.06],B10)</f>
        <v>0</v>
      </c>
      <c r="F10" s="25">
        <f t="shared" si="0"/>
        <v>0</v>
      </c>
      <c r="G10" s="25">
        <f t="shared" si="1"/>
        <v>0</v>
      </c>
    </row>
    <row r="11" spans="1:7">
      <c r="B11" s="9" t="s">
        <v>13</v>
      </c>
      <c r="C11" s="10">
        <f>COUNTIFS(Resp3[Vínculo],"tecnico",Resp3[3.06],B11)</f>
        <v>5</v>
      </c>
      <c r="D11" s="10">
        <f>COUNTIFS(Resp3[Vínculo],"docente",Resp3[3.06],B11)</f>
        <v>15</v>
      </c>
      <c r="E11" s="10">
        <f>COUNTIF(Resp3[3.06],B11)</f>
        <v>20</v>
      </c>
      <c r="F11" s="25">
        <f t="shared" si="0"/>
        <v>60.61</v>
      </c>
      <c r="G11" s="25">
        <f t="shared" si="1"/>
        <v>60.606000000000002</v>
      </c>
    </row>
    <row r="12" spans="1:7">
      <c r="B12" s="26" t="s">
        <v>16</v>
      </c>
      <c r="C12" s="10">
        <f>COUNTIFS(Resp3[Vínculo],"tecnico",Resp3[3.06],B12)</f>
        <v>3</v>
      </c>
      <c r="D12" s="10">
        <f>COUNTIFS(Resp3[Vínculo],"docente",Resp3[3.06],B12)</f>
        <v>8</v>
      </c>
      <c r="E12" s="10">
        <f>COUNTIF(Resp3[3.06],B12)</f>
        <v>11</v>
      </c>
      <c r="F12" s="102">
        <f t="shared" si="0"/>
        <v>33.33</v>
      </c>
      <c r="G12" s="25">
        <f t="shared" si="1"/>
        <v>33.332999999999998</v>
      </c>
    </row>
    <row r="13" spans="1:7">
      <c r="B13" s="27" t="s">
        <v>167</v>
      </c>
      <c r="C13" s="11">
        <f>SUM(C6:C12)</f>
        <v>8</v>
      </c>
      <c r="D13" s="11">
        <f>SUM(D6:D12)</f>
        <v>25</v>
      </c>
      <c r="E13" s="11">
        <f>SUM(C13:D13)</f>
        <v>33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160</v>
      </c>
      <c r="E18" s="8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181</v>
      </c>
      <c r="C20" s="30" t="s">
        <v>77</v>
      </c>
      <c r="D20" s="15">
        <f>C7</f>
        <v>0</v>
      </c>
      <c r="E20" s="44">
        <f>ROUND(D20/SUM(D$19:D$22)*100,3)</f>
        <v>0</v>
      </c>
    </row>
    <row r="21" spans="2:7">
      <c r="B21" s="31" t="s">
        <v>15</v>
      </c>
      <c r="C21" s="31" t="s">
        <v>89</v>
      </c>
      <c r="D21" s="15">
        <f>C10</f>
        <v>0</v>
      </c>
      <c r="E21" s="44">
        <f>ROUND(D21/SUM(D$19:D$22)*100,3)</f>
        <v>0</v>
      </c>
    </row>
    <row r="22" spans="2:7">
      <c r="B22" s="32" t="s">
        <v>95</v>
      </c>
      <c r="C22" s="32" t="s">
        <v>94</v>
      </c>
      <c r="D22" s="33">
        <f>SUM(C11:C12)</f>
        <v>8</v>
      </c>
      <c r="E22" s="45">
        <f>ROUND(D22/SUM(D$19:D$22)*100,3)</f>
        <v>100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161</v>
      </c>
      <c r="E25" s="48" t="s">
        <v>163</v>
      </c>
    </row>
    <row r="26" spans="2:7">
      <c r="B26" s="29" t="s">
        <v>85</v>
      </c>
      <c r="C26" s="29" t="s">
        <v>84</v>
      </c>
      <c r="D26" s="15">
        <f>SUM(D8:D9)</f>
        <v>0</v>
      </c>
      <c r="E26" s="44">
        <f>ROUND(D26/SUM(D$26:D$29)*100,3)</f>
        <v>0</v>
      </c>
    </row>
    <row r="27" spans="2:7">
      <c r="B27" s="30" t="s">
        <v>181</v>
      </c>
      <c r="C27" s="30" t="s">
        <v>77</v>
      </c>
      <c r="D27" s="15">
        <f>D7</f>
        <v>2</v>
      </c>
      <c r="E27" s="44">
        <f>ROUND(D27/SUM(D$26:D$29)*100,3)</f>
        <v>8</v>
      </c>
    </row>
    <row r="28" spans="2:7">
      <c r="B28" s="31" t="s">
        <v>15</v>
      </c>
      <c r="C28" s="31" t="s">
        <v>89</v>
      </c>
      <c r="D28" s="15">
        <f>SUM(D10)</f>
        <v>0</v>
      </c>
      <c r="E28" s="44">
        <f>ROUND(D28/SUM(D$26:D$29)*100,3)</f>
        <v>0</v>
      </c>
    </row>
    <row r="29" spans="2:7">
      <c r="B29" s="32" t="s">
        <v>95</v>
      </c>
      <c r="C29" s="32" t="s">
        <v>94</v>
      </c>
      <c r="D29" s="33">
        <f>SUM(D11:D12)</f>
        <v>23</v>
      </c>
      <c r="E29" s="45">
        <f>ROUND(D29/SUM(D$26:D$29)*100,3)</f>
        <v>92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D36" sqref="D36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29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158</v>
      </c>
      <c r="B3" s="10" t="str">
        <f>VLOOKUP(A$2, Eixo[], 4, FALSE)</f>
        <v>Eixo3: Questão 7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COUNTIFS(Resp3[Vínculo],"tecnico",Resp3[3.07],B7)</f>
        <v>0</v>
      </c>
      <c r="D7" s="10">
        <f>COUNTIFS(Resp3[Vínculo],"docente",Resp3[3.07],B7)</f>
        <v>5</v>
      </c>
      <c r="E7" s="10">
        <f>COUNTIF(Resp3[3.07],B7)</f>
        <v>5</v>
      </c>
      <c r="F7" s="25">
        <f t="shared" ref="F7:F13" si="0">ROUND($E7/$E$13*100,2)</f>
        <v>15.15</v>
      </c>
      <c r="G7" s="25">
        <f>ROUND($E7/SUM($E$7:$E$12)*100,3)</f>
        <v>15.151999999999999</v>
      </c>
    </row>
    <row r="8" spans="1:7">
      <c r="B8" s="9" t="s">
        <v>166</v>
      </c>
      <c r="C8" s="10">
        <f>COUNTIFS(Resp3[Vínculo],"tecnico",Resp3[3.07],B8)</f>
        <v>0</v>
      </c>
      <c r="D8" s="10">
        <f>COUNTIFS(Resp3[Vínculo],"docente",Resp3[3.07],B8)</f>
        <v>0</v>
      </c>
      <c r="E8" s="10">
        <f>COUNTIF(Resp3[3.07],B8)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20</v>
      </c>
      <c r="C9" s="10">
        <f>COUNTIFS(Resp3[Vínculo],"tecnico",Resp3[3.07],B9)</f>
        <v>0</v>
      </c>
      <c r="D9" s="10">
        <f>COUNTIFS(Resp3[Vínculo],"docente",Resp3[3.07],B9)</f>
        <v>2</v>
      </c>
      <c r="E9" s="10">
        <f>COUNTIF(Resp3[3.07],B9)</f>
        <v>2</v>
      </c>
      <c r="F9" s="25">
        <f t="shared" si="0"/>
        <v>6.06</v>
      </c>
      <c r="G9" s="25">
        <f t="shared" si="1"/>
        <v>6.0609999999999999</v>
      </c>
    </row>
    <row r="10" spans="1:7">
      <c r="B10" s="9" t="s">
        <v>15</v>
      </c>
      <c r="C10" s="10">
        <f>COUNTIFS(Resp3[Vínculo],"tecnico",Resp3[3.07],B10)</f>
        <v>1</v>
      </c>
      <c r="D10" s="10">
        <f>COUNTIFS(Resp3[Vínculo],"docente",Resp3[3.07],B10)</f>
        <v>3</v>
      </c>
      <c r="E10" s="10">
        <f>COUNTIF(Resp3[3.07],B10)</f>
        <v>4</v>
      </c>
      <c r="F10" s="25">
        <f t="shared" si="0"/>
        <v>12.12</v>
      </c>
      <c r="G10" s="25">
        <f t="shared" si="1"/>
        <v>12.121</v>
      </c>
    </row>
    <row r="11" spans="1:7">
      <c r="B11" s="9" t="s">
        <v>13</v>
      </c>
      <c r="C11" s="10">
        <f>COUNTIFS(Resp3[Vínculo],"tecnico",Resp3[3.07],B11)</f>
        <v>6</v>
      </c>
      <c r="D11" s="10">
        <f>COUNTIFS(Resp3[Vínculo],"docente",Resp3[3.07],B11)</f>
        <v>9</v>
      </c>
      <c r="E11" s="10">
        <f>COUNTIF(Resp3[3.07],B11)</f>
        <v>15</v>
      </c>
      <c r="F11" s="25">
        <f t="shared" si="0"/>
        <v>45.45</v>
      </c>
      <c r="G11" s="25">
        <f t="shared" si="1"/>
        <v>45.454999999999998</v>
      </c>
    </row>
    <row r="12" spans="1:7">
      <c r="B12" s="26" t="s">
        <v>16</v>
      </c>
      <c r="C12" s="10">
        <f>COUNTIFS(Resp3[Vínculo],"tecnico",Resp3[3.07],B12)</f>
        <v>1</v>
      </c>
      <c r="D12" s="10">
        <f>COUNTIFS(Resp3[Vínculo],"docente",Resp3[3.07],B12)</f>
        <v>6</v>
      </c>
      <c r="E12" s="10">
        <f>COUNTIF(Resp3[3.07],B12)</f>
        <v>7</v>
      </c>
      <c r="F12" s="102">
        <f t="shared" si="0"/>
        <v>21.21</v>
      </c>
      <c r="G12" s="25">
        <f t="shared" si="1"/>
        <v>21.212</v>
      </c>
    </row>
    <row r="13" spans="1:7">
      <c r="B13" s="27" t="s">
        <v>167</v>
      </c>
      <c r="C13" s="11">
        <f>SUM(C6:C12)</f>
        <v>8</v>
      </c>
      <c r="D13" s="11">
        <f>SUM(D6:D12)</f>
        <v>25</v>
      </c>
      <c r="E13" s="11">
        <f>SUM(C13:D13)</f>
        <v>33</v>
      </c>
      <c r="F13" s="105">
        <f t="shared" si="0"/>
        <v>100</v>
      </c>
      <c r="G13" s="107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160</v>
      </c>
      <c r="E18" s="51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181</v>
      </c>
      <c r="C20" s="30" t="s">
        <v>77</v>
      </c>
      <c r="D20" s="15">
        <f>C7</f>
        <v>0</v>
      </c>
      <c r="E20" s="44">
        <f>ROUND(D20/SUM(D$19:D$22)*100,3)</f>
        <v>0</v>
      </c>
    </row>
    <row r="21" spans="2:7">
      <c r="B21" s="31" t="s">
        <v>15</v>
      </c>
      <c r="C21" s="31" t="s">
        <v>89</v>
      </c>
      <c r="D21" s="15">
        <f>C10</f>
        <v>1</v>
      </c>
      <c r="E21" s="44">
        <f>ROUND(D21/SUM(D$19:D$22)*100,3)</f>
        <v>12.5</v>
      </c>
    </row>
    <row r="22" spans="2:7">
      <c r="B22" s="32" t="s">
        <v>95</v>
      </c>
      <c r="C22" s="32" t="s">
        <v>94</v>
      </c>
      <c r="D22" s="33">
        <f>SUM(C11:C12)</f>
        <v>7</v>
      </c>
      <c r="E22" s="45">
        <f>ROUND(D22/SUM(D$19:D$22)*100,3)</f>
        <v>87.5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161</v>
      </c>
      <c r="E25" s="48" t="s">
        <v>163</v>
      </c>
    </row>
    <row r="26" spans="2:7">
      <c r="B26" s="29" t="s">
        <v>85</v>
      </c>
      <c r="C26" s="29" t="s">
        <v>84</v>
      </c>
      <c r="D26" s="15">
        <f>SUM(D8:D9)</f>
        <v>2</v>
      </c>
      <c r="E26" s="44">
        <f>ROUND(D26/SUM(D$26:D$29)*100,3)</f>
        <v>8</v>
      </c>
    </row>
    <row r="27" spans="2:7">
      <c r="B27" s="30" t="s">
        <v>181</v>
      </c>
      <c r="C27" s="30" t="s">
        <v>77</v>
      </c>
      <c r="D27" s="15">
        <f>D7</f>
        <v>5</v>
      </c>
      <c r="E27" s="44">
        <f>ROUND(D27/SUM(D$26:D$29)*100,3)</f>
        <v>20</v>
      </c>
    </row>
    <row r="28" spans="2:7">
      <c r="B28" s="31" t="s">
        <v>15</v>
      </c>
      <c r="C28" s="31" t="s">
        <v>89</v>
      </c>
      <c r="D28" s="15">
        <f>SUM(D10)</f>
        <v>3</v>
      </c>
      <c r="E28" s="44">
        <f>ROUND(D28/SUM(D$26:D$29)*100,3)</f>
        <v>12</v>
      </c>
    </row>
    <row r="29" spans="2:7">
      <c r="B29" s="32" t="s">
        <v>95</v>
      </c>
      <c r="C29" s="32" t="s">
        <v>94</v>
      </c>
      <c r="D29" s="33">
        <f>SUM(D11:D12)</f>
        <v>15</v>
      </c>
      <c r="E29" s="45">
        <f>ROUND(D29/SUM(D$26:D$29)*100,3)</f>
        <v>60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D20" sqref="D2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30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158</v>
      </c>
      <c r="B3" s="10" t="str">
        <f>VLOOKUP(A$2, Eixo[], 4, FALSE)</f>
        <v>Eixo3: Questão 8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COUNTIFS(Resp3[Vínculo],"tecnico",Resp3[3.08],B7)</f>
        <v>0</v>
      </c>
      <c r="D7" s="10">
        <f>COUNTIFS(Resp3[Vínculo],"docente",Resp3[3.08],B7)</f>
        <v>0</v>
      </c>
      <c r="E7" s="10">
        <f>COUNTIF(Resp3[3.08],B7)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166</v>
      </c>
      <c r="C8" s="10">
        <f>COUNTIFS(Resp3[Vínculo],"tecnico",Resp3[3.08],B8)</f>
        <v>0</v>
      </c>
      <c r="D8" s="10">
        <f>COUNTIFS(Resp3[Vínculo],"docente",Resp3[3.08],B8)</f>
        <v>0</v>
      </c>
      <c r="E8" s="10">
        <f>COUNTIF(Resp3[3.08],B8)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20</v>
      </c>
      <c r="C9" s="10">
        <f>COUNTIFS(Resp3[Vínculo],"tecnico",Resp3[3.08],B9)</f>
        <v>0</v>
      </c>
      <c r="D9" s="10">
        <f>COUNTIFS(Resp3[Vínculo],"docente",Resp3[3.08],B9)</f>
        <v>1</v>
      </c>
      <c r="E9" s="10">
        <f>COUNTIF(Resp3[3.08],B9)</f>
        <v>1</v>
      </c>
      <c r="F9" s="25">
        <f t="shared" si="0"/>
        <v>3.03</v>
      </c>
      <c r="G9" s="25">
        <f t="shared" si="1"/>
        <v>3.03</v>
      </c>
    </row>
    <row r="10" spans="1:7">
      <c r="B10" s="9" t="s">
        <v>15</v>
      </c>
      <c r="C10" s="10">
        <f>COUNTIFS(Resp3[Vínculo],"tecnico",Resp3[3.08],B10)</f>
        <v>0</v>
      </c>
      <c r="D10" s="10">
        <f>COUNTIFS(Resp3[Vínculo],"docente",Resp3[3.08],B10)</f>
        <v>1</v>
      </c>
      <c r="E10" s="10">
        <f>COUNTIF(Resp3[3.08],B10)</f>
        <v>1</v>
      </c>
      <c r="F10" s="25">
        <f t="shared" si="0"/>
        <v>3.03</v>
      </c>
      <c r="G10" s="25">
        <f t="shared" si="1"/>
        <v>3.03</v>
      </c>
    </row>
    <row r="11" spans="1:7">
      <c r="B11" s="9" t="s">
        <v>13</v>
      </c>
      <c r="C11" s="10">
        <f>COUNTIFS(Resp3[Vínculo],"tecnico",Resp3[3.08],B11)</f>
        <v>6</v>
      </c>
      <c r="D11" s="10">
        <f>COUNTIFS(Resp3[Vínculo],"docente",Resp3[3.08],B11)</f>
        <v>10</v>
      </c>
      <c r="E11" s="10">
        <f>COUNTIF(Resp3[3.08],B11)</f>
        <v>16</v>
      </c>
      <c r="F11" s="25">
        <f t="shared" si="0"/>
        <v>48.48</v>
      </c>
      <c r="G11" s="25">
        <f t="shared" si="1"/>
        <v>48.484999999999999</v>
      </c>
    </row>
    <row r="12" spans="1:7">
      <c r="B12" s="26" t="s">
        <v>16</v>
      </c>
      <c r="C12" s="10">
        <f>COUNTIFS(Resp3[Vínculo],"tecnico",Resp3[3.08],B12)</f>
        <v>2</v>
      </c>
      <c r="D12" s="10">
        <f>COUNTIFS(Resp3[Vínculo],"docente",Resp3[3.08],B12)</f>
        <v>13</v>
      </c>
      <c r="E12" s="10">
        <f>COUNTIF(Resp3[3.08],B12)</f>
        <v>15</v>
      </c>
      <c r="F12" s="102">
        <f t="shared" si="0"/>
        <v>45.45</v>
      </c>
      <c r="G12" s="25">
        <f t="shared" si="1"/>
        <v>45.454999999999998</v>
      </c>
    </row>
    <row r="13" spans="1:7">
      <c r="B13" s="27" t="s">
        <v>167</v>
      </c>
      <c r="C13" s="11">
        <f>SUM(C6:C12)</f>
        <v>8</v>
      </c>
      <c r="D13" s="11">
        <f>SUM(D6:D12)</f>
        <v>25</v>
      </c>
      <c r="E13" s="11">
        <f>SUM(C13:D13)</f>
        <v>33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174</v>
      </c>
      <c r="C18" s="26" t="s">
        <v>175</v>
      </c>
      <c r="D18" s="49" t="s">
        <v>160</v>
      </c>
      <c r="E18" s="51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181</v>
      </c>
      <c r="C20" s="30" t="s">
        <v>77</v>
      </c>
      <c r="D20" s="15">
        <f>C7</f>
        <v>0</v>
      </c>
      <c r="E20" s="44">
        <f>ROUND(D20/SUM(D$19:D$22)*100,3)</f>
        <v>0</v>
      </c>
    </row>
    <row r="21" spans="2:7">
      <c r="B21" s="31" t="s">
        <v>15</v>
      </c>
      <c r="C21" s="31" t="s">
        <v>89</v>
      </c>
      <c r="D21" s="15">
        <f>C10</f>
        <v>0</v>
      </c>
      <c r="E21" s="44">
        <f>ROUND(D21/SUM(D$19:D$22)*100,3)</f>
        <v>0</v>
      </c>
    </row>
    <row r="22" spans="2:7">
      <c r="B22" s="32" t="s">
        <v>95</v>
      </c>
      <c r="C22" s="32" t="s">
        <v>94</v>
      </c>
      <c r="D22" s="33">
        <f>SUM(C11:C12)</f>
        <v>8</v>
      </c>
      <c r="E22" s="45">
        <f>ROUND(D22/SUM(D$19:D$22)*100,3)</f>
        <v>100</v>
      </c>
    </row>
    <row r="23" spans="2:7">
      <c r="E23" s="25"/>
    </row>
    <row r="24" spans="2:7">
      <c r="E24" s="25"/>
    </row>
    <row r="25" spans="2:7">
      <c r="B25" s="22" t="s">
        <v>174</v>
      </c>
      <c r="C25" s="22" t="s">
        <v>175</v>
      </c>
      <c r="D25" s="46" t="s">
        <v>161</v>
      </c>
      <c r="E25" s="48" t="s">
        <v>163</v>
      </c>
    </row>
    <row r="26" spans="2:7">
      <c r="B26" s="29" t="s">
        <v>85</v>
      </c>
      <c r="C26" s="29" t="s">
        <v>84</v>
      </c>
      <c r="D26" s="15">
        <f>SUM(D8:D9)</f>
        <v>1</v>
      </c>
      <c r="E26" s="44">
        <f>ROUND(D26/SUM(D$26:D$29)*100,3)</f>
        <v>4</v>
      </c>
    </row>
    <row r="27" spans="2:7">
      <c r="B27" s="30" t="s">
        <v>181</v>
      </c>
      <c r="C27" s="30" t="s">
        <v>77</v>
      </c>
      <c r="D27" s="15">
        <f>D7</f>
        <v>0</v>
      </c>
      <c r="E27" s="44">
        <f>ROUND(D27/SUM(D$26:D$29)*100,3)</f>
        <v>0</v>
      </c>
    </row>
    <row r="28" spans="2:7">
      <c r="B28" s="31" t="s">
        <v>15</v>
      </c>
      <c r="C28" s="31" t="s">
        <v>89</v>
      </c>
      <c r="D28" s="15">
        <f>SUM(D10)</f>
        <v>1</v>
      </c>
      <c r="E28" s="44">
        <f>ROUND(D28/SUM(D$26:D$29)*100,3)</f>
        <v>4</v>
      </c>
    </row>
    <row r="29" spans="2:7">
      <c r="B29" s="32" t="s">
        <v>95</v>
      </c>
      <c r="C29" s="32" t="s">
        <v>94</v>
      </c>
      <c r="D29" s="33">
        <f>SUM(D11:D12)</f>
        <v>23</v>
      </c>
      <c r="E29" s="45">
        <f>ROUND(D29/SUM(D$26:D$29)*100,3)</f>
        <v>92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D20" sqref="D2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31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158</v>
      </c>
      <c r="B3" s="10" t="str">
        <f>VLOOKUP(A$2, Eixo[], 4, FALSE)</f>
        <v>Eixo3: Questão 9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COUNTIFS(Resp3[Vínculo],"tecnico",Resp3[3.09],B7)</f>
        <v>1</v>
      </c>
      <c r="D7" s="10">
        <f>COUNTIFS(Resp3[Vínculo],"docente",Resp3[3.09],B7)</f>
        <v>0</v>
      </c>
      <c r="E7" s="10">
        <f>COUNTIF(Resp3[3.09],B7)</f>
        <v>1</v>
      </c>
      <c r="F7" s="25">
        <f t="shared" ref="F7:F13" si="0">ROUND($E7/$E$13*100,2)</f>
        <v>3.03</v>
      </c>
      <c r="G7" s="25">
        <f>ROUND($E7/SUM($E$7:$E$12)*100,3)</f>
        <v>3.03</v>
      </c>
    </row>
    <row r="8" spans="1:7">
      <c r="B8" s="9" t="s">
        <v>166</v>
      </c>
      <c r="C8" s="10">
        <f>COUNTIFS(Resp3[Vínculo],"tecnico",Resp3[3.09],B8)</f>
        <v>0</v>
      </c>
      <c r="D8" s="10">
        <f>COUNTIFS(Resp3[Vínculo],"docente",Resp3[3.09],B8)</f>
        <v>0</v>
      </c>
      <c r="E8" s="10">
        <f>COUNTIF(Resp3[3.09],B8)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20</v>
      </c>
      <c r="C9" s="10">
        <f>COUNTIFS(Resp3[Vínculo],"tecnico",Resp3[3.09],B9)</f>
        <v>0</v>
      </c>
      <c r="D9" s="10">
        <f>COUNTIFS(Resp3[Vínculo],"docente",Resp3[3.09],B9)</f>
        <v>0</v>
      </c>
      <c r="E9" s="10">
        <f>COUNTIF(Resp3[3.09],B9)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15</v>
      </c>
      <c r="C10" s="10">
        <f>COUNTIFS(Resp3[Vínculo],"tecnico",Resp3[3.09],B10)</f>
        <v>0</v>
      </c>
      <c r="D10" s="10">
        <f>COUNTIFS(Resp3[Vínculo],"docente",Resp3[3.09],B10)</f>
        <v>3</v>
      </c>
      <c r="E10" s="10">
        <f>COUNTIF(Resp3[3.09],B10)</f>
        <v>3</v>
      </c>
      <c r="F10" s="25">
        <f t="shared" si="0"/>
        <v>9.09</v>
      </c>
      <c r="G10" s="25">
        <f t="shared" si="1"/>
        <v>9.0909999999999993</v>
      </c>
    </row>
    <row r="11" spans="1:7">
      <c r="B11" s="9" t="s">
        <v>13</v>
      </c>
      <c r="C11" s="10">
        <f>COUNTIFS(Resp3[Vínculo],"tecnico",Resp3[3.09],B11)</f>
        <v>5</v>
      </c>
      <c r="D11" s="10">
        <f>COUNTIFS(Resp3[Vínculo],"docente",Resp3[3.09],B11)</f>
        <v>7</v>
      </c>
      <c r="E11" s="10">
        <f>COUNTIF(Resp3[3.09],B11)</f>
        <v>12</v>
      </c>
      <c r="F11" s="25">
        <f t="shared" si="0"/>
        <v>36.36</v>
      </c>
      <c r="G11" s="25">
        <f t="shared" si="1"/>
        <v>36.363999999999997</v>
      </c>
    </row>
    <row r="12" spans="1:7">
      <c r="B12" s="26" t="s">
        <v>16</v>
      </c>
      <c r="C12" s="10">
        <f>COUNTIFS(Resp3[Vínculo],"tecnico",Resp3[3.09],B12)</f>
        <v>2</v>
      </c>
      <c r="D12" s="10">
        <f>COUNTIFS(Resp3[Vínculo],"docente",Resp3[3.09],B12)</f>
        <v>15</v>
      </c>
      <c r="E12" s="10">
        <f>COUNTIF(Resp3[3.09],B12)</f>
        <v>17</v>
      </c>
      <c r="F12" s="102">
        <f t="shared" si="0"/>
        <v>51.52</v>
      </c>
      <c r="G12" s="25">
        <f t="shared" si="1"/>
        <v>51.515000000000001</v>
      </c>
    </row>
    <row r="13" spans="1:7">
      <c r="B13" s="27" t="s">
        <v>167</v>
      </c>
      <c r="C13" s="11">
        <f>SUM(C6:C12)</f>
        <v>8</v>
      </c>
      <c r="D13" s="11">
        <f>SUM(D6:D12)</f>
        <v>25</v>
      </c>
      <c r="E13" s="11">
        <f>SUM(C13:D13)</f>
        <v>33</v>
      </c>
      <c r="F13" s="105">
        <f t="shared" si="0"/>
        <v>100</v>
      </c>
      <c r="G13" s="107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174</v>
      </c>
      <c r="C18" s="22" t="s">
        <v>175</v>
      </c>
      <c r="D18" s="7" t="s">
        <v>160</v>
      </c>
      <c r="E18" s="35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12">
        <f>ROUND(D19/SUM(D$19:D$22)*100,3)</f>
        <v>0</v>
      </c>
      <c r="F19" s="15"/>
      <c r="G19" s="10"/>
    </row>
    <row r="20" spans="2:7">
      <c r="B20" s="30" t="s">
        <v>181</v>
      </c>
      <c r="C20" s="30" t="s">
        <v>77</v>
      </c>
      <c r="D20" s="15">
        <f>C7</f>
        <v>1</v>
      </c>
      <c r="E20" s="10">
        <f>ROUND(D20/SUM(D$19:D$22)*100,3)</f>
        <v>12.5</v>
      </c>
    </row>
    <row r="21" spans="2:7">
      <c r="B21" s="31" t="s">
        <v>15</v>
      </c>
      <c r="C21" s="31" t="s">
        <v>89</v>
      </c>
      <c r="D21" s="15">
        <f>C10</f>
        <v>0</v>
      </c>
      <c r="E21" s="10">
        <f>ROUND(D21/SUM(D$19:D$22)*100,3)</f>
        <v>0</v>
      </c>
    </row>
    <row r="22" spans="2:7">
      <c r="B22" s="32" t="s">
        <v>95</v>
      </c>
      <c r="C22" s="32" t="s">
        <v>94</v>
      </c>
      <c r="D22" s="33">
        <f>SUM(C11:C12)</f>
        <v>7</v>
      </c>
      <c r="E22" s="34">
        <f>ROUND(D22/SUM(D$19:D$22)*100,3)</f>
        <v>87.5</v>
      </c>
    </row>
    <row r="25" spans="2:7">
      <c r="B25" s="22" t="s">
        <v>174</v>
      </c>
      <c r="C25" s="22" t="s">
        <v>175</v>
      </c>
      <c r="D25" s="46" t="s">
        <v>161</v>
      </c>
      <c r="E25" s="48" t="s">
        <v>163</v>
      </c>
    </row>
    <row r="26" spans="2:7">
      <c r="B26" s="29" t="s">
        <v>85</v>
      </c>
      <c r="C26" s="29" t="s">
        <v>84</v>
      </c>
      <c r="D26" s="15">
        <f>SUM(D8:D9)</f>
        <v>0</v>
      </c>
      <c r="E26" s="44">
        <f>ROUND(D26/SUM(D$26:D$29)*100,3)</f>
        <v>0</v>
      </c>
    </row>
    <row r="27" spans="2:7">
      <c r="B27" s="30" t="s">
        <v>181</v>
      </c>
      <c r="C27" s="30" t="s">
        <v>77</v>
      </c>
      <c r="D27" s="15">
        <f>D7</f>
        <v>0</v>
      </c>
      <c r="E27" s="44">
        <f>ROUND(D27/SUM(D$26:D$29)*100,3)</f>
        <v>0</v>
      </c>
    </row>
    <row r="28" spans="2:7">
      <c r="B28" s="31" t="s">
        <v>15</v>
      </c>
      <c r="C28" s="31" t="s">
        <v>89</v>
      </c>
      <c r="D28" s="15">
        <f>SUM(D10)</f>
        <v>3</v>
      </c>
      <c r="E28" s="44">
        <f>ROUND(D28/SUM(D$26:D$29)*100,3)</f>
        <v>12</v>
      </c>
    </row>
    <row r="29" spans="2:7">
      <c r="B29" s="32" t="s">
        <v>95</v>
      </c>
      <c r="C29" s="32" t="s">
        <v>94</v>
      </c>
      <c r="D29" s="33">
        <f>SUM(D11:D12)</f>
        <v>22</v>
      </c>
      <c r="E29" s="45">
        <f>ROUND(D29/SUM(D$26:D$29)*100,3)</f>
        <v>88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12" workbookViewId="0">
      <selection activeCell="D28" sqref="D28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32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158</v>
      </c>
      <c r="B3" s="10" t="str">
        <f>VLOOKUP(A$2, Eixo[], 4, FALSE)</f>
        <v>Eixo3: Questão 10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COUNTIFS(Resp3[Vínculo],"tecnico",Resp3[3.10],B7)</f>
        <v>0</v>
      </c>
      <c r="D7" s="10">
        <f>COUNTIFS(Resp3[Vínculo],"docente",Resp3[3.10],B7)</f>
        <v>0</v>
      </c>
      <c r="E7" s="10">
        <f>COUNTIF(Resp3[3.10],B7)</f>
        <v>0</v>
      </c>
      <c r="F7" s="25">
        <f t="shared" ref="F7:F13" si="0">ROUND($E7/$E$13*100,2)</f>
        <v>0</v>
      </c>
      <c r="G7" s="25">
        <f>ROUND($E7/SUM($E$7:$E$12)*100,3)</f>
        <v>0</v>
      </c>
    </row>
    <row r="8" spans="1:7">
      <c r="B8" s="9" t="s">
        <v>166</v>
      </c>
      <c r="C8" s="10">
        <f>COUNTIFS(Resp3[Vínculo],"tecnico",Resp3[3.10],B8)</f>
        <v>0</v>
      </c>
      <c r="D8" s="10">
        <f>COUNTIFS(Resp3[Vínculo],"docente",Resp3[3.10],B8)</f>
        <v>0</v>
      </c>
      <c r="E8" s="10">
        <f>COUNTIF(Resp3[3.10],B8)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20</v>
      </c>
      <c r="C9" s="10">
        <f>COUNTIFS(Resp3[Vínculo],"tecnico",Resp3[3.10],B9)</f>
        <v>0</v>
      </c>
      <c r="D9" s="10">
        <f>COUNTIFS(Resp3[Vínculo],"docente",Resp3[3.10],B9)</f>
        <v>0</v>
      </c>
      <c r="E9" s="10">
        <f>COUNTIF(Resp3[3.10],B9)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15</v>
      </c>
      <c r="C10" s="10">
        <f>COUNTIFS(Resp3[Vínculo],"tecnico",Resp3[3.10],B10)</f>
        <v>0</v>
      </c>
      <c r="D10" s="10">
        <f>COUNTIFS(Resp3[Vínculo],"docente",Resp3[3.10],B10)</f>
        <v>2</v>
      </c>
      <c r="E10" s="10">
        <f>COUNTIF(Resp3[3.10],B10)</f>
        <v>2</v>
      </c>
      <c r="F10" s="25">
        <f t="shared" si="0"/>
        <v>6.06</v>
      </c>
      <c r="G10" s="25">
        <f t="shared" si="1"/>
        <v>6.0609999999999999</v>
      </c>
    </row>
    <row r="11" spans="1:7">
      <c r="B11" s="9" t="s">
        <v>13</v>
      </c>
      <c r="C11" s="10">
        <f>COUNTIFS(Resp3[Vínculo],"tecnico",Resp3[3.10],B11)</f>
        <v>5</v>
      </c>
      <c r="D11" s="10">
        <f>COUNTIFS(Resp3[Vínculo],"docente",Resp3[3.10],B11)</f>
        <v>12</v>
      </c>
      <c r="E11" s="10">
        <f>COUNTIF(Resp3[3.10],B11)</f>
        <v>17</v>
      </c>
      <c r="F11" s="25">
        <f t="shared" si="0"/>
        <v>51.52</v>
      </c>
      <c r="G11" s="25">
        <f t="shared" si="1"/>
        <v>51.515000000000001</v>
      </c>
    </row>
    <row r="12" spans="1:7">
      <c r="B12" s="26" t="s">
        <v>16</v>
      </c>
      <c r="C12" s="10">
        <f>COUNTIFS(Resp3[Vínculo],"tecnico",Resp3[3.10],B12)</f>
        <v>3</v>
      </c>
      <c r="D12" s="10">
        <f>COUNTIFS(Resp3[Vínculo],"docente",Resp3[3.10],B12)</f>
        <v>11</v>
      </c>
      <c r="E12" s="10">
        <f>COUNTIF(Resp3[3.10],B12)</f>
        <v>14</v>
      </c>
      <c r="F12" s="102">
        <f t="shared" si="0"/>
        <v>42.42</v>
      </c>
      <c r="G12" s="25">
        <f t="shared" si="1"/>
        <v>42.423999999999999</v>
      </c>
    </row>
    <row r="13" spans="1:7">
      <c r="B13" s="27" t="s">
        <v>167</v>
      </c>
      <c r="C13" s="11">
        <f>SUM(C6:C12)</f>
        <v>8</v>
      </c>
      <c r="D13" s="11">
        <f>SUM(D6:D12)</f>
        <v>25</v>
      </c>
      <c r="E13" s="11">
        <f>SUM(C13:D13)</f>
        <v>33</v>
      </c>
      <c r="F13" s="105">
        <f t="shared" si="0"/>
        <v>100</v>
      </c>
      <c r="G13" s="107">
        <f>SUM(G7:G12)</f>
        <v>100</v>
      </c>
    </row>
    <row r="18" spans="2:5">
      <c r="B18" s="22" t="s">
        <v>174</v>
      </c>
      <c r="C18" s="22" t="s">
        <v>175</v>
      </c>
      <c r="D18" s="7" t="s">
        <v>160</v>
      </c>
      <c r="E18" s="35" t="s">
        <v>163</v>
      </c>
    </row>
    <row r="19" spans="2:5">
      <c r="B19" s="29" t="s">
        <v>85</v>
      </c>
      <c r="C19" s="29" t="s">
        <v>84</v>
      </c>
      <c r="D19" s="15">
        <f>SUM(C8:C9)</f>
        <v>0</v>
      </c>
      <c r="E19" s="12">
        <f>ROUND(D19/SUM(D$19:D$22)*100,3)</f>
        <v>0</v>
      </c>
    </row>
    <row r="20" spans="2:5">
      <c r="B20" s="30" t="s">
        <v>181</v>
      </c>
      <c r="C20" s="30" t="s">
        <v>77</v>
      </c>
      <c r="D20" s="15">
        <f>C7</f>
        <v>0</v>
      </c>
      <c r="E20" s="10">
        <f>ROUND(D20/SUM(D$19:D$22)*100,3)</f>
        <v>0</v>
      </c>
    </row>
    <row r="21" spans="2:5">
      <c r="B21" s="31" t="s">
        <v>15</v>
      </c>
      <c r="C21" s="31" t="s">
        <v>89</v>
      </c>
      <c r="D21" s="15">
        <f>C10</f>
        <v>0</v>
      </c>
      <c r="E21" s="10">
        <f>ROUND(D21/SUM(D$19:D$22)*100,3)</f>
        <v>0</v>
      </c>
    </row>
    <row r="22" spans="2:5">
      <c r="B22" s="32" t="s">
        <v>95</v>
      </c>
      <c r="C22" s="32" t="s">
        <v>94</v>
      </c>
      <c r="D22" s="33">
        <f>SUM(C11:C12)</f>
        <v>8</v>
      </c>
      <c r="E22" s="34">
        <f>ROUND(D22/SUM(D$19:D$22)*100,3)</f>
        <v>100</v>
      </c>
    </row>
    <row r="25" spans="2:5">
      <c r="B25" s="22" t="s">
        <v>174</v>
      </c>
      <c r="C25" s="22" t="s">
        <v>175</v>
      </c>
      <c r="D25" s="46" t="s">
        <v>161</v>
      </c>
      <c r="E25" s="48" t="s">
        <v>163</v>
      </c>
    </row>
    <row r="26" spans="2:5">
      <c r="B26" s="29" t="s">
        <v>85</v>
      </c>
      <c r="C26" s="29" t="s">
        <v>84</v>
      </c>
      <c r="D26" s="15">
        <f>SUM(D8:D9)</f>
        <v>0</v>
      </c>
      <c r="E26" s="44">
        <f>ROUND(D26/SUM(D$26:D$29)*100,3)</f>
        <v>0</v>
      </c>
    </row>
    <row r="27" spans="2:5">
      <c r="B27" s="30" t="s">
        <v>181</v>
      </c>
      <c r="C27" s="30" t="s">
        <v>77</v>
      </c>
      <c r="D27" s="15">
        <f>D7</f>
        <v>0</v>
      </c>
      <c r="E27" s="44">
        <f>ROUND(D27/SUM(D$26:D$29)*100,3)</f>
        <v>0</v>
      </c>
    </row>
    <row r="28" spans="2:5">
      <c r="B28" s="31" t="s">
        <v>15</v>
      </c>
      <c r="C28" s="31" t="s">
        <v>89</v>
      </c>
      <c r="D28" s="15">
        <f>SUM(D10)</f>
        <v>2</v>
      </c>
      <c r="E28" s="44">
        <f>ROUND(D28/SUM(D$26:D$29)*100,3)</f>
        <v>8</v>
      </c>
    </row>
    <row r="29" spans="2:5">
      <c r="B29" s="32" t="s">
        <v>95</v>
      </c>
      <c r="C29" s="32" t="s">
        <v>94</v>
      </c>
      <c r="D29" s="33">
        <f>SUM(D11:D12)</f>
        <v>23</v>
      </c>
      <c r="E29" s="45">
        <f>ROUND(D29/SUM(D$26:D$29)*100,3)</f>
        <v>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2022-01-14T17:22:08Z</dcterms:modified>
  <cp:category/>
  <cp:contentStatus/>
</cp:coreProperties>
</file>