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TOLEDO/"/>
    </mc:Choice>
  </mc:AlternateContent>
  <xr:revisionPtr revIDLastSave="1" documentId="11_128626AB1132D9045421E077C36C75567695D1A3" xr6:coauthVersionLast="47" xr6:coauthVersionMax="47" xr10:uidLastSave="{D2EC1C4A-2A1A-402B-A30E-A3E4C3283784}"/>
  <bookViews>
    <workbookView xWindow="23850" yWindow="780" windowWidth="24720" windowHeight="13965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200TL" sheetId="208" r:id="rId5"/>
    <sheet name="Q5.201" sheetId="209" r:id="rId6"/>
    <sheet name="Q5.202" sheetId="210" r:id="rId7"/>
    <sheet name="Q5.203" sheetId="2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211" l="1"/>
  <c r="D8" i="211"/>
  <c r="E8" i="211"/>
  <c r="C9" i="211"/>
  <c r="D9" i="211"/>
  <c r="D23" i="211" s="1"/>
  <c r="E9" i="211"/>
  <c r="C10" i="211"/>
  <c r="D10" i="211"/>
  <c r="E10" i="211"/>
  <c r="C11" i="211"/>
  <c r="D11" i="211"/>
  <c r="E11" i="211"/>
  <c r="E7" i="211"/>
  <c r="D7" i="211"/>
  <c r="D24" i="211" s="1"/>
  <c r="C7" i="211"/>
  <c r="D17" i="211"/>
  <c r="D6" i="211"/>
  <c r="C6" i="211"/>
  <c r="A2" i="211"/>
  <c r="C8" i="210"/>
  <c r="D8" i="210"/>
  <c r="E8" i="210"/>
  <c r="C9" i="210"/>
  <c r="D17" i="210" s="1"/>
  <c r="D9" i="210"/>
  <c r="D23" i="210" s="1"/>
  <c r="E9" i="210"/>
  <c r="C10" i="210"/>
  <c r="D10" i="210"/>
  <c r="E10" i="210"/>
  <c r="C11" i="210"/>
  <c r="D11" i="210"/>
  <c r="D22" i="210" s="1"/>
  <c r="E11" i="210"/>
  <c r="E7" i="210"/>
  <c r="D7" i="210"/>
  <c r="D24" i="210" s="1"/>
  <c r="C7" i="210"/>
  <c r="A2" i="210"/>
  <c r="C8" i="209"/>
  <c r="D8" i="209"/>
  <c r="E8" i="209"/>
  <c r="C9" i="209"/>
  <c r="D9" i="209"/>
  <c r="D23" i="209" s="1"/>
  <c r="E9" i="209"/>
  <c r="C10" i="209"/>
  <c r="D10" i="209"/>
  <c r="E10" i="209"/>
  <c r="C11" i="209"/>
  <c r="D11" i="209"/>
  <c r="E11" i="209"/>
  <c r="E7" i="209"/>
  <c r="D7" i="209"/>
  <c r="D24" i="209" s="1"/>
  <c r="C7" i="209"/>
  <c r="C6" i="209" s="1"/>
  <c r="D17" i="209"/>
  <c r="A2" i="209"/>
  <c r="C8" i="208"/>
  <c r="D8" i="208"/>
  <c r="E8" i="208"/>
  <c r="E7" i="208"/>
  <c r="D7" i="208"/>
  <c r="C7" i="208"/>
  <c r="A2" i="208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C6" i="208" l="1"/>
  <c r="C9" i="208" s="1"/>
  <c r="C6" i="210"/>
  <c r="D6" i="209"/>
  <c r="D12" i="209" s="1"/>
  <c r="D6" i="210"/>
  <c r="D12" i="210" s="1"/>
  <c r="D6" i="208"/>
  <c r="D9" i="208" s="1"/>
  <c r="E9" i="208" s="1"/>
  <c r="D16" i="210"/>
  <c r="D16" i="211"/>
  <c r="E6" i="61"/>
  <c r="D23" i="61"/>
  <c r="D18" i="211"/>
  <c r="D6" i="61"/>
  <c r="D24" i="61" s="1"/>
  <c r="D19" i="61"/>
  <c r="D22" i="211"/>
  <c r="E24" i="211" s="1"/>
  <c r="D18" i="209"/>
  <c r="D16" i="209"/>
  <c r="D18" i="210"/>
  <c r="D22" i="209"/>
  <c r="C6" i="61"/>
  <c r="C12" i="61" s="1"/>
  <c r="D26" i="61"/>
  <c r="D16" i="61"/>
  <c r="B3" i="211"/>
  <c r="B2" i="211"/>
  <c r="C12" i="211"/>
  <c r="D12" i="211"/>
  <c r="E18" i="211"/>
  <c r="I12" i="211"/>
  <c r="C28" i="211" s="1"/>
  <c r="J8" i="211"/>
  <c r="J7" i="211"/>
  <c r="H7" i="211"/>
  <c r="G7" i="211"/>
  <c r="H8" i="211"/>
  <c r="G8" i="211"/>
  <c r="E17" i="211"/>
  <c r="J9" i="211"/>
  <c r="H9" i="211"/>
  <c r="G9" i="211"/>
  <c r="J10" i="211"/>
  <c r="H10" i="211"/>
  <c r="G10" i="211"/>
  <c r="J11" i="211"/>
  <c r="H11" i="211"/>
  <c r="G11" i="211"/>
  <c r="B3" i="210"/>
  <c r="B2" i="210"/>
  <c r="C12" i="210"/>
  <c r="E18" i="210"/>
  <c r="I12" i="210"/>
  <c r="C28" i="210" s="1"/>
  <c r="J8" i="210"/>
  <c r="J7" i="210"/>
  <c r="H7" i="210"/>
  <c r="G7" i="210"/>
  <c r="H8" i="210"/>
  <c r="G8" i="210"/>
  <c r="E17" i="210"/>
  <c r="J9" i="210"/>
  <c r="H9" i="210"/>
  <c r="G9" i="210"/>
  <c r="J10" i="210"/>
  <c r="H10" i="210"/>
  <c r="G10" i="210"/>
  <c r="J11" i="210"/>
  <c r="H11" i="210"/>
  <c r="G11" i="210"/>
  <c r="B3" i="209"/>
  <c r="B2" i="209"/>
  <c r="C12" i="209"/>
  <c r="E18" i="209"/>
  <c r="I12" i="209"/>
  <c r="C28" i="209" s="1"/>
  <c r="J8" i="209"/>
  <c r="J7" i="209"/>
  <c r="H7" i="209"/>
  <c r="G7" i="209"/>
  <c r="H8" i="209"/>
  <c r="G8" i="209"/>
  <c r="J9" i="209"/>
  <c r="H9" i="209"/>
  <c r="G9" i="209"/>
  <c r="J10" i="209"/>
  <c r="H10" i="209"/>
  <c r="G10" i="209"/>
  <c r="J11" i="209"/>
  <c r="H11" i="209"/>
  <c r="G11" i="209"/>
  <c r="B3" i="208"/>
  <c r="B2" i="208"/>
  <c r="G7" i="208"/>
  <c r="G8" i="208"/>
  <c r="B3" i="61"/>
  <c r="B2" i="61"/>
  <c r="D17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F7" i="208" l="1"/>
  <c r="F9" i="208"/>
  <c r="E6" i="208"/>
  <c r="F6" i="208" s="1"/>
  <c r="F8" i="208"/>
  <c r="E16" i="209"/>
  <c r="D12" i="61"/>
  <c r="E23" i="211"/>
  <c r="E17" i="61"/>
  <c r="E18" i="61"/>
  <c r="E23" i="209"/>
  <c r="E16" i="210"/>
  <c r="E23" i="210"/>
  <c r="E24" i="61"/>
  <c r="E25" i="61"/>
  <c r="E24" i="210"/>
  <c r="E17" i="209"/>
  <c r="E24" i="209"/>
  <c r="E16" i="211"/>
  <c r="E16" i="61"/>
  <c r="E26" i="61"/>
  <c r="C85" i="210"/>
  <c r="C85" i="209"/>
  <c r="C85" i="211"/>
  <c r="E19" i="61"/>
  <c r="E22" i="209"/>
  <c r="E22" i="210"/>
  <c r="E22" i="211"/>
  <c r="G12" i="211"/>
  <c r="H12" i="211"/>
  <c r="D28" i="211" s="1"/>
  <c r="J12" i="211"/>
  <c r="E28" i="211" s="1"/>
  <c r="E12" i="211"/>
  <c r="G12" i="210"/>
  <c r="H12" i="210"/>
  <c r="D28" i="210" s="1"/>
  <c r="J12" i="210"/>
  <c r="E28" i="210" s="1"/>
  <c r="E12" i="210"/>
  <c r="G12" i="209"/>
  <c r="H12" i="209"/>
  <c r="D28" i="209" s="1"/>
  <c r="J12" i="209"/>
  <c r="E28" i="209" s="1"/>
  <c r="E12" i="209"/>
  <c r="G9" i="208"/>
  <c r="E23" i="61"/>
  <c r="G12" i="61"/>
  <c r="H12" i="61"/>
  <c r="D30" i="61" s="1"/>
  <c r="J12" i="61"/>
  <c r="E30" i="61" s="1"/>
  <c r="F12" i="211" l="1"/>
  <c r="E6" i="211"/>
  <c r="F6" i="211" s="1"/>
  <c r="F7" i="211"/>
  <c r="F8" i="211"/>
  <c r="F9" i="211"/>
  <c r="F10" i="211"/>
  <c r="F11" i="211"/>
  <c r="F12" i="210"/>
  <c r="E6" i="210"/>
  <c r="F6" i="210" s="1"/>
  <c r="F7" i="210"/>
  <c r="F8" i="210"/>
  <c r="F9" i="210"/>
  <c r="F10" i="210"/>
  <c r="F11" i="210"/>
  <c r="F12" i="209"/>
  <c r="E6" i="209"/>
  <c r="F6" i="209" s="1"/>
  <c r="F7" i="209"/>
  <c r="F8" i="209"/>
  <c r="F9" i="209"/>
  <c r="F10" i="209"/>
  <c r="F11" i="209"/>
</calcChain>
</file>

<file path=xl/sharedStrings.xml><?xml version="1.0" encoding="utf-8"?>
<sst xmlns="http://schemas.openxmlformats.org/spreadsheetml/2006/main" count="288883" uniqueCount="319">
  <si>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</si>
  <si>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</si>
  <si>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</si>
  <si>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</si>
  <si>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</si>
  <si>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</si>
  <si>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</si>
  <si>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</si>
  <si>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</si>
  <si>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</si>
  <si>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</si>
  <si>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</si>
  <si>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</si>
  <si>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</si>
  <si>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</si>
  <si>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</si>
  <si>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</si>
  <si>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</si>
  <si>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</si>
  <si>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</si>
  <si>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</si>
  <si>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</si>
  <si>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</si>
  <si>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</si>
  <si>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</si>
  <si>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</si>
  <si>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</si>
  <si>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</si>
  <si>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</si>
  <si>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</si>
  <si>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</si>
  <si>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</si>
  <si>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</si>
  <si>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</si>
  <si>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</si>
  <si>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</si>
  <si>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</si>
  <si>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</si>
  <si>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</si>
  <si>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</si>
  <si>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</si>
  <si>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</si>
  <si>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</si>
  <si>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</si>
  <si>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</si>
  <si>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</si>
  <si>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</si>
  <si>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</si>
  <si>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</si>
  <si>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</si>
  <si>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</si>
  <si>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</si>
  <si>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</si>
  <si>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</si>
  <si>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</si>
  <si>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</si>
  <si>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</si>
  <si>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</si>
  <si>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</si>
  <si>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</si>
  <si>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</si>
  <si>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</si>
  <si>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</si>
  <si>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</si>
  <si>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</si>
  <si>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</si>
  <si>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</si>
  <si>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</si>
  <si>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</si>
  <si>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</si>
  <si>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</si>
  <si>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</si>
  <si>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</si>
  <si>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</si>
  <si>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</si>
  <si>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</si>
  <si>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</si>
  <si>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</si>
  <si>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</si>
  <si>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</si>
  <si>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</si>
  <si>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</si>
  <si>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</si>
  <si>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</si>
  <si>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</si>
  <si>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</si>
  <si>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</si>
  <si>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</si>
  <si>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</si>
  <si>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</si>
  <si>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</si>
  <si>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</si>
  <si>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</si>
  <si>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</si>
  <si>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</si>
  <si>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</si>
  <si>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</si>
  <si>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</si>
  <si>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</si>
  <si>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</si>
  <si>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</si>
  <si>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</si>
  <si>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</si>
  <si>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</si>
  <si>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</si>
  <si>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</si>
  <si>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</si>
  <si>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</si>
  <si>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</si>
  <si>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</si>
  <si>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</si>
  <si>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</si>
  <si>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</si>
  <si>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</si>
  <si>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</si>
  <si>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</si>
  <si>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</si>
  <si>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</si>
  <si>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</si>
  <si>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</si>
  <si>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</si>
  <si>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</si>
  <si>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</si>
  <si>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</si>
  <si>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</si>
  <si>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</si>
  <si>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</si>
  <si>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</si>
  <si>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</si>
  <si>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</si>
  <si>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</si>
  <si>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</si>
  <si>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</si>
  <si>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</si>
  <si>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</si>
  <si>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</si>
  <si>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</si>
  <si>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</si>
  <si>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</si>
  <si>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</si>
  <si>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</si>
  <si>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</si>
  <si>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</si>
  <si>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</si>
  <si>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</si>
  <si>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</si>
  <si>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</si>
  <si>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</si>
  <si>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</si>
  <si>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</si>
  <si>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</si>
  <si>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</si>
  <si>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</si>
  <si>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</si>
  <si>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</si>
  <si>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</si>
  <si>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</si>
  <si>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</si>
  <si>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</si>
  <si>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</si>
  <si>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</si>
  <si>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</si>
  <si>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</si>
  <si>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</si>
  <si>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</si>
  <si>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</si>
  <si>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</si>
  <si>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</si>
  <si>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</si>
  <si>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</si>
  <si>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</si>
  <si>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</si>
  <si>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</si>
  <si>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</si>
  <si>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</si>
  <si>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</si>
  <si>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</si>
  <si>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</si>
  <si>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</si>
  <si>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</si>
  <si>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</si>
  <si>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</si>
  <si>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</si>
  <si>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</si>
  <si>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</si>
  <si>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</si>
  <si>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</si>
  <si>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</si>
  <si>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</si>
  <si>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</si>
  <si>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</si>
  <si>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</si>
  <si>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</si>
  <si>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</si>
  <si>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</si>
  <si>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</si>
  <si>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</si>
  <si>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</si>
  <si>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</si>
  <si>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</si>
  <si>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</si>
  <si>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</si>
  <si>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</si>
  <si>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</si>
  <si>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</si>
  <si>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</si>
  <si>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</si>
  <si>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</si>
  <si>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</si>
  <si>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</si>
  <si>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</si>
  <si>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</si>
  <si>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</si>
  <si>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</si>
  <si>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</si>
  <si>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</si>
  <si>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</si>
  <si>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</si>
  <si>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</si>
  <si>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</si>
  <si>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</si>
  <si>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</si>
  <si>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</si>
  <si>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</si>
  <si>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</si>
  <si>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</si>
  <si>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</si>
  <si>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</si>
  <si>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</si>
  <si>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</si>
  <si>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</si>
  <si>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</si>
  <si>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</si>
  <si>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</si>
  <si>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</si>
  <si>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</si>
  <si>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</si>
  <si>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</si>
  <si>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</si>
  <si>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</si>
  <si>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</si>
  <si>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</si>
  <si>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</si>
  <si>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</si>
  <si>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</si>
  <si>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</si>
  <si>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</si>
  <si>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</si>
  <si>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</si>
  <si>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</si>
  <si>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</si>
  <si>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</si>
  <si>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</si>
  <si>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</si>
  <si>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</si>
  <si>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</si>
  <si>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</si>
  <si>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</si>
  <si>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</si>
  <si>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</si>
  <si>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</si>
  <si>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</si>
  <si>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</si>
  <si>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</si>
  <si>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</si>
  <si>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</si>
  <si>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</si>
  <si>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</si>
  <si>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</si>
  <si>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</si>
  <si>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</si>
  <si>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</si>
  <si>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</si>
  <si>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</si>
  <si>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</si>
  <si>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</si>
  <si>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</si>
  <si>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</si>
  <si>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</si>
  <si>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</si>
  <si>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</si>
  <si>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</si>
  <si>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>TOLEDO</t>
  </si>
  <si>
    <t>Número_Questão</t>
  </si>
  <si>
    <t>Tipo_Questão</t>
  </si>
  <si>
    <t>Título_Questão</t>
  </si>
  <si>
    <t>TítuloGráfico</t>
  </si>
  <si>
    <t>Observações</t>
  </si>
  <si>
    <t>Você utilizou as unidades e/ou serviços do Campus Toledo em 2021?</t>
  </si>
  <si>
    <t>Eixo 5: questão 200</t>
  </si>
  <si>
    <t>Avalie os serviços prestados pelas unidades do Campus Toledo que você utilizou em 2021: [Direção: Secretaria, Administrativo, Orçamentário]</t>
  </si>
  <si>
    <t>Eixo 5: questão 201</t>
  </si>
  <si>
    <t>Avalie os serviços prestados pelas unidades do Campus Toledo que você utilizou em 2021: [Secretaria da Coordenação do Curso de Graduação]</t>
  </si>
  <si>
    <t>Eixo 5: questão 202</t>
  </si>
  <si>
    <t>Avalie os serviços prestados pelas unidades do Campus Toledo que você utilizou em 2021: [Laboratórios, Clínicas, Oficinas, Ateliês e/ou equivalentes]</t>
  </si>
  <si>
    <t>Eixo 5: questão 203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</si>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</sst>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2" fontId="6" fillId="0" borderId="4" xfId="0" applyNumberFormat="1" applyFont="1" applyBorder="1"/>
    <xf numFmtId="0" fontId="8" fillId="0" borderId="4" xfId="0" quotePrefix="1" applyFont="1" applyBorder="1"/>
    <xf numFmtId="3" fontId="6" fillId="0" borderId="0" xfId="0" applyNumberFormat="1" applyFont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0" fillId="19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4" fillId="0" borderId="0" xfId="2" applyFont="1" applyFill="1" applyBorder="1"/>
    <xf numFmtId="0" fontId="12" fillId="0" borderId="0" xfId="2" applyFont="1" applyFill="1" applyBorder="1"/>
    <xf numFmtId="0" fontId="19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10" fillId="20" borderId="11" xfId="0" applyFont="1" applyFill="1" applyBorder="1" applyAlignment="1">
      <alignment horizontal="left"/>
    </xf>
    <xf numFmtId="0" fontId="0" fillId="0" borderId="0" xfId="0"/>
    <xf numFmtId="0" fontId="12" fillId="0" borderId="0" xfId="5" applyFont="1"/>
    <xf numFmtId="0" fontId="7" fillId="19" borderId="0" xfId="5" applyFont="1" applyFill="1"/>
    <xf numFmtId="0" fontId="19" fillId="0" borderId="0" xfId="0" applyFont="1"/>
    <xf numFmtId="0" fontId="12" fillId="0" borderId="0" xfId="0" applyFont="1"/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21" fillId="13" borderId="11" xfId="5" applyFont="1" applyFill="1" applyBorder="1" applyAlignment="1">
      <alignment horizontal="left"/>
    </xf>
  </cellXfs>
  <cellStyles count="7">
    <cellStyle name="Normal" xfId="0" builtinId="0"/>
    <cellStyle name="Normal 2" xfId="1" xr:uid="{00000000-0005-0000-0000-000001000000}"/>
    <cellStyle name="Normal 2 2" xfId="4" xr:uid="{10D25CE4-5C53-468D-A8DA-220601FF2C57}"/>
    <cellStyle name="Normal 3" xfId="2" xr:uid="{00000000-0005-0000-0000-000002000000}"/>
    <cellStyle name="Normal 3 2" xfId="5" xr:uid="{90DA97FF-5A47-4153-BB67-D3B338F58374}"/>
    <cellStyle name="Porcentagem 2" xfId="3" xr:uid="{00000000-0005-0000-0000-000003000000}"/>
    <cellStyle name="Porcentagem 2 2" xfId="6" xr:uid="{92A5343F-3DC7-49B4-B255-4BD81FBCB0A6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2527744"/>
        <c:axId val="82529280"/>
      </c:barChart>
      <c:catAx>
        <c:axId val="8252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529280"/>
        <c:crosses val="autoZero"/>
        <c:auto val="1"/>
        <c:lblAlgn val="ctr"/>
        <c:lblOffset val="100"/>
        <c:noMultiLvlLbl val="0"/>
      </c:catAx>
      <c:valAx>
        <c:axId val="8252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52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D-4EAD-8C23-264CB25C5F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3D-4EAD-8C23-264CB25C5F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3D-4EAD-8C23-264CB25C5F5D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'Q5.202'!$C$16:$C$18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'Q5.202'!$D$16:$D$18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3D-4EAD-8C23-264CB25C5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6E-4DA9-9E57-497FA154B8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6E-4DA9-9E57-497FA154B8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6E-4DA9-9E57-497FA154B8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'Q5.202'!$C$22:$C$24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'Q5.202'!$D$22:$D$24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6E-4DA9-9E57-497FA154B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'Q5.202'!$B$28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'Q5.202'!$C$27:$E$27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'Q5.202'!$C$28:$E$28</c:f>
              <c:numCache>
                <c:formatCode>0.00</c:formatCode>
                <c:ptCount val="3"/>
                <c:pt idx="0">
                  <c:v>10</c:v>
                </c:pt>
                <c:pt idx="1">
                  <c:v>9.0285714285714285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D-46DB-B989-2AB5053C9D9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518400"/>
        <c:axId val="172533632"/>
      </c:lineChart>
      <c:catAx>
        <c:axId val="17251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533632"/>
        <c:crosses val="autoZero"/>
        <c:auto val="1"/>
        <c:lblAlgn val="ctr"/>
        <c:lblOffset val="100"/>
        <c:noMultiLvlLbl val="0"/>
      </c:catAx>
      <c:valAx>
        <c:axId val="17253363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5184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203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'Q5.203'!$C$5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'Q5.203'!$B$6:$B$11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'Q5.203'!$C$6:$C$11</c:f>
              <c:numCache>
                <c:formatCode>General</c:formatCode>
                <c:ptCount val="6"/>
                <c:pt idx="0">
                  <c:v>825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8-4E8F-8B11-E839277CF77A}"/>
            </c:ext>
          </c:extLst>
        </c:ser>
        <c:ser>
          <c:idx val="1"/>
          <c:order val="1"/>
          <c:tx>
            <c:strRef>
              <c:f>'Q5.203'!$D$5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'Q5.203'!$B$6:$B$11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'Q5.203'!$D$6:$D$11</c:f>
              <c:numCache>
                <c:formatCode>General</c:formatCode>
                <c:ptCount val="6"/>
                <c:pt idx="0">
                  <c:v>557</c:v>
                </c:pt>
                <c:pt idx="1">
                  <c:v>12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8-4E8F-8B11-E839277CF7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489152"/>
        <c:axId val="169490688"/>
      </c:barChart>
      <c:catAx>
        <c:axId val="1694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490688"/>
        <c:crosses val="autoZero"/>
        <c:auto val="1"/>
        <c:lblAlgn val="ctr"/>
        <c:lblOffset val="100"/>
        <c:noMultiLvlLbl val="0"/>
      </c:catAx>
      <c:valAx>
        <c:axId val="16949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48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47-4DE3-81ED-82E7834D81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47-4DE3-81ED-82E7834D81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47-4DE3-81ED-82E7834D8175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'Q5.203'!$C$16:$C$18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'Q5.203'!$D$16:$D$18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47-4DE3-81ED-82E7834D8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9-4568-82CE-A96D867805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29-4568-82CE-A96D867805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29-4568-82CE-A96D867805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'Q5.203'!$C$22:$C$24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'Q5.203'!$D$22:$D$24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29-4568-82CE-A96D8678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'Q5.203'!$B$28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'Q5.203'!$C$27:$E$27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'Q5.203'!$C$28:$E$28</c:f>
              <c:numCache>
                <c:formatCode>0.00</c:formatCode>
                <c:ptCount val="3"/>
                <c:pt idx="0">
                  <c:v>10</c:v>
                </c:pt>
                <c:pt idx="1">
                  <c:v>9.36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1-4704-8BD0-7DE4BB29A7D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9589376"/>
        <c:axId val="173168128"/>
      </c:lineChart>
      <c:catAx>
        <c:axId val="1695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168128"/>
        <c:crosses val="autoZero"/>
        <c:auto val="1"/>
        <c:lblAlgn val="ctr"/>
        <c:lblOffset val="100"/>
        <c:noMultiLvlLbl val="0"/>
      </c:catAx>
      <c:valAx>
        <c:axId val="17316812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58937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200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'Q5.200TL'!$C$5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'Q5.200TL'!$B$6:$B$8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'Q5.200TL'!$C$6:$C$8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2FC-863B-2888AB61107F}"/>
            </c:ext>
          </c:extLst>
        </c:ser>
        <c:ser>
          <c:idx val="1"/>
          <c:order val="1"/>
          <c:tx>
            <c:strRef>
              <c:f>'Q5.200TL'!$D$5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'Q5.200TL'!$B$6:$B$8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'Q5.200TL'!$D$6:$D$8</c:f>
              <c:numCache>
                <c:formatCode>General</c:formatCode>
                <c:ptCount val="3"/>
                <c:pt idx="0">
                  <c:v>0</c:v>
                </c:pt>
                <c:pt idx="1">
                  <c:v>22</c:v>
                </c:pt>
                <c:pt idx="2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2FC-863B-2888AB611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976384"/>
        <c:axId val="170977920"/>
      </c:barChart>
      <c:catAx>
        <c:axId val="17097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977920"/>
        <c:crosses val="autoZero"/>
        <c:auto val="1"/>
        <c:lblAlgn val="ctr"/>
        <c:lblOffset val="100"/>
        <c:noMultiLvlLbl val="0"/>
      </c:catAx>
      <c:valAx>
        <c:axId val="17097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97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201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'Q5.201'!$C$5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'Q5.201'!$B$6:$B$11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'Q5.201'!$C$6:$C$11</c:f>
              <c:numCache>
                <c:formatCode>General</c:formatCode>
                <c:ptCount val="6"/>
                <c:pt idx="0">
                  <c:v>810</c:v>
                </c:pt>
                <c:pt idx="1">
                  <c:v>14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FEB-AD28-C67EA4FCCC80}"/>
            </c:ext>
          </c:extLst>
        </c:ser>
        <c:ser>
          <c:idx val="1"/>
          <c:order val="1"/>
          <c:tx>
            <c:strRef>
              <c:f>'Q5.201'!$D$5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'Q5.201'!$B$6:$B$11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'Q5.201'!$D$6:$D$11</c:f>
              <c:numCache>
                <c:formatCode>General</c:formatCode>
                <c:ptCount val="6"/>
                <c:pt idx="0">
                  <c:v>552</c:v>
                </c:pt>
                <c:pt idx="1">
                  <c:v>17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D-4FEB-AD28-C67EA4FCC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603456"/>
        <c:axId val="171604992"/>
      </c:barChart>
      <c:catAx>
        <c:axId val="1716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604992"/>
        <c:crosses val="autoZero"/>
        <c:auto val="1"/>
        <c:lblAlgn val="ctr"/>
        <c:lblOffset val="100"/>
        <c:noMultiLvlLbl val="0"/>
      </c:catAx>
      <c:valAx>
        <c:axId val="17160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60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32-4C0D-87CB-4ECBDDF7E0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32-4C0D-87CB-4ECBDDF7E0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32-4C0D-87CB-4ECBDDF7E0CF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'Q5.201'!$C$16:$C$18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'Q5.201'!$D$16:$D$18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32-4C0D-87CB-4ECBDDF7E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1-43D4-B886-A21B3FD1E5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11-43D4-B886-A21B3FD1E5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11-43D4-B886-A21B3FD1E5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'Q5.201'!$C$22:$C$24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'Q5.201'!$D$22:$D$24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1-43D4-B886-A21B3FD1E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'Q5.201'!$B$28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'Q5.201'!$C$27:$E$27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'Q5.201'!$C$28:$E$28</c:f>
              <c:numCache>
                <c:formatCode>0.00</c:formatCode>
                <c:ptCount val="3"/>
                <c:pt idx="0">
                  <c:v>10</c:v>
                </c:pt>
                <c:pt idx="1">
                  <c:v>9.2888888888888896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F-4B06-A159-F30D06C07CF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1916672"/>
        <c:axId val="171936000"/>
      </c:lineChart>
      <c:catAx>
        <c:axId val="17191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936000"/>
        <c:crosses val="autoZero"/>
        <c:auto val="1"/>
        <c:lblAlgn val="ctr"/>
        <c:lblOffset val="100"/>
        <c:noMultiLvlLbl val="0"/>
      </c:catAx>
      <c:valAx>
        <c:axId val="17193600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91667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202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'Q5.202'!$C$5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'Q5.202'!$B$6:$B$11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'Q5.202'!$C$6:$C$11</c:f>
              <c:numCache>
                <c:formatCode>General</c:formatCode>
                <c:ptCount val="6"/>
                <c:pt idx="0">
                  <c:v>819</c:v>
                </c:pt>
                <c:pt idx="1">
                  <c:v>6</c:v>
                </c:pt>
                <c:pt idx="2">
                  <c:v>7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6-4FE7-B039-02B7A8390DB1}"/>
            </c:ext>
          </c:extLst>
        </c:ser>
        <c:ser>
          <c:idx val="1"/>
          <c:order val="1"/>
          <c:tx>
            <c:strRef>
              <c:f>'Q5.202'!$D$5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'Q5.202'!$B$6:$B$11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'Q5.202'!$D$6:$D$11</c:f>
              <c:numCache>
                <c:formatCode>General</c:formatCode>
                <c:ptCount val="6"/>
                <c:pt idx="0">
                  <c:v>553</c:v>
                </c:pt>
                <c:pt idx="1">
                  <c:v>14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6-4FE7-B039-02B7A8390D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795520"/>
        <c:axId val="164797056"/>
      </c:barChart>
      <c:catAx>
        <c:axId val="1647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797056"/>
        <c:crosses val="autoZero"/>
        <c:auto val="1"/>
        <c:lblAlgn val="ctr"/>
        <c:lblOffset val="100"/>
        <c:noMultiLvlLbl val="0"/>
      </c:catAx>
      <c:valAx>
        <c:axId val="16479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79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99806B-37FB-4CFA-B08D-5C7632496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7F48C7-7647-4788-A3A8-7677EF154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77D3384-380A-4043-83A6-FFAB590E1198}"/>
            </a:ext>
            <a:ext uri="{147F2762-F138-4A5C-976F-8EAC2B608ADB}">
              <a16:predDERef xmlns:a16="http://schemas.microsoft.com/office/drawing/2014/main" pred="{E17F48C7-7647-4788-A3A8-7677EF154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3C21D121-5A92-4F6C-9053-3CD091342690}"/>
            </a:ext>
            <a:ext uri="{147F2762-F138-4A5C-976F-8EAC2B608ADB}">
              <a16:predDERef xmlns:a16="http://schemas.microsoft.com/office/drawing/2014/main" pred="{C77D3384-380A-4043-83A6-FFAB590E1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8966BF0-1BBC-48B5-A2B3-A354EFCC668E}"/>
            </a:ext>
            <a:ext uri="{147F2762-F138-4A5C-976F-8EAC2B608ADB}">
              <a16:predDERef xmlns:a16="http://schemas.microsoft.com/office/drawing/2014/main" pred="{3C21D121-5A92-4F6C-9053-3CD091342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6955D7-A91A-457E-AD0E-DCFDE56EC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A17FE14-D89D-46E1-85F6-34EEAE681DBF}"/>
            </a:ext>
            <a:ext uri="{147F2762-F138-4A5C-976F-8EAC2B608ADB}">
              <a16:predDERef xmlns:a16="http://schemas.microsoft.com/office/drawing/2014/main" pred="{186955D7-A91A-457E-AD0E-DCFDE56EC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93FF16AB-FCB0-432D-8003-06ADC5D79C6B}"/>
            </a:ext>
            <a:ext uri="{147F2762-F138-4A5C-976F-8EAC2B608ADB}">
              <a16:predDERef xmlns:a16="http://schemas.microsoft.com/office/drawing/2014/main" pred="{FA17FE14-D89D-46E1-85F6-34EEAE681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B7C43F90-3BBB-46C2-A52D-DA20E2FF54C2}"/>
            </a:ext>
            <a:ext uri="{147F2762-F138-4A5C-976F-8EAC2B608ADB}">
              <a16:predDERef xmlns:a16="http://schemas.microsoft.com/office/drawing/2014/main" pred="{93FF16AB-FCB0-432D-8003-06ADC5D79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563DB2-E6A1-4431-A9F0-DB511638C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E623E40-9509-48AB-92CC-392F06CFA0E5}"/>
            </a:ext>
            <a:ext uri="{147F2762-F138-4A5C-976F-8EAC2B608ADB}">
              <a16:predDERef xmlns:a16="http://schemas.microsoft.com/office/drawing/2014/main" pred="{54563DB2-E6A1-4431-A9F0-DB511638C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1D67FACB-9329-4441-BA19-9B90750F9E86}"/>
            </a:ext>
            <a:ext uri="{147F2762-F138-4A5C-976F-8EAC2B608ADB}">
              <a16:predDERef xmlns:a16="http://schemas.microsoft.com/office/drawing/2014/main" pred="{DE623E40-9509-48AB-92CC-392F06CFA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9E1F881A-5717-4781-AB39-C552CEC1DE2A}"/>
            </a:ext>
            <a:ext uri="{147F2762-F138-4A5C-976F-8EAC2B608ADB}">
              <a16:predDERef xmlns:a16="http://schemas.microsoft.com/office/drawing/2014/main" pred="{1D67FACB-9329-4441-BA19-9B90750F9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5" totalsRowShown="0" headerRowDxfId="6" dataDxfId="5">
  <autoFilter ref="A1:E5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0"/>
  <sheetViews>
    <sheetView showGridLines="0" tabSelected="1" topLeftCell="A15" zoomScaleNormal="100" workbookViewId="0">
      <selection activeCell="E35" sqref="E35"/>
    </sheetView>
  </sheetViews>
  <sheetFormatPr defaultRowHeight="15" x14ac:dyDescent="0.2"/>
  <cols>
    <col min="1" max="1" width="9" style="43" customWidth="1"/>
    <col min="2" max="2" width="11.5703125" style="43" customWidth="1"/>
    <col min="3" max="3" width="19.28515625" style="43" customWidth="1"/>
    <col min="4" max="4" width="25.85546875" style="43" customWidth="1"/>
    <col min="5" max="6" width="26.42578125" style="43" customWidth="1"/>
    <col min="7" max="7" width="34" style="43" customWidth="1"/>
    <col min="8" max="8" width="11.85546875" style="43" customWidth="1"/>
    <col min="9" max="9" width="26.42578125" style="43" customWidth="1"/>
    <col min="10" max="10" width="37.140625" style="43" customWidth="1"/>
    <col min="11" max="16384" width="9.140625" style="43"/>
  </cols>
  <sheetData>
    <row r="1" spans="1:15" ht="15.75" x14ac:dyDescent="0.25">
      <c r="A1" s="42" t="s">
        <v>0</v>
      </c>
    </row>
    <row r="3" spans="1:15" ht="15.75" x14ac:dyDescent="0.25">
      <c r="A3" s="45" t="s">
        <v>1</v>
      </c>
      <c r="B3" s="45"/>
      <c r="C3" s="45"/>
      <c r="D3" s="45"/>
      <c r="E3" s="45"/>
      <c r="F3" s="45"/>
      <c r="H3" s="46"/>
      <c r="I3" s="46"/>
      <c r="J3" s="46"/>
      <c r="K3" s="47"/>
      <c r="L3" s="47"/>
      <c r="M3" s="47"/>
      <c r="N3" s="47"/>
      <c r="O3" s="47"/>
    </row>
    <row r="4" spans="1:15" x14ac:dyDescent="0.2">
      <c r="A4" s="48" t="s">
        <v>2</v>
      </c>
      <c r="B4" s="49" t="s">
        <v>3</v>
      </c>
      <c r="C4" s="65"/>
      <c r="H4" s="50"/>
      <c r="I4" s="50"/>
      <c r="J4" s="50"/>
      <c r="K4" s="50"/>
      <c r="L4" s="51"/>
      <c r="M4" s="51"/>
      <c r="N4" s="47"/>
      <c r="O4" s="47"/>
    </row>
    <row r="5" spans="1:15" x14ac:dyDescent="0.2">
      <c r="A5" s="48" t="s">
        <v>4</v>
      </c>
      <c r="B5" s="64" t="s">
        <v>5</v>
      </c>
      <c r="C5" s="44"/>
      <c r="H5" s="52"/>
      <c r="I5" s="47"/>
      <c r="J5" s="47"/>
      <c r="K5" s="47"/>
      <c r="L5" s="53"/>
      <c r="M5" s="53"/>
      <c r="N5" s="47"/>
      <c r="O5" s="47"/>
    </row>
    <row r="6" spans="1:15" x14ac:dyDescent="0.2">
      <c r="H6" s="47"/>
      <c r="I6" s="47"/>
      <c r="J6" s="47"/>
      <c r="K6" s="47"/>
      <c r="L6" s="47"/>
      <c r="M6" s="47"/>
      <c r="N6" s="47"/>
      <c r="O6" s="47"/>
    </row>
    <row r="7" spans="1:15" x14ac:dyDescent="0.2">
      <c r="A7" s="43" t="s">
        <v>6</v>
      </c>
    </row>
    <row r="8" spans="1:15" x14ac:dyDescent="0.2">
      <c r="A8" s="43" t="s">
        <v>7</v>
      </c>
    </row>
    <row r="10" spans="1:15" x14ac:dyDescent="0.2">
      <c r="A10" s="43" t="s">
        <v>8</v>
      </c>
    </row>
    <row r="11" spans="1:15" ht="100.5" customHeight="1" x14ac:dyDescent="0.2">
      <c r="A11" s="71" t="s">
        <v>9</v>
      </c>
      <c r="B11" s="71"/>
      <c r="C11" s="71"/>
      <c r="D11" s="71"/>
      <c r="E11" s="71"/>
      <c r="F11" s="71"/>
    </row>
    <row r="12" spans="1:15" x14ac:dyDescent="0.2">
      <c r="A12" s="66"/>
    </row>
    <row r="13" spans="1:15" x14ac:dyDescent="0.2">
      <c r="A13" s="46" t="s">
        <v>10</v>
      </c>
    </row>
    <row r="14" spans="1:15" s="57" customFormat="1" x14ac:dyDescent="0.2">
      <c r="A14" s="55"/>
      <c r="B14" s="73" t="s">
        <v>11</v>
      </c>
      <c r="C14" s="74"/>
      <c r="D14" s="55" t="s">
        <v>12</v>
      </c>
      <c r="E14" s="56" t="s">
        <v>13</v>
      </c>
      <c r="F14" s="51"/>
    </row>
    <row r="15" spans="1:15" x14ac:dyDescent="0.2">
      <c r="A15" s="63" t="s">
        <v>14</v>
      </c>
      <c r="B15" s="75">
        <f>COUNTIF(Resp5[Vínculo],A15)</f>
        <v>833</v>
      </c>
      <c r="C15" s="76"/>
      <c r="D15" s="58">
        <v>2019</v>
      </c>
      <c r="E15" s="59">
        <f>ROUND(B15/$D15*100,3)</f>
        <v>41.258000000000003</v>
      </c>
      <c r="F15" s="53"/>
    </row>
    <row r="16" spans="1:15" x14ac:dyDescent="0.2">
      <c r="A16" s="60" t="s">
        <v>15</v>
      </c>
      <c r="B16" s="75">
        <f>COUNTIF(Resp5[Vínculo],A16)</f>
        <v>574</v>
      </c>
      <c r="C16" s="76"/>
      <c r="D16" s="58">
        <v>2675</v>
      </c>
      <c r="E16" s="59">
        <f t="shared" ref="E16:E17" si="0">ROUND(B16/$D16*100,3)</f>
        <v>21.457999999999998</v>
      </c>
      <c r="F16" s="53"/>
    </row>
    <row r="17" spans="1:14" x14ac:dyDescent="0.2">
      <c r="A17" s="61" t="s">
        <v>16</v>
      </c>
      <c r="B17" s="75">
        <f>SUM(B15:B16)</f>
        <v>1407</v>
      </c>
      <c r="C17" s="76"/>
      <c r="D17" s="58">
        <f>SUM(D15:D16)</f>
        <v>4694</v>
      </c>
      <c r="E17" s="59">
        <f t="shared" si="0"/>
        <v>29.974</v>
      </c>
      <c r="F17" s="53"/>
    </row>
    <row r="18" spans="1:14" x14ac:dyDescent="0.2">
      <c r="A18" s="54">
        <v>1</v>
      </c>
      <c r="B18" s="72" t="s">
        <v>17</v>
      </c>
      <c r="C18" s="72"/>
      <c r="D18" s="72"/>
      <c r="E18" s="72"/>
      <c r="F18" s="72"/>
      <c r="G18" s="72"/>
      <c r="H18" s="72"/>
      <c r="I18" s="72"/>
      <c r="J18" s="72"/>
      <c r="K18" s="72"/>
      <c r="L18" s="72"/>
    </row>
    <row r="19" spans="1:14" x14ac:dyDescent="0.2">
      <c r="A19" s="54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</row>
    <row r="20" spans="1:14" x14ac:dyDescent="0.2">
      <c r="A20" s="54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</row>
    <row r="21" spans="1:14" x14ac:dyDescent="0.2">
      <c r="A21" s="43" t="s">
        <v>18</v>
      </c>
    </row>
    <row r="22" spans="1:14" ht="39.75" customHeight="1" x14ac:dyDescent="0.2">
      <c r="A22" s="71" t="s">
        <v>19</v>
      </c>
      <c r="B22" s="71"/>
      <c r="C22" s="71"/>
      <c r="D22" s="71"/>
      <c r="E22" s="71"/>
      <c r="F22" s="71"/>
      <c r="G22" s="71"/>
      <c r="H22" s="71"/>
      <c r="I22" s="71"/>
    </row>
    <row r="23" spans="1:14" ht="15.75" x14ac:dyDescent="0.25">
      <c r="A23" s="98" t="s">
        <v>20</v>
      </c>
      <c r="B23" s="98"/>
      <c r="C23" s="88"/>
      <c r="D23" s="91" t="s">
        <v>5</v>
      </c>
      <c r="E23" s="92"/>
      <c r="F23" s="77"/>
      <c r="G23" s="77"/>
      <c r="H23" s="77"/>
      <c r="I23" s="77"/>
      <c r="J23" s="77"/>
      <c r="K23" s="77"/>
      <c r="L23" s="77"/>
      <c r="M23" s="77"/>
      <c r="N23" s="77"/>
    </row>
    <row r="24" spans="1:14" ht="15.75" x14ac:dyDescent="0.25">
      <c r="A24" s="87" t="s">
        <v>21</v>
      </c>
      <c r="B24" s="87"/>
      <c r="C24" s="88"/>
      <c r="D24" s="93" t="s">
        <v>22</v>
      </c>
      <c r="E24" s="93" t="s">
        <v>316</v>
      </c>
      <c r="F24" s="78"/>
      <c r="G24" s="78"/>
      <c r="H24" s="78"/>
      <c r="I24" s="79"/>
      <c r="J24" s="78"/>
      <c r="K24" s="78"/>
      <c r="L24" s="77"/>
      <c r="M24" s="77"/>
      <c r="N24" s="77"/>
    </row>
    <row r="25" spans="1:14" ht="15.75" x14ac:dyDescent="0.25">
      <c r="A25" s="87" t="s">
        <v>23</v>
      </c>
      <c r="B25" s="87"/>
      <c r="C25" s="88"/>
      <c r="D25" s="94" t="s">
        <v>24</v>
      </c>
      <c r="E25" s="95" t="s">
        <v>25</v>
      </c>
      <c r="F25" s="79"/>
      <c r="G25" s="78"/>
      <c r="H25" s="78"/>
      <c r="I25" s="81"/>
      <c r="J25" s="81"/>
      <c r="K25" s="78"/>
      <c r="L25" s="77"/>
      <c r="M25" s="77"/>
      <c r="N25" s="77"/>
    </row>
    <row r="26" spans="1:14" ht="15.75" x14ac:dyDescent="0.25">
      <c r="A26" s="87" t="s">
        <v>317</v>
      </c>
      <c r="B26" s="87"/>
      <c r="C26" s="88"/>
      <c r="D26" s="96" t="s">
        <v>26</v>
      </c>
      <c r="E26" s="97" t="s">
        <v>318</v>
      </c>
      <c r="F26" s="81"/>
      <c r="G26" s="81"/>
      <c r="H26" s="78"/>
      <c r="I26" s="81"/>
      <c r="J26" s="81"/>
      <c r="K26" s="78"/>
      <c r="L26" s="77"/>
      <c r="M26" s="77"/>
      <c r="N26" s="77"/>
    </row>
    <row r="27" spans="1:14" ht="15.75" x14ac:dyDescent="0.25">
      <c r="A27" s="87" t="s">
        <v>27</v>
      </c>
      <c r="B27" s="87"/>
      <c r="C27" s="90"/>
      <c r="D27" s="90"/>
      <c r="E27" s="89"/>
      <c r="F27" s="81"/>
      <c r="G27" s="81"/>
      <c r="H27" s="78"/>
      <c r="I27" s="81"/>
      <c r="J27" s="81"/>
      <c r="K27" s="78"/>
      <c r="L27" s="77"/>
      <c r="M27" s="77"/>
      <c r="N27" s="77"/>
    </row>
    <row r="28" spans="1:14" ht="15.75" x14ac:dyDescent="0.25">
      <c r="A28" s="87" t="s">
        <v>28</v>
      </c>
      <c r="B28" s="87"/>
      <c r="C28" s="90"/>
      <c r="D28" s="90"/>
      <c r="E28" s="89"/>
      <c r="F28" s="81"/>
      <c r="G28" s="81"/>
      <c r="H28" s="78"/>
      <c r="I28" s="81"/>
      <c r="J28" s="81"/>
      <c r="K28" s="78"/>
      <c r="L28" s="77"/>
      <c r="M28" s="77"/>
      <c r="N28" s="77"/>
    </row>
    <row r="29" spans="1:14" ht="15.75" x14ac:dyDescent="0.25">
      <c r="A29" s="89"/>
      <c r="B29" s="89"/>
      <c r="C29" s="89"/>
      <c r="D29" s="89"/>
      <c r="E29" s="89"/>
      <c r="F29" s="83"/>
      <c r="G29" s="83"/>
      <c r="H29" s="78"/>
      <c r="I29" s="78"/>
      <c r="J29" s="78"/>
      <c r="K29" s="78"/>
      <c r="L29" s="77"/>
      <c r="M29" s="77"/>
      <c r="N29" s="77"/>
    </row>
    <row r="30" spans="1:14" ht="15.75" x14ac:dyDescent="0.25">
      <c r="A30" s="62"/>
      <c r="B30" s="82"/>
      <c r="C30" s="83"/>
      <c r="D30" s="83"/>
      <c r="E30" s="83"/>
      <c r="F30" s="83"/>
      <c r="G30" s="83"/>
      <c r="H30" s="78"/>
      <c r="I30" s="79"/>
      <c r="J30" s="78"/>
      <c r="K30" s="78"/>
      <c r="L30" s="77"/>
      <c r="M30" s="77"/>
      <c r="N30" s="77"/>
    </row>
    <row r="31" spans="1:14" ht="15.75" x14ac:dyDescent="0.25">
      <c r="A31" s="62"/>
      <c r="B31" s="82"/>
      <c r="C31" s="83"/>
      <c r="D31" s="83"/>
      <c r="E31" s="83"/>
      <c r="F31" s="83"/>
      <c r="G31" s="83"/>
      <c r="H31" s="78"/>
      <c r="I31" s="81"/>
      <c r="J31" s="81"/>
      <c r="K31" s="78"/>
      <c r="L31" s="77"/>
      <c r="M31" s="77"/>
      <c r="N31" s="77"/>
    </row>
    <row r="32" spans="1:14" ht="15.75" x14ac:dyDescent="0.25">
      <c r="A32" s="62"/>
      <c r="B32" s="78"/>
      <c r="C32" s="78"/>
      <c r="D32" s="78"/>
      <c r="E32" s="78"/>
      <c r="F32" s="78"/>
      <c r="G32" s="78"/>
      <c r="H32" s="78"/>
      <c r="I32" s="81"/>
      <c r="J32" s="81"/>
      <c r="K32" s="78"/>
      <c r="L32" s="77"/>
      <c r="M32" s="77"/>
      <c r="N32" s="77"/>
    </row>
    <row r="33" spans="1:14" ht="15.75" x14ac:dyDescent="0.25">
      <c r="A33" s="62"/>
      <c r="B33" s="78"/>
      <c r="C33" s="84"/>
      <c r="D33" s="84"/>
      <c r="E33" s="78"/>
      <c r="F33" s="78"/>
      <c r="G33" s="78"/>
      <c r="H33" s="78"/>
      <c r="I33" s="78"/>
      <c r="J33" s="78"/>
      <c r="K33" s="78"/>
      <c r="L33" s="77"/>
      <c r="M33" s="77"/>
      <c r="N33" s="77"/>
    </row>
    <row r="34" spans="1:14" ht="15.75" x14ac:dyDescent="0.25">
      <c r="A34" s="62"/>
      <c r="B34" s="78"/>
      <c r="C34" s="85"/>
      <c r="D34" s="86"/>
      <c r="E34" s="78"/>
      <c r="F34" s="78"/>
      <c r="G34" s="78"/>
      <c r="H34" s="78"/>
      <c r="I34" s="79"/>
      <c r="J34" s="78"/>
      <c r="K34" s="78"/>
      <c r="L34" s="77"/>
      <c r="M34" s="77"/>
      <c r="N34" s="77"/>
    </row>
    <row r="35" spans="1:14" ht="15.75" x14ac:dyDescent="0.25">
      <c r="A35" s="62"/>
      <c r="B35" s="78"/>
      <c r="C35" s="85"/>
      <c r="D35" s="86"/>
      <c r="E35" s="78"/>
      <c r="F35" s="78"/>
      <c r="G35" s="78"/>
      <c r="H35" s="78"/>
      <c r="I35" s="81"/>
      <c r="J35" s="81"/>
      <c r="K35" s="78"/>
      <c r="L35" s="77"/>
      <c r="M35" s="77"/>
      <c r="N35" s="77"/>
    </row>
    <row r="36" spans="1:14" ht="15.75" x14ac:dyDescent="0.25">
      <c r="A36" s="62"/>
      <c r="B36" s="78"/>
      <c r="C36" s="85"/>
      <c r="D36" s="80"/>
      <c r="E36" s="78"/>
      <c r="F36" s="78"/>
      <c r="G36" s="78"/>
      <c r="H36" s="78"/>
      <c r="I36" s="81"/>
      <c r="J36" s="81"/>
      <c r="K36" s="78"/>
      <c r="L36" s="77"/>
      <c r="M36" s="77"/>
      <c r="N36" s="77"/>
    </row>
    <row r="37" spans="1:14" ht="15.75" x14ac:dyDescent="0.25">
      <c r="A37" s="62"/>
      <c r="B37" s="78"/>
      <c r="C37" s="78"/>
      <c r="D37" s="78"/>
      <c r="E37" s="78"/>
      <c r="F37" s="78"/>
      <c r="G37" s="78"/>
      <c r="H37" s="78"/>
      <c r="I37" s="77"/>
      <c r="J37" s="77"/>
      <c r="K37" s="78"/>
      <c r="L37" s="77"/>
      <c r="M37" s="77"/>
      <c r="N37" s="77"/>
    </row>
    <row r="38" spans="1:14" ht="15.75" x14ac:dyDescent="0.25">
      <c r="A38" s="62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7"/>
      <c r="M38" s="77"/>
      <c r="N38" s="77"/>
    </row>
    <row r="39" spans="1:14" ht="15.75" x14ac:dyDescent="0.25">
      <c r="A39" s="62"/>
      <c r="B39" s="78"/>
      <c r="C39" s="78"/>
      <c r="D39" s="78"/>
      <c r="E39" s="78"/>
      <c r="F39" s="78"/>
      <c r="G39" s="78"/>
      <c r="H39" s="78"/>
      <c r="I39" s="79"/>
      <c r="J39" s="78"/>
      <c r="K39" s="78"/>
      <c r="L39" s="77"/>
      <c r="M39" s="77"/>
      <c r="N39" s="77"/>
    </row>
    <row r="40" spans="1:14" ht="15.75" x14ac:dyDescent="0.25">
      <c r="A40" s="62"/>
      <c r="B40" s="78"/>
      <c r="C40" s="78"/>
      <c r="D40" s="78"/>
      <c r="E40" s="78"/>
      <c r="F40" s="78"/>
      <c r="G40" s="78"/>
      <c r="H40" s="78"/>
      <c r="I40" s="81"/>
      <c r="J40" s="81"/>
      <c r="K40" s="78"/>
      <c r="L40" s="77"/>
      <c r="M40" s="77"/>
      <c r="N40" s="77"/>
    </row>
    <row r="41" spans="1:14" ht="15.75" x14ac:dyDescent="0.25">
      <c r="A41" s="62"/>
      <c r="B41" s="62"/>
      <c r="C41" s="62"/>
      <c r="D41" s="62"/>
      <c r="E41" s="62"/>
      <c r="F41" s="62"/>
      <c r="G41" s="62"/>
      <c r="H41" s="62"/>
      <c r="I41" s="69"/>
      <c r="J41" s="69"/>
      <c r="K41" s="62"/>
    </row>
    <row r="42" spans="1:14" ht="15.75" x14ac:dyDescent="0.25">
      <c r="A42" s="62"/>
      <c r="B42" s="62"/>
      <c r="C42" s="62"/>
      <c r="D42" s="62"/>
      <c r="E42" s="62"/>
      <c r="F42" s="62"/>
      <c r="G42" s="62"/>
      <c r="H42" s="62"/>
      <c r="I42" s="69"/>
      <c r="J42" s="69"/>
      <c r="K42" s="62"/>
    </row>
    <row r="43" spans="1:14" ht="15.75" x14ac:dyDescent="0.25">
      <c r="A43" s="62"/>
      <c r="B43" s="62"/>
      <c r="C43" s="62"/>
      <c r="D43" s="62"/>
      <c r="E43" s="62"/>
      <c r="F43" s="62"/>
      <c r="G43" s="62"/>
      <c r="H43" s="62"/>
      <c r="I43" s="69"/>
      <c r="J43" s="69"/>
      <c r="K43" s="62"/>
    </row>
    <row r="44" spans="1:14" ht="15.75" x14ac:dyDescent="0.25">
      <c r="A44" s="62"/>
      <c r="B44" s="62"/>
      <c r="C44" s="62"/>
      <c r="D44" s="62"/>
      <c r="E44" s="62"/>
      <c r="F44" s="62"/>
      <c r="G44" s="62"/>
      <c r="H44" s="62"/>
      <c r="I44" s="68"/>
      <c r="J44" s="68"/>
      <c r="K44" s="62"/>
    </row>
    <row r="45" spans="1:14" ht="15.75" x14ac:dyDescent="0.25">
      <c r="A45" s="62"/>
      <c r="B45" s="62"/>
      <c r="C45" s="62"/>
      <c r="D45" s="62"/>
      <c r="E45" s="62"/>
      <c r="F45" s="62"/>
      <c r="G45" s="62"/>
      <c r="H45" s="62"/>
      <c r="I45" s="67"/>
      <c r="J45" s="68"/>
      <c r="K45" s="62"/>
    </row>
    <row r="46" spans="1:14" ht="15.75" x14ac:dyDescent="0.25">
      <c r="A46" s="62"/>
      <c r="B46" s="62"/>
      <c r="C46" s="62"/>
      <c r="D46" s="62"/>
      <c r="E46" s="62"/>
      <c r="F46" s="62"/>
      <c r="G46" s="62"/>
      <c r="H46" s="62"/>
      <c r="I46" s="69"/>
      <c r="J46" s="69"/>
      <c r="K46" s="62"/>
    </row>
    <row r="47" spans="1:14" ht="15.75" x14ac:dyDescent="0.25">
      <c r="A47" s="62"/>
      <c r="B47" s="62"/>
      <c r="C47" s="62"/>
      <c r="D47" s="62"/>
      <c r="E47" s="62"/>
      <c r="F47" s="62"/>
      <c r="G47" s="62"/>
      <c r="H47" s="62"/>
      <c r="I47" s="69"/>
      <c r="J47" s="69"/>
      <c r="K47" s="62"/>
    </row>
    <row r="48" spans="1:14" ht="15.75" x14ac:dyDescent="0.25">
      <c r="A48" s="62"/>
      <c r="B48" s="62"/>
      <c r="C48" s="62"/>
      <c r="D48" s="62"/>
      <c r="E48" s="62"/>
      <c r="F48" s="62"/>
      <c r="G48" s="62"/>
      <c r="H48" s="62"/>
      <c r="I48" s="69"/>
      <c r="J48" s="69"/>
      <c r="K48" s="62"/>
    </row>
    <row r="49" spans="2:11" ht="15.75" x14ac:dyDescent="0.25">
      <c r="B49" s="62"/>
      <c r="C49" s="62"/>
      <c r="D49" s="62"/>
      <c r="E49" s="62"/>
      <c r="F49" s="62"/>
      <c r="G49" s="62"/>
      <c r="H49" s="62"/>
      <c r="I49" s="70"/>
      <c r="J49" s="70"/>
    </row>
    <row r="50" spans="2:11" ht="15.75" x14ac:dyDescent="0.25">
      <c r="I50" s="67"/>
      <c r="J50" s="70"/>
    </row>
    <row r="51" spans="2:11" ht="15.75" x14ac:dyDescent="0.25">
      <c r="I51" s="68"/>
      <c r="J51" s="68"/>
      <c r="K51" s="62"/>
    </row>
    <row r="52" spans="2:11" x14ac:dyDescent="0.2">
      <c r="I52" s="70"/>
      <c r="J52" s="70"/>
    </row>
    <row r="53" spans="2:11" x14ac:dyDescent="0.2">
      <c r="I53" s="70"/>
      <c r="J53" s="70"/>
    </row>
    <row r="54" spans="2:11" x14ac:dyDescent="0.2">
      <c r="I54" s="70"/>
      <c r="J54" s="70"/>
    </row>
    <row r="55" spans="2:11" x14ac:dyDescent="0.2">
      <c r="I55" s="70"/>
      <c r="J55" s="70"/>
    </row>
    <row r="56" spans="2:11" x14ac:dyDescent="0.2">
      <c r="I56" s="70"/>
      <c r="J56" s="70"/>
    </row>
    <row r="57" spans="2:11" x14ac:dyDescent="0.2">
      <c r="I57" s="70"/>
      <c r="J57" s="70"/>
    </row>
    <row r="58" spans="2:11" x14ac:dyDescent="0.2">
      <c r="I58" s="70"/>
      <c r="J58" s="70"/>
    </row>
    <row r="59" spans="2:11" x14ac:dyDescent="0.2">
      <c r="I59" s="70"/>
      <c r="J59" s="70"/>
    </row>
    <row r="60" spans="2:11" x14ac:dyDescent="0.2">
      <c r="I60" s="70"/>
      <c r="J60" s="70"/>
    </row>
    <row r="61" spans="2:11" x14ac:dyDescent="0.2">
      <c r="I61" s="70"/>
      <c r="J61" s="70"/>
    </row>
    <row r="62" spans="2:11" x14ac:dyDescent="0.2">
      <c r="I62" s="70"/>
      <c r="J62" s="70"/>
    </row>
    <row r="63" spans="2:11" x14ac:dyDescent="0.2">
      <c r="I63" s="70"/>
      <c r="J63" s="70"/>
    </row>
    <row r="64" spans="2:11" x14ac:dyDescent="0.2">
      <c r="I64" s="70"/>
      <c r="J64" s="70"/>
    </row>
    <row r="65" spans="9:10" x14ac:dyDescent="0.2">
      <c r="I65" s="70"/>
      <c r="J65" s="70"/>
    </row>
    <row r="66" spans="9:10" x14ac:dyDescent="0.2">
      <c r="I66" s="70"/>
      <c r="J66" s="70"/>
    </row>
    <row r="67" spans="9:10" x14ac:dyDescent="0.2">
      <c r="I67" s="70"/>
      <c r="J67" s="70"/>
    </row>
    <row r="68" spans="9:10" x14ac:dyDescent="0.2">
      <c r="I68" s="70"/>
      <c r="J68" s="70"/>
    </row>
    <row r="69" spans="9:10" x14ac:dyDescent="0.2">
      <c r="I69" s="70"/>
      <c r="J69" s="70"/>
    </row>
    <row r="70" spans="9:10" x14ac:dyDescent="0.2">
      <c r="I70" s="70"/>
      <c r="J70" s="70"/>
    </row>
    <row r="71" spans="9:10" x14ac:dyDescent="0.2">
      <c r="I71" s="70"/>
      <c r="J71" s="70"/>
    </row>
    <row r="72" spans="9:10" x14ac:dyDescent="0.2">
      <c r="I72" s="70"/>
      <c r="J72" s="70"/>
    </row>
    <row r="73" spans="9:10" x14ac:dyDescent="0.2">
      <c r="I73" s="70"/>
      <c r="J73" s="70"/>
    </row>
    <row r="74" spans="9:10" x14ac:dyDescent="0.2">
      <c r="I74" s="70"/>
      <c r="J74" s="70"/>
    </row>
    <row r="75" spans="9:10" x14ac:dyDescent="0.2">
      <c r="I75" s="70"/>
      <c r="J75" s="70"/>
    </row>
    <row r="76" spans="9:10" x14ac:dyDescent="0.2">
      <c r="I76" s="70"/>
      <c r="J76" s="70"/>
    </row>
    <row r="77" spans="9:10" x14ac:dyDescent="0.2">
      <c r="I77" s="70"/>
      <c r="J77" s="70"/>
    </row>
    <row r="78" spans="9:10" x14ac:dyDescent="0.2">
      <c r="I78" s="70"/>
      <c r="J78" s="70"/>
    </row>
    <row r="79" spans="9:10" x14ac:dyDescent="0.2">
      <c r="I79" s="70"/>
      <c r="J79" s="70"/>
    </row>
    <row r="80" spans="9:10" x14ac:dyDescent="0.2">
      <c r="I80" s="70"/>
      <c r="J80" s="70"/>
    </row>
    <row r="81" spans="9:10" x14ac:dyDescent="0.2">
      <c r="I81" s="70"/>
      <c r="J81" s="70"/>
    </row>
    <row r="82" spans="9:10" x14ac:dyDescent="0.2">
      <c r="I82" s="70"/>
      <c r="J82" s="70"/>
    </row>
    <row r="83" spans="9:10" x14ac:dyDescent="0.2">
      <c r="I83" s="70"/>
      <c r="J83" s="70"/>
    </row>
    <row r="84" spans="9:10" x14ac:dyDescent="0.2">
      <c r="I84" s="70"/>
      <c r="J84" s="70"/>
    </row>
    <row r="85" spans="9:10" x14ac:dyDescent="0.2">
      <c r="I85" s="70"/>
      <c r="J85" s="70"/>
    </row>
    <row r="86" spans="9:10" x14ac:dyDescent="0.2">
      <c r="I86" s="70"/>
      <c r="J86" s="70"/>
    </row>
    <row r="87" spans="9:10" x14ac:dyDescent="0.2">
      <c r="I87" s="70"/>
      <c r="J87" s="70"/>
    </row>
    <row r="88" spans="9:10" x14ac:dyDescent="0.2">
      <c r="I88" s="70"/>
      <c r="J88" s="70"/>
    </row>
    <row r="89" spans="9:10" x14ac:dyDescent="0.2">
      <c r="I89" s="70"/>
      <c r="J89" s="70"/>
    </row>
    <row r="90" spans="9:10" x14ac:dyDescent="0.2">
      <c r="I90" s="70"/>
      <c r="J90" s="70"/>
    </row>
    <row r="91" spans="9:10" x14ac:dyDescent="0.2">
      <c r="I91" s="70"/>
      <c r="J91" s="70"/>
    </row>
    <row r="92" spans="9:10" x14ac:dyDescent="0.2">
      <c r="I92" s="70"/>
      <c r="J92" s="70"/>
    </row>
    <row r="93" spans="9:10" x14ac:dyDescent="0.2">
      <c r="I93" s="70"/>
      <c r="J93" s="70"/>
    </row>
    <row r="94" spans="9:10" x14ac:dyDescent="0.2">
      <c r="I94" s="70"/>
      <c r="J94" s="70"/>
    </row>
    <row r="95" spans="9:10" x14ac:dyDescent="0.2">
      <c r="I95" s="70"/>
      <c r="J95" s="70"/>
    </row>
    <row r="96" spans="9:10" x14ac:dyDescent="0.2">
      <c r="I96" s="70"/>
      <c r="J96" s="70"/>
    </row>
    <row r="97" spans="9:10" x14ac:dyDescent="0.2">
      <c r="I97" s="70"/>
      <c r="J97" s="70"/>
    </row>
    <row r="98" spans="9:10" x14ac:dyDescent="0.2">
      <c r="I98" s="70"/>
      <c r="J98" s="70"/>
    </row>
    <row r="99" spans="9:10" x14ac:dyDescent="0.2">
      <c r="I99" s="70"/>
      <c r="J99" s="70"/>
    </row>
    <row r="100" spans="9:10" x14ac:dyDescent="0.2">
      <c r="I100" s="70"/>
      <c r="J100" s="70"/>
    </row>
  </sheetData>
  <mergeCells count="13">
    <mergeCell ref="A28:B28"/>
    <mergeCell ref="A23:B23"/>
    <mergeCell ref="A24:B24"/>
    <mergeCell ref="A25:B25"/>
    <mergeCell ref="A26:B26"/>
    <mergeCell ref="A27:B27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"/>
  <sheetViews>
    <sheetView zoomScaleNormal="100" workbookViewId="0">
      <selection activeCell="A6" sqref="A6:XFD6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283</v>
      </c>
      <c r="B1" s="3" t="s">
        <v>284</v>
      </c>
      <c r="C1" s="4" t="s">
        <v>285</v>
      </c>
      <c r="D1" s="4" t="s">
        <v>286</v>
      </c>
      <c r="E1" s="4" t="s">
        <v>287</v>
      </c>
    </row>
    <row r="2" spans="1:5" ht="15" x14ac:dyDescent="0.25">
      <c r="A2" t="s">
        <v>230</v>
      </c>
      <c r="B2" t="s">
        <v>2</v>
      </c>
      <c r="C2" s="1" t="s">
        <v>288</v>
      </c>
      <c r="D2" s="5" t="s">
        <v>289</v>
      </c>
      <c r="E2" s="6" t="s">
        <v>282</v>
      </c>
    </row>
    <row r="3" spans="1:5" ht="15" x14ac:dyDescent="0.25">
      <c r="A3" t="s">
        <v>231</v>
      </c>
      <c r="B3" s="1" t="s">
        <v>4</v>
      </c>
      <c r="C3" s="1" t="s">
        <v>290</v>
      </c>
      <c r="D3" s="5" t="s">
        <v>291</v>
      </c>
      <c r="E3" s="6"/>
    </row>
    <row r="4" spans="1:5" ht="15" x14ac:dyDescent="0.25">
      <c r="A4" t="s">
        <v>232</v>
      </c>
      <c r="B4" s="1" t="s">
        <v>4</v>
      </c>
      <c r="C4" s="1" t="s">
        <v>292</v>
      </c>
      <c r="D4" s="5" t="s">
        <v>293</v>
      </c>
      <c r="E4" s="6"/>
    </row>
    <row r="5" spans="1:5" ht="15" x14ac:dyDescent="0.25">
      <c r="A5" t="s">
        <v>233</v>
      </c>
      <c r="B5" s="1" t="s">
        <v>4</v>
      </c>
      <c r="C5" s="1" t="s">
        <v>294</v>
      </c>
      <c r="D5" s="5" t="s">
        <v>295</v>
      </c>
      <c r="E5" s="6"/>
    </row>
  </sheetData>
  <pageMargins left="0.7" right="0.7" top="0.75" bottom="0.75" header="0.3" footer="0.3"/>
  <ignoredErrors>
    <ignoredError sqref="A2:A5" numberStoredAsText="1"/>
  </ignoredErrors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1" customWidth="1"/>
    <col min="2" max="2" width="23" style="31" customWidth="1"/>
    <col min="3" max="6" width="9.140625" style="31" customWidth="1"/>
    <col min="7" max="7" width="9.140625" style="32" customWidth="1"/>
    <col min="8" max="10" width="9.140625" style="31" hidden="1" customWidth="1"/>
    <col min="11" max="20" width="9.140625" style="31" customWidth="1"/>
    <col min="21" max="16384" width="9.140625" style="31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296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297</v>
      </c>
      <c r="C5" s="9" t="s">
        <v>298</v>
      </c>
      <c r="D5" s="9" t="s">
        <v>299</v>
      </c>
      <c r="E5" s="9" t="s">
        <v>300</v>
      </c>
      <c r="F5" s="10" t="s">
        <v>301</v>
      </c>
      <c r="G5" s="10" t="s">
        <v>302</v>
      </c>
      <c r="H5" t="s">
        <v>280</v>
      </c>
      <c r="I5" t="s">
        <v>279</v>
      </c>
      <c r="J5" s="21" t="s">
        <v>281</v>
      </c>
      <c r="K5"/>
      <c r="L5"/>
      <c r="M5"/>
      <c r="N5"/>
      <c r="O5"/>
    </row>
    <row r="6" spans="1:15" x14ac:dyDescent="0.25">
      <c r="A6" t="s">
        <v>303</v>
      </c>
      <c r="B6" s="8" t="s">
        <v>304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3">
        <f t="shared" ref="F6:F12" si="0">ROUND($E6/1724*100,2)</f>
        <v>88.75</v>
      </c>
      <c r="G6" s="13"/>
      <c r="H6"/>
      <c r="I6"/>
      <c r="J6" s="28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3">
        <f t="shared" si="0"/>
        <v>4.7</v>
      </c>
      <c r="G7" s="13">
        <f>ROUND($E7/SUM($E$7:$E$11)*100,3)</f>
        <v>41.753</v>
      </c>
      <c r="H7">
        <f>E7*10</f>
        <v>810</v>
      </c>
      <c r="I7"/>
      <c r="J7" s="13">
        <f>E11/SUM(E7:E11)</f>
        <v>2.5773195876288658E-2</v>
      </c>
      <c r="K7"/>
      <c r="L7"/>
      <c r="M7" s="16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3">
        <f t="shared" si="0"/>
        <v>4.6399999999999997</v>
      </c>
      <c r="G8" s="13">
        <f>ROUND($E8/SUM($E$7:$E$11)*100,3)</f>
        <v>41.237000000000002</v>
      </c>
      <c r="H8">
        <f>E8*8</f>
        <v>640</v>
      </c>
      <c r="I8"/>
      <c r="J8" s="13">
        <f>(E11+E10)/SUM(E7:E11)</f>
        <v>5.6701030927835051E-2</v>
      </c>
      <c r="K8"/>
      <c r="L8"/>
      <c r="M8" s="16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3">
        <f t="shared" si="0"/>
        <v>1.28</v>
      </c>
      <c r="G9" s="13">
        <f>ROUND($E9/SUM($E$7:$E$11)*100,3)</f>
        <v>11.34</v>
      </c>
      <c r="H9">
        <f>E9*6</f>
        <v>132</v>
      </c>
      <c r="I9"/>
      <c r="J9" s="13">
        <f>(E11+E10+E9)/SUM(E7:E11)</f>
        <v>0.17010309278350516</v>
      </c>
      <c r="K9"/>
      <c r="L9"/>
      <c r="M9" s="16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3">
        <f t="shared" si="0"/>
        <v>0.35</v>
      </c>
      <c r="G10" s="13">
        <f>ROUND($E10/SUM($E$7:$E$11)*100,3)</f>
        <v>3.093</v>
      </c>
      <c r="H10">
        <f>E10*4</f>
        <v>24</v>
      </c>
      <c r="I10"/>
      <c r="J10" s="13">
        <f>(E11+E10+E9+E8)/SUM(E7:E11)</f>
        <v>0.58247422680412375</v>
      </c>
      <c r="K10"/>
      <c r="L10"/>
      <c r="M10" s="16"/>
      <c r="N10"/>
      <c r="O10"/>
    </row>
    <row r="11" spans="1:15" x14ac:dyDescent="0.25">
      <c r="A11"/>
      <c r="B11" s="15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3">
        <f t="shared" si="0"/>
        <v>0.28999999999999998</v>
      </c>
      <c r="G11" s="13">
        <f>ROUND($E11/SUM($E$7:$E$11)*100,3)</f>
        <v>2.577</v>
      </c>
      <c r="H11">
        <f>E11*2</f>
        <v>10</v>
      </c>
      <c r="I11"/>
      <c r="J11" s="13">
        <f>(E11+E10+E9+E8+E7)/SUM(E7:E11)</f>
        <v>1</v>
      </c>
      <c r="K11"/>
      <c r="L11"/>
      <c r="M11" s="16"/>
      <c r="N11"/>
      <c r="O11"/>
    </row>
    <row r="12" spans="1:15" x14ac:dyDescent="0.25">
      <c r="A12"/>
      <c r="B12" s="8" t="s">
        <v>305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4">
        <f t="shared" si="0"/>
        <v>100</v>
      </c>
      <c r="G12" s="14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L12"/>
      <c r="M12" s="16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29"/>
      <c r="K13"/>
      <c r="L13"/>
      <c r="M13" s="16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0" t="s">
        <v>306</v>
      </c>
      <c r="C15" s="20" t="s">
        <v>307</v>
      </c>
      <c r="D15" s="9" t="s">
        <v>298</v>
      </c>
      <c r="E15" s="10" t="s">
        <v>301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3" t="s">
        <v>308</v>
      </c>
      <c r="C16" s="33" t="s">
        <v>22</v>
      </c>
      <c r="D16" s="17">
        <f>SUM(C10:C11)</f>
        <v>4</v>
      </c>
      <c r="E16" s="18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4" t="s">
        <v>309</v>
      </c>
      <c r="C17" s="34" t="s">
        <v>310</v>
      </c>
      <c r="D17" s="17">
        <f>C6</f>
        <v>767</v>
      </c>
      <c r="E17" s="18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5" t="s">
        <v>311</v>
      </c>
      <c r="C18" s="35" t="s">
        <v>24</v>
      </c>
      <c r="D18" s="17">
        <f>C9</f>
        <v>6</v>
      </c>
      <c r="E18" s="18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6" t="s">
        <v>312</v>
      </c>
      <c r="C19" s="36" t="s">
        <v>26</v>
      </c>
      <c r="D19" s="25">
        <f>SUM(C7:C8)</f>
        <v>56</v>
      </c>
      <c r="E19" s="26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19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19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0" t="s">
        <v>306</v>
      </c>
      <c r="C22" s="20" t="s">
        <v>307</v>
      </c>
      <c r="D22" s="9" t="s">
        <v>299</v>
      </c>
      <c r="E22" s="10" t="s">
        <v>301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3" t="s">
        <v>308</v>
      </c>
      <c r="C23" s="33" t="s">
        <v>22</v>
      </c>
      <c r="D23" s="17">
        <f>SUM(D10:D11)</f>
        <v>7</v>
      </c>
      <c r="E23" s="18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7" t="s">
        <v>309</v>
      </c>
      <c r="C24" s="37" t="s">
        <v>310</v>
      </c>
      <c r="D24" s="17">
        <f>D6</f>
        <v>446</v>
      </c>
      <c r="E24" s="18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5" t="s">
        <v>311</v>
      </c>
      <c r="C25" s="35" t="s">
        <v>24</v>
      </c>
      <c r="D25" s="17">
        <f>D9</f>
        <v>16</v>
      </c>
      <c r="E25" s="18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6" t="s">
        <v>312</v>
      </c>
      <c r="C26" s="36" t="s">
        <v>26</v>
      </c>
      <c r="D26" s="25">
        <f>SUM(D7:D8)</f>
        <v>105</v>
      </c>
      <c r="E26" s="26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2" t="s">
        <v>29</v>
      </c>
      <c r="C29" s="23" t="s">
        <v>279</v>
      </c>
      <c r="D29" s="24" t="s">
        <v>280</v>
      </c>
      <c r="E29" s="24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313</v>
      </c>
      <c r="C30" s="30">
        <f>I12</f>
        <v>10</v>
      </c>
      <c r="D30" s="30">
        <f>H12</f>
        <v>8.3298969072164954</v>
      </c>
      <c r="E30" s="30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C7" sqref="C7:E8"/>
    </sheetView>
  </sheetViews>
  <sheetFormatPr defaultRowHeight="12.75" x14ac:dyDescent="0.2"/>
  <cols>
    <col min="1" max="1" width="5.85546875" customWidth="1"/>
  </cols>
  <sheetData>
    <row r="1" spans="1:7" ht="15" x14ac:dyDescent="0.25">
      <c r="A1" s="41">
        <v>5200</v>
      </c>
      <c r="B1" s="8"/>
    </row>
    <row r="2" spans="1:7" ht="15" x14ac:dyDescent="0.25">
      <c r="A2" s="8" t="str">
        <f>TEXT(A1,"0.000")</f>
        <v>5.200</v>
      </c>
      <c r="B2" s="8" t="str">
        <f>VLOOKUP(A$2, Eixo5[], 3, FALSE)</f>
        <v>Você utilizou as unidades e/ou serviços do Campus Toledo em 2021?</v>
      </c>
    </row>
    <row r="3" spans="1:7" ht="15" x14ac:dyDescent="0.25">
      <c r="A3" s="8" t="s">
        <v>296</v>
      </c>
      <c r="B3" s="8" t="str">
        <f>VLOOKUP(A$2, Eixo5[], 4, FALSE)</f>
        <v>Eixo 5: questão 200</v>
      </c>
    </row>
    <row r="5" spans="1:7" ht="15" x14ac:dyDescent="0.25">
      <c r="B5" s="9" t="s">
        <v>297</v>
      </c>
      <c r="C5" s="9" t="s">
        <v>314</v>
      </c>
      <c r="D5" s="9" t="s">
        <v>299</v>
      </c>
      <c r="E5" s="9" t="s">
        <v>300</v>
      </c>
      <c r="F5" s="10" t="s">
        <v>301</v>
      </c>
      <c r="G5" s="9" t="s">
        <v>302</v>
      </c>
    </row>
    <row r="6" spans="1:7" ht="15" x14ac:dyDescent="0.25">
      <c r="B6" s="8" t="s">
        <v>315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COUNTIFS(Resp5[Vínculo],"tecnico",Resp5[5.200],B7)</f>
        <v>25</v>
      </c>
      <c r="D7" s="11">
        <f>COUNTIFS(Resp5[Vínculo],"docente",Resp5[5.200],B7)</f>
        <v>22</v>
      </c>
      <c r="E7" s="8">
        <f>COUNTIF(Resp5[5.200],B7)</f>
        <v>47</v>
      </c>
      <c r="F7" s="11">
        <f t="shared" ref="F7:F8" si="0">ROUND($E7/E$9*100,2)</f>
        <v>3.34</v>
      </c>
      <c r="G7" s="11">
        <f>ROUND($E7/SUM($E$7:$E$8)*100,2)</f>
        <v>3.34</v>
      </c>
    </row>
    <row r="8" spans="1:7" ht="15" x14ac:dyDescent="0.25">
      <c r="B8" s="8" t="s">
        <v>235</v>
      </c>
      <c r="C8" s="11">
        <f>COUNTIFS(Resp5[Vínculo],"tecnico",Resp5[5.200],B8)</f>
        <v>808</v>
      </c>
      <c r="D8" s="11">
        <f>COUNTIFS(Resp5[Vínculo],"docente",Resp5[5.200],B8)</f>
        <v>552</v>
      </c>
      <c r="E8" s="8">
        <f>COUNTIF(Resp5[5.200],B8)</f>
        <v>1360</v>
      </c>
      <c r="F8" s="40">
        <f t="shared" si="0"/>
        <v>96.66</v>
      </c>
      <c r="G8" s="11">
        <f>ROUND($E8/SUM($E$7:$E$8)*100,2)</f>
        <v>96.66</v>
      </c>
    </row>
    <row r="9" spans="1:7" ht="15" x14ac:dyDescent="0.25">
      <c r="B9" s="12" t="s">
        <v>305</v>
      </c>
      <c r="C9" s="12">
        <f>SUM(C6:C8)</f>
        <v>833</v>
      </c>
      <c r="D9" s="12">
        <f>SUM(D6:D8)</f>
        <v>574</v>
      </c>
      <c r="E9" s="12">
        <f>SUM(C9:D9)</f>
        <v>1407</v>
      </c>
      <c r="F9" s="11">
        <f>ROUND($E9/E$9*100,2)</f>
        <v>100</v>
      </c>
      <c r="G9" s="12">
        <f>SUM(G7:G8)</f>
        <v>100</v>
      </c>
    </row>
    <row r="17" spans="3:3" x14ac:dyDescent="0.2">
      <c r="C17" s="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5201</v>
      </c>
      <c r="B1" s="8"/>
      <c r="C1" s="8"/>
    </row>
    <row r="2" spans="1:13" ht="15" x14ac:dyDescent="0.25">
      <c r="A2" s="8" t="str">
        <f>TEXT(A1,"0.000")</f>
        <v>5.201</v>
      </c>
      <c r="B2" s="8" t="str">
        <f>VLOOKUP(A$2, Eixo5[], 3, FALSE)</f>
        <v>Avalie os serviços prestados pelas unidades do Campus Toledo que você utilizou em 2021: [Direção: Secretaria, Administrativo, Orçamentário]</v>
      </c>
    </row>
    <row r="3" spans="1:13" ht="15" x14ac:dyDescent="0.25">
      <c r="A3" s="8" t="s">
        <v>296</v>
      </c>
      <c r="B3" s="8" t="str">
        <f>VLOOKUP(A$2, Eixo5[], 4, FALSE)</f>
        <v>Eixo 5: questão 201</v>
      </c>
    </row>
    <row r="5" spans="1:13" ht="15" x14ac:dyDescent="0.25">
      <c r="B5" s="9" t="s">
        <v>297</v>
      </c>
      <c r="C5" s="9" t="s">
        <v>298</v>
      </c>
      <c r="D5" s="9" t="s">
        <v>299</v>
      </c>
      <c r="E5" s="9" t="s">
        <v>300</v>
      </c>
      <c r="F5" s="10" t="s">
        <v>301</v>
      </c>
      <c r="G5" s="10" t="s">
        <v>302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303</v>
      </c>
      <c r="B6" s="8" t="s">
        <v>304</v>
      </c>
      <c r="C6" s="8">
        <f>COUNTIF(Resp5[],"tecnico")-SUM(C$7:C$11)</f>
        <v>810</v>
      </c>
      <c r="D6" s="8">
        <f>COUNTIF(Resp5[],"docente")-SUM(D$7:D$11)</f>
        <v>552</v>
      </c>
      <c r="E6" s="11">
        <f>E12-SUM(E7:E11)</f>
        <v>1362</v>
      </c>
      <c r="F6" s="13">
        <f>ROUND($E6/E$12*100,2)</f>
        <v>96.8</v>
      </c>
      <c r="G6" s="13"/>
      <c r="J6" s="28"/>
    </row>
    <row r="7" spans="1:13" ht="15" x14ac:dyDescent="0.25">
      <c r="B7" s="8" t="s">
        <v>244</v>
      </c>
      <c r="C7" s="11">
        <f>COUNTIFS(Resp5[Vínculo],"tecnico",Resp5[5.201],B7)</f>
        <v>14</v>
      </c>
      <c r="D7" s="11">
        <f>COUNTIFS(Resp5[Vínculo],"docente",Resp5[5.201],B7)</f>
        <v>17</v>
      </c>
      <c r="E7" s="11">
        <f>COUNTIF(Resp5[5.201],B7)</f>
        <v>31</v>
      </c>
      <c r="F7" s="13">
        <f t="shared" ref="F7:F11" si="0">ROUND($E7/E$12*100,2)</f>
        <v>2.2000000000000002</v>
      </c>
      <c r="G7" s="13">
        <f>ROUND($E7/SUM($E$7:$E$11)*100,3)</f>
        <v>68.888999999999996</v>
      </c>
      <c r="H7">
        <f>E7*10</f>
        <v>310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COUNTIFS(Resp5[Vínculo],"tecnico",Resp5[5.201],B8)</f>
        <v>8</v>
      </c>
      <c r="D8" s="11">
        <f>COUNTIFS(Resp5[Vínculo],"docente",Resp5[5.201],B8)</f>
        <v>5</v>
      </c>
      <c r="E8" s="11">
        <f>COUNTIF(Resp5[5.201],B8)</f>
        <v>13</v>
      </c>
      <c r="F8" s="13">
        <f t="shared" si="0"/>
        <v>0.92</v>
      </c>
      <c r="G8" s="13">
        <f>ROUND($E8/SUM($E$7:$E$11)*100,3)</f>
        <v>28.888999999999999</v>
      </c>
      <c r="H8">
        <f>E8*8</f>
        <v>104</v>
      </c>
      <c r="J8" s="13">
        <f>(E11+E10)/SUM(E7:E11)</f>
        <v>2.2222222222222223E-2</v>
      </c>
      <c r="M8" s="16"/>
    </row>
    <row r="9" spans="1:13" ht="15" x14ac:dyDescent="0.25">
      <c r="B9" s="8" t="s">
        <v>237</v>
      </c>
      <c r="C9" s="11">
        <f>COUNTIFS(Resp5[Vínculo],"tecnico",Resp5[5.201],B9)</f>
        <v>0</v>
      </c>
      <c r="D9" s="11">
        <f>COUNTIFS(Resp5[Vínculo],"docente",Resp5[5.201],B9)</f>
        <v>0</v>
      </c>
      <c r="E9" s="11">
        <f>COUNTIF(Resp5[5.201],B9)</f>
        <v>0</v>
      </c>
      <c r="F9" s="13">
        <f t="shared" si="0"/>
        <v>0</v>
      </c>
      <c r="G9" s="13">
        <f>ROUND($E9/SUM($E$7:$E$11)*100,3)</f>
        <v>0</v>
      </c>
      <c r="H9">
        <f>E9*6</f>
        <v>0</v>
      </c>
      <c r="J9" s="13">
        <f>(E11+E10+E9)/SUM(E7:E11)</f>
        <v>2.2222222222222223E-2</v>
      </c>
      <c r="M9" s="16"/>
    </row>
    <row r="10" spans="1:13" ht="15" x14ac:dyDescent="0.25">
      <c r="B10" s="8" t="s">
        <v>242</v>
      </c>
      <c r="C10" s="11">
        <f>COUNTIFS(Resp5[Vínculo],"tecnico",Resp5[5.201],B10)</f>
        <v>1</v>
      </c>
      <c r="D10" s="11">
        <f>COUNTIFS(Resp5[Vínculo],"docente",Resp5[5.201],B10)</f>
        <v>0</v>
      </c>
      <c r="E10" s="11">
        <f>COUNTIF(Resp5[5.201],B10)</f>
        <v>1</v>
      </c>
      <c r="F10" s="13">
        <f t="shared" si="0"/>
        <v>7.0000000000000007E-2</v>
      </c>
      <c r="G10" s="13">
        <f>ROUND($E10/SUM($E$7:$E$11)*100,3)</f>
        <v>2.222</v>
      </c>
      <c r="H10">
        <f>E10*4</f>
        <v>4</v>
      </c>
      <c r="J10" s="13">
        <f>(E11+E10+E9+E8)/SUM(E7:E11)</f>
        <v>0.31111111111111112</v>
      </c>
      <c r="M10" s="16"/>
    </row>
    <row r="11" spans="1:13" ht="15" x14ac:dyDescent="0.25">
      <c r="B11" s="15" t="s">
        <v>241</v>
      </c>
      <c r="C11" s="11">
        <f>COUNTIFS(Resp5[Vínculo],"tecnico",Resp5[5.201],B11)</f>
        <v>0</v>
      </c>
      <c r="D11" s="11">
        <f>COUNTIFS(Resp5[Vínculo],"docente",Resp5[5.201],B11)</f>
        <v>0</v>
      </c>
      <c r="E11" s="11">
        <f>COUNTIF(Resp5[5.201],B11)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305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99.999999999999986</v>
      </c>
      <c r="H12">
        <f>SUM(H7:H11)/SUM(E7:E11)</f>
        <v>9.2888888888888896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306</v>
      </c>
      <c r="C15" s="20" t="s">
        <v>307</v>
      </c>
      <c r="D15" s="9" t="s">
        <v>298</v>
      </c>
      <c r="E15" s="10" t="s">
        <v>301</v>
      </c>
    </row>
    <row r="16" spans="1:13" ht="15" x14ac:dyDescent="0.25">
      <c r="B16" s="33" t="s">
        <v>308</v>
      </c>
      <c r="C16" s="33" t="s">
        <v>22</v>
      </c>
      <c r="D16" s="17">
        <f>SUM(C10:C11)</f>
        <v>1</v>
      </c>
      <c r="E16" s="18">
        <f>ROUND(D16/SUM(D$16:D$18)*100,3)</f>
        <v>4.3479999999999999</v>
      </c>
    </row>
    <row r="17" spans="2:5" ht="15" x14ac:dyDescent="0.25">
      <c r="B17" s="35" t="s">
        <v>311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312</v>
      </c>
      <c r="C18" s="38" t="s">
        <v>26</v>
      </c>
      <c r="D18" s="25">
        <f>SUM(C7:C8)</f>
        <v>22</v>
      </c>
      <c r="E18" s="26">
        <f>ROUND(D18/SUM(D$16:D$18)*100,3)</f>
        <v>95.652000000000001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306</v>
      </c>
      <c r="C21" s="20" t="s">
        <v>307</v>
      </c>
      <c r="D21" s="9" t="s">
        <v>299</v>
      </c>
      <c r="E21" s="10" t="s">
        <v>301</v>
      </c>
    </row>
    <row r="22" spans="2:5" ht="15" x14ac:dyDescent="0.25">
      <c r="B22" s="33" t="s">
        <v>308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311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312</v>
      </c>
      <c r="C24" s="38" t="s">
        <v>26</v>
      </c>
      <c r="D24" s="25">
        <f>SUM(D7:D8)</f>
        <v>22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313</v>
      </c>
      <c r="C28" s="30">
        <f>I12</f>
        <v>10</v>
      </c>
      <c r="D28" s="30">
        <f>H12</f>
        <v>9.2888888888888896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5"/>
  <sheetViews>
    <sheetView workbookViewId="0">
      <selection activeCell="Y39" sqref="Y39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5202</v>
      </c>
      <c r="B1" s="8"/>
      <c r="C1" s="8"/>
    </row>
    <row r="2" spans="1:13" ht="15" x14ac:dyDescent="0.25">
      <c r="A2" s="8" t="str">
        <f>TEXT(A1,"0.000")</f>
        <v>5.202</v>
      </c>
      <c r="B2" s="8" t="str">
        <f>VLOOKUP(A$2, Eixo5[], 3, FALSE)</f>
        <v>Avalie os serviços prestados pelas unidades do Campus Toledo que você utilizou em 2021: [Secretaria da Coordenação do Curso de Graduação]</v>
      </c>
    </row>
    <row r="3" spans="1:13" ht="15" x14ac:dyDescent="0.25">
      <c r="A3" s="8" t="s">
        <v>296</v>
      </c>
      <c r="B3" s="8" t="str">
        <f>VLOOKUP(A$2, Eixo5[], 4, FALSE)</f>
        <v>Eixo 5: questão 202</v>
      </c>
    </row>
    <row r="5" spans="1:13" ht="15" x14ac:dyDescent="0.25">
      <c r="B5" s="9" t="s">
        <v>297</v>
      </c>
      <c r="C5" s="9" t="s">
        <v>298</v>
      </c>
      <c r="D5" s="9" t="s">
        <v>299</v>
      </c>
      <c r="E5" s="9" t="s">
        <v>300</v>
      </c>
      <c r="F5" s="10" t="s">
        <v>301</v>
      </c>
      <c r="G5" s="10" t="s">
        <v>302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303</v>
      </c>
      <c r="B6" s="8" t="s">
        <v>304</v>
      </c>
      <c r="C6" s="8">
        <f>COUNTIF(Resp5[],"tecnico")-SUM(C$7:C$11)</f>
        <v>819</v>
      </c>
      <c r="D6" s="8">
        <f>COUNTIF(Resp5[],"docente")-SUM(D$7:D$11)</f>
        <v>553</v>
      </c>
      <c r="E6" s="11">
        <f>E12-SUM(E7:E11)</f>
        <v>1372</v>
      </c>
      <c r="F6" s="13">
        <f>ROUND($E6/E$12*100,2)</f>
        <v>97.51</v>
      </c>
      <c r="G6" s="13"/>
      <c r="J6" s="28"/>
    </row>
    <row r="7" spans="1:13" ht="15" x14ac:dyDescent="0.25">
      <c r="B7" s="8" t="s">
        <v>244</v>
      </c>
      <c r="C7" s="11">
        <f>COUNTIFS(Resp5[Vínculo],"tecnico",Resp5[5.202],B7)</f>
        <v>6</v>
      </c>
      <c r="D7" s="11">
        <f>COUNTIFS(Resp5[Vínculo],"docente",Resp5[5.202],B7)</f>
        <v>14</v>
      </c>
      <c r="E7" s="11">
        <f>COUNTIF(Resp5[5.202],B7)</f>
        <v>20</v>
      </c>
      <c r="F7" s="13">
        <f t="shared" ref="F7:F11" si="0">ROUND($E7/E$12*100,2)</f>
        <v>1.42</v>
      </c>
      <c r="G7" s="13">
        <f>ROUND($E7/SUM($E$7:$E$11)*100,3)</f>
        <v>57.143000000000001</v>
      </c>
      <c r="H7">
        <f>E7*10</f>
        <v>200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COUNTIFS(Resp5[Vínculo],"tecnico",Resp5[5.202],B8)</f>
        <v>7</v>
      </c>
      <c r="D8" s="11">
        <f>COUNTIFS(Resp5[Vínculo],"docente",Resp5[5.202],B8)</f>
        <v>7</v>
      </c>
      <c r="E8" s="11">
        <f>COUNTIF(Resp5[5.202],B8)</f>
        <v>14</v>
      </c>
      <c r="F8" s="13">
        <f t="shared" si="0"/>
        <v>1</v>
      </c>
      <c r="G8" s="13">
        <f>ROUND($E8/SUM($E$7:$E$11)*100,3)</f>
        <v>40</v>
      </c>
      <c r="H8">
        <f>E8*8</f>
        <v>112</v>
      </c>
      <c r="J8" s="13">
        <f>(E11+E10)/SUM(E7:E11)</f>
        <v>2.8571428571428571E-2</v>
      </c>
      <c r="M8" s="16"/>
    </row>
    <row r="9" spans="1:13" ht="15" x14ac:dyDescent="0.25">
      <c r="B9" s="8" t="s">
        <v>237</v>
      </c>
      <c r="C9" s="11">
        <f>COUNTIFS(Resp5[Vínculo],"tecnico",Resp5[5.202],B9)</f>
        <v>0</v>
      </c>
      <c r="D9" s="11">
        <f>COUNTIFS(Resp5[Vínculo],"docente",Resp5[5.202],B9)</f>
        <v>0</v>
      </c>
      <c r="E9" s="11">
        <f>COUNTIF(Resp5[5.202],B9)</f>
        <v>0</v>
      </c>
      <c r="F9" s="13">
        <f t="shared" si="0"/>
        <v>0</v>
      </c>
      <c r="G9" s="13">
        <f>ROUND($E9/SUM($E$7:$E$11)*100,3)</f>
        <v>0</v>
      </c>
      <c r="H9">
        <f>E9*6</f>
        <v>0</v>
      </c>
      <c r="J9" s="13">
        <f>(E11+E10+E9)/SUM(E7:E11)</f>
        <v>2.8571428571428571E-2</v>
      </c>
      <c r="M9" s="16"/>
    </row>
    <row r="10" spans="1:13" ht="15" x14ac:dyDescent="0.25">
      <c r="B10" s="8" t="s">
        <v>242</v>
      </c>
      <c r="C10" s="11">
        <f>COUNTIFS(Resp5[Vínculo],"tecnico",Resp5[5.202],B10)</f>
        <v>1</v>
      </c>
      <c r="D10" s="11">
        <f>COUNTIFS(Resp5[Vínculo],"docente",Resp5[5.202],B10)</f>
        <v>0</v>
      </c>
      <c r="E10" s="11">
        <f>COUNTIF(Resp5[5.202],B10)</f>
        <v>1</v>
      </c>
      <c r="F10" s="13">
        <f t="shared" si="0"/>
        <v>7.0000000000000007E-2</v>
      </c>
      <c r="G10" s="13">
        <f>ROUND($E10/SUM($E$7:$E$11)*100,3)</f>
        <v>2.8570000000000002</v>
      </c>
      <c r="H10">
        <f>E10*4</f>
        <v>4</v>
      </c>
      <c r="J10" s="13">
        <f>(E11+E10+E9+E8)/SUM(E7:E11)</f>
        <v>0.42857142857142855</v>
      </c>
      <c r="M10" s="16"/>
    </row>
    <row r="11" spans="1:13" ht="15" x14ac:dyDescent="0.25">
      <c r="B11" s="15" t="s">
        <v>241</v>
      </c>
      <c r="C11" s="11">
        <f>COUNTIFS(Resp5[Vínculo],"tecnico",Resp5[5.202],B11)</f>
        <v>0</v>
      </c>
      <c r="D11" s="11">
        <f>COUNTIFS(Resp5[Vínculo],"docente",Resp5[5.202],B11)</f>
        <v>0</v>
      </c>
      <c r="E11" s="11">
        <f>COUNTIF(Resp5[5.202],B11)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305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9.0285714285714285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306</v>
      </c>
      <c r="C15" s="20" t="s">
        <v>307</v>
      </c>
      <c r="D15" s="9" t="s">
        <v>298</v>
      </c>
      <c r="E15" s="10" t="s">
        <v>301</v>
      </c>
    </row>
    <row r="16" spans="1:13" ht="15" x14ac:dyDescent="0.25">
      <c r="B16" s="33" t="s">
        <v>308</v>
      </c>
      <c r="C16" s="33" t="s">
        <v>22</v>
      </c>
      <c r="D16" s="17">
        <f>SUM(C10:C11)</f>
        <v>1</v>
      </c>
      <c r="E16" s="18">
        <f>ROUND(D16/SUM(D$16:D$18)*100,3)</f>
        <v>7.1429999999999998</v>
      </c>
    </row>
    <row r="17" spans="2:5" ht="15" x14ac:dyDescent="0.25">
      <c r="B17" s="35" t="s">
        <v>311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312</v>
      </c>
      <c r="C18" s="38" t="s">
        <v>26</v>
      </c>
      <c r="D18" s="25">
        <f>SUM(C7:C8)</f>
        <v>13</v>
      </c>
      <c r="E18" s="26">
        <f>ROUND(D18/SUM(D$16:D$18)*100,3)</f>
        <v>92.856999999999999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306</v>
      </c>
      <c r="C21" s="20" t="s">
        <v>307</v>
      </c>
      <c r="D21" s="9" t="s">
        <v>299</v>
      </c>
      <c r="E21" s="10" t="s">
        <v>301</v>
      </c>
    </row>
    <row r="22" spans="2:5" ht="15" x14ac:dyDescent="0.25">
      <c r="B22" s="33" t="s">
        <v>308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311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312</v>
      </c>
      <c r="C24" s="38" t="s">
        <v>26</v>
      </c>
      <c r="D24" s="25">
        <f>SUM(D7:D8)</f>
        <v>21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313</v>
      </c>
      <c r="C28" s="30">
        <f>I12</f>
        <v>10</v>
      </c>
      <c r="D28" s="30">
        <f>H12</f>
        <v>9.0285714285714285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5203</v>
      </c>
      <c r="B1" s="8"/>
      <c r="C1" s="8"/>
    </row>
    <row r="2" spans="1:13" ht="15" x14ac:dyDescent="0.25">
      <c r="A2" s="8" t="str">
        <f>TEXT(A1,"0.000")</f>
        <v>5.203</v>
      </c>
      <c r="B2" s="8" t="str">
        <f>VLOOKUP(A$2, Eixo5[], 3, FALSE)</f>
        <v>Avalie os serviços prestados pelas unidades do Campus Toledo que você utilizou em 2021: [Laboratórios, Clínicas, Oficinas, Ateliês e/ou equivalentes]</v>
      </c>
    </row>
    <row r="3" spans="1:13" ht="15" x14ac:dyDescent="0.25">
      <c r="A3" s="8" t="s">
        <v>296</v>
      </c>
      <c r="B3" s="8" t="str">
        <f>VLOOKUP(A$2, Eixo5[], 4, FALSE)</f>
        <v>Eixo 5: questão 203</v>
      </c>
    </row>
    <row r="5" spans="1:13" ht="15" x14ac:dyDescent="0.25">
      <c r="B5" s="9" t="s">
        <v>297</v>
      </c>
      <c r="C5" s="9" t="s">
        <v>298</v>
      </c>
      <c r="D5" s="9" t="s">
        <v>299</v>
      </c>
      <c r="E5" s="9" t="s">
        <v>300</v>
      </c>
      <c r="F5" s="10" t="s">
        <v>301</v>
      </c>
      <c r="G5" s="10" t="s">
        <v>302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303</v>
      </c>
      <c r="B6" s="8" t="s">
        <v>304</v>
      </c>
      <c r="C6" s="8">
        <f>COUNTIF(Resp5[],"tecnico")-SUM(C$7:C$11)</f>
        <v>825</v>
      </c>
      <c r="D6" s="8">
        <f>COUNTIF(Resp5[],"docente")-SUM(D$7:D$11)</f>
        <v>557</v>
      </c>
      <c r="E6" s="11">
        <f>E12-SUM(E7:E11)</f>
        <v>1382</v>
      </c>
      <c r="F6" s="13">
        <f>ROUND($E6/E$12*100,2)</f>
        <v>98.22</v>
      </c>
      <c r="G6" s="13"/>
      <c r="J6" s="28"/>
    </row>
    <row r="7" spans="1:13" ht="15" x14ac:dyDescent="0.25">
      <c r="B7" s="8" t="s">
        <v>244</v>
      </c>
      <c r="C7" s="11">
        <f>COUNTIFS(Resp5[Vínculo],"tecnico",Resp5[5.203],B7)</f>
        <v>5</v>
      </c>
      <c r="D7" s="11">
        <f>COUNTIFS(Resp5[Vínculo],"docente",Resp5[5.203],B7)</f>
        <v>12</v>
      </c>
      <c r="E7" s="11">
        <f>COUNTIF(Resp5[5.203],B7)</f>
        <v>17</v>
      </c>
      <c r="F7" s="13">
        <f t="shared" ref="F7:F11" si="0">ROUND($E7/E$12*100,2)</f>
        <v>1.21</v>
      </c>
      <c r="G7" s="13">
        <f>ROUND($E7/SUM($E$7:$E$11)*100,3)</f>
        <v>68</v>
      </c>
      <c r="H7">
        <f>E7*10</f>
        <v>170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COUNTIFS(Resp5[Vínculo],"tecnico",Resp5[5.203],B8)</f>
        <v>3</v>
      </c>
      <c r="D8" s="11">
        <f>COUNTIFS(Resp5[Vínculo],"docente",Resp5[5.203],B8)</f>
        <v>5</v>
      </c>
      <c r="E8" s="11">
        <f>COUNTIF(Resp5[5.203],B8)</f>
        <v>8</v>
      </c>
      <c r="F8" s="13">
        <f t="shared" si="0"/>
        <v>0.56999999999999995</v>
      </c>
      <c r="G8" s="13">
        <f>ROUND($E8/SUM($E$7:$E$11)*100,3)</f>
        <v>32</v>
      </c>
      <c r="H8">
        <f>E8*8</f>
        <v>64</v>
      </c>
      <c r="J8" s="13">
        <f>(E11+E10)/SUM(E7:E11)</f>
        <v>0</v>
      </c>
      <c r="M8" s="16"/>
    </row>
    <row r="9" spans="1:13" ht="15" x14ac:dyDescent="0.25">
      <c r="B9" s="8" t="s">
        <v>237</v>
      </c>
      <c r="C9" s="11">
        <f>COUNTIFS(Resp5[Vínculo],"tecnico",Resp5[5.203],B9)</f>
        <v>0</v>
      </c>
      <c r="D9" s="11">
        <f>COUNTIFS(Resp5[Vínculo],"docente",Resp5[5.203],B9)</f>
        <v>0</v>
      </c>
      <c r="E9" s="11">
        <f>COUNTIF(Resp5[5.203],B9)</f>
        <v>0</v>
      </c>
      <c r="F9" s="13">
        <f t="shared" si="0"/>
        <v>0</v>
      </c>
      <c r="G9" s="13">
        <f>ROUND($E9/SUM($E$7:$E$11)*100,3)</f>
        <v>0</v>
      </c>
      <c r="H9">
        <f>E9*6</f>
        <v>0</v>
      </c>
      <c r="J9" s="13">
        <f>(E11+E10+E9)/SUM(E7:E11)</f>
        <v>0</v>
      </c>
      <c r="M9" s="16"/>
    </row>
    <row r="10" spans="1:13" ht="15" x14ac:dyDescent="0.25">
      <c r="B10" s="8" t="s">
        <v>242</v>
      </c>
      <c r="C10" s="11">
        <f>COUNTIFS(Resp5[Vínculo],"tecnico",Resp5[5.203],B10)</f>
        <v>0</v>
      </c>
      <c r="D10" s="11">
        <f>COUNTIFS(Resp5[Vínculo],"docente",Resp5[5.203],B10)</f>
        <v>0</v>
      </c>
      <c r="E10" s="11">
        <f>COUNTIF(Resp5[5.203],B10)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0.32</v>
      </c>
      <c r="M10" s="16"/>
    </row>
    <row r="11" spans="1:13" ht="15" x14ac:dyDescent="0.25">
      <c r="B11" s="15" t="s">
        <v>241</v>
      </c>
      <c r="C11" s="11">
        <f>COUNTIFS(Resp5[Vínculo],"tecnico",Resp5[5.203],B11)</f>
        <v>0</v>
      </c>
      <c r="D11" s="11">
        <f>COUNTIFS(Resp5[Vínculo],"docente",Resp5[5.203],B11)</f>
        <v>0</v>
      </c>
      <c r="E11" s="11">
        <f>COUNTIF(Resp5[5.203],B11)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305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9.36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306</v>
      </c>
      <c r="C15" s="20" t="s">
        <v>307</v>
      </c>
      <c r="D15" s="9" t="s">
        <v>298</v>
      </c>
      <c r="E15" s="10" t="s">
        <v>301</v>
      </c>
    </row>
    <row r="16" spans="1:13" ht="15" x14ac:dyDescent="0.25">
      <c r="B16" s="33" t="s">
        <v>308</v>
      </c>
      <c r="C16" s="33" t="s">
        <v>22</v>
      </c>
      <c r="D16" s="17">
        <f>SUM(C10:C11)</f>
        <v>0</v>
      </c>
      <c r="E16" s="18">
        <f>ROUND(D16/SUM(D$16:D$18)*100,3)</f>
        <v>0</v>
      </c>
    </row>
    <row r="17" spans="2:5" ht="15" x14ac:dyDescent="0.25">
      <c r="B17" s="35" t="s">
        <v>311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312</v>
      </c>
      <c r="C18" s="38" t="s">
        <v>26</v>
      </c>
      <c r="D18" s="25">
        <f>SUM(C7:C8)</f>
        <v>8</v>
      </c>
      <c r="E18" s="26">
        <f>ROUND(D18/SUM(D$16:D$18)*100,3)</f>
        <v>100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306</v>
      </c>
      <c r="C21" s="20" t="s">
        <v>307</v>
      </c>
      <c r="D21" s="9" t="s">
        <v>299</v>
      </c>
      <c r="E21" s="10" t="s">
        <v>301</v>
      </c>
    </row>
    <row r="22" spans="2:5" ht="15" x14ac:dyDescent="0.25">
      <c r="B22" s="33" t="s">
        <v>308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311</v>
      </c>
      <c r="C23" s="35" t="s">
        <v>24</v>
      </c>
      <c r="D23" s="17">
        <f>D9</f>
        <v>0</v>
      </c>
      <c r="E23" s="18">
        <f>ROUND(D23/SUM(D$22:D$24)*100,3)</f>
        <v>0</v>
      </c>
    </row>
    <row r="24" spans="2:5" ht="15" x14ac:dyDescent="0.25">
      <c r="B24" s="38" t="s">
        <v>312</v>
      </c>
      <c r="C24" s="38" t="s">
        <v>26</v>
      </c>
      <c r="D24" s="25">
        <f>SUM(D7:D8)</f>
        <v>17</v>
      </c>
      <c r="E24" s="26">
        <f>ROUND(D24/SUM(D$22:D$24)*100,3)</f>
        <v>100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313</v>
      </c>
      <c r="C28" s="30">
        <f>I12</f>
        <v>10</v>
      </c>
      <c r="D28" s="30">
        <f>H12</f>
        <v>9.36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OrientaçõesInformações</vt:lpstr>
      <vt:lpstr>Eixo 5</vt:lpstr>
      <vt:lpstr>TituloQuestões</vt:lpstr>
      <vt:lpstr>Q2.06</vt:lpstr>
      <vt:lpstr>Q5.200TL</vt:lpstr>
      <vt:lpstr>Q5.201</vt:lpstr>
      <vt:lpstr>Q5.202</vt:lpstr>
      <vt:lpstr>Q5.203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2022-01-14T17:00:02Z</dcterms:modified>
  <cp:category/>
  <cp:contentStatus/>
</cp:coreProperties>
</file>