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SUINFRA/"/>
    </mc:Choice>
  </mc:AlternateContent>
  <xr:revisionPtr revIDLastSave="4" documentId="11_06EEB05328194382B2D79887A726FCA6C9375686" xr6:coauthVersionLast="47" xr6:coauthVersionMax="47" xr10:uidLastSave="{5F06A757-BCE9-476C-9417-CA421250AAC2}"/>
  <bookViews>
    <workbookView xWindow="24195" yWindow="1125" windowWidth="24720" windowHeight="1396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76SUINFRA" sheetId="84" r:id="rId5"/>
    <sheet name="Q5.77" sheetId="85" r:id="rId6"/>
    <sheet name="Q5.78" sheetId="86" r:id="rId7"/>
    <sheet name="Q5.79" sheetId="87" r:id="rId8"/>
    <sheet name="Q5.80" sheetId="88" r:id="rId9"/>
    <sheet name="Q5.81" sheetId="89" r:id="rId10"/>
    <sheet name="Q5.82" sheetId="90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90" l="1"/>
  <c r="D8" i="90"/>
  <c r="E8" i="90"/>
  <c r="C9" i="90"/>
  <c r="D17" i="90" s="1"/>
  <c r="D9" i="90"/>
  <c r="D23" i="90" s="1"/>
  <c r="E9" i="90"/>
  <c r="C10" i="90"/>
  <c r="D10" i="90"/>
  <c r="E10" i="90"/>
  <c r="C11" i="90"/>
  <c r="D11" i="90"/>
  <c r="E11" i="90"/>
  <c r="E7" i="90"/>
  <c r="D7" i="90"/>
  <c r="D24" i="90" s="1"/>
  <c r="C7" i="90"/>
  <c r="A2" i="90"/>
  <c r="C8" i="89"/>
  <c r="D8" i="89"/>
  <c r="E8" i="89"/>
  <c r="C9" i="89"/>
  <c r="D17" i="89" s="1"/>
  <c r="D9" i="89"/>
  <c r="D23" i="89" s="1"/>
  <c r="E9" i="89"/>
  <c r="C10" i="89"/>
  <c r="D10" i="89"/>
  <c r="E10" i="89"/>
  <c r="C11" i="89"/>
  <c r="D11" i="89"/>
  <c r="E11" i="89"/>
  <c r="E7" i="89"/>
  <c r="D7" i="89"/>
  <c r="D24" i="89" s="1"/>
  <c r="C7" i="89"/>
  <c r="A2" i="89"/>
  <c r="C8" i="88"/>
  <c r="D8" i="88"/>
  <c r="E8" i="88"/>
  <c r="C9" i="88"/>
  <c r="D17" i="88" s="1"/>
  <c r="D9" i="88"/>
  <c r="D23" i="88" s="1"/>
  <c r="E9" i="88"/>
  <c r="C10" i="88"/>
  <c r="D10" i="88"/>
  <c r="E10" i="88"/>
  <c r="C11" i="88"/>
  <c r="D11" i="88"/>
  <c r="E11" i="88"/>
  <c r="E7" i="88"/>
  <c r="D7" i="88"/>
  <c r="D24" i="88" s="1"/>
  <c r="C7" i="88"/>
  <c r="A2" i="88"/>
  <c r="C8" i="87"/>
  <c r="D8" i="87"/>
  <c r="E8" i="87"/>
  <c r="C9" i="87"/>
  <c r="D17" i="87" s="1"/>
  <c r="D9" i="87"/>
  <c r="D23" i="87" s="1"/>
  <c r="E9" i="87"/>
  <c r="C10" i="87"/>
  <c r="D10" i="87"/>
  <c r="E10" i="87"/>
  <c r="C11" i="87"/>
  <c r="D11" i="87"/>
  <c r="E11" i="87"/>
  <c r="E7" i="87"/>
  <c r="D7" i="87"/>
  <c r="D24" i="87" s="1"/>
  <c r="C7" i="87"/>
  <c r="A2" i="87"/>
  <c r="C8" i="86"/>
  <c r="D8" i="86"/>
  <c r="E8" i="86"/>
  <c r="C9" i="86"/>
  <c r="D17" i="86" s="1"/>
  <c r="D9" i="86"/>
  <c r="D23" i="86" s="1"/>
  <c r="E9" i="86"/>
  <c r="C10" i="86"/>
  <c r="D10" i="86"/>
  <c r="E10" i="86"/>
  <c r="C11" i="86"/>
  <c r="D11" i="86"/>
  <c r="E11" i="86"/>
  <c r="E7" i="86"/>
  <c r="D7" i="86"/>
  <c r="D24" i="86" s="1"/>
  <c r="C7" i="86"/>
  <c r="A2" i="86"/>
  <c r="C8" i="85"/>
  <c r="D8" i="85"/>
  <c r="E8" i="85"/>
  <c r="C9" i="85"/>
  <c r="D17" i="85" s="1"/>
  <c r="D9" i="85"/>
  <c r="D23" i="85" s="1"/>
  <c r="E9" i="85"/>
  <c r="C10" i="85"/>
  <c r="D10" i="85"/>
  <c r="E10" i="85"/>
  <c r="C11" i="85"/>
  <c r="D11" i="85"/>
  <c r="E11" i="85"/>
  <c r="E7" i="85"/>
  <c r="C7" i="85"/>
  <c r="D7" i="85"/>
  <c r="A2" i="85"/>
  <c r="C8" i="84"/>
  <c r="D8" i="84"/>
  <c r="E8" i="84"/>
  <c r="E7" i="84"/>
  <c r="D7" i="84"/>
  <c r="C7" i="84"/>
  <c r="A2" i="84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6" i="89" l="1"/>
  <c r="C12" i="89" s="1"/>
  <c r="D22" i="86"/>
  <c r="D22" i="87"/>
  <c r="D16" i="87"/>
  <c r="C6" i="88"/>
  <c r="C12" i="88" s="1"/>
  <c r="D22" i="88"/>
  <c r="D16" i="88"/>
  <c r="C6" i="84"/>
  <c r="C9" i="84" s="1"/>
  <c r="D18" i="89"/>
  <c r="D22" i="85"/>
  <c r="D16" i="85"/>
  <c r="C6" i="90"/>
  <c r="C12" i="90" s="1"/>
  <c r="D22" i="90"/>
  <c r="D16" i="90"/>
  <c r="D22" i="89"/>
  <c r="D16" i="89"/>
  <c r="E6" i="61"/>
  <c r="D23" i="61"/>
  <c r="D6" i="84"/>
  <c r="D9" i="84" s="1"/>
  <c r="D6" i="85"/>
  <c r="D12" i="85" s="1"/>
  <c r="D18" i="86"/>
  <c r="D18" i="90"/>
  <c r="D6" i="61"/>
  <c r="D6" i="90"/>
  <c r="D12" i="90" s="1"/>
  <c r="D19" i="61"/>
  <c r="D24" i="85"/>
  <c r="D16" i="86"/>
  <c r="D18" i="87"/>
  <c r="D6" i="89"/>
  <c r="D12" i="89" s="1"/>
  <c r="D6" i="86"/>
  <c r="D12" i="86" s="1"/>
  <c r="D6" i="87"/>
  <c r="D12" i="87" s="1"/>
  <c r="D6" i="88"/>
  <c r="D12" i="88" s="1"/>
  <c r="D18" i="88"/>
  <c r="E18" i="88" s="1"/>
  <c r="C6" i="61"/>
  <c r="D26" i="61"/>
  <c r="D16" i="61"/>
  <c r="C6" i="85"/>
  <c r="C12" i="85" s="1"/>
  <c r="C6" i="86"/>
  <c r="C6" i="87"/>
  <c r="E9" i="84"/>
  <c r="F8" i="84" s="1"/>
  <c r="D18" i="85"/>
  <c r="B3" i="90"/>
  <c r="B2" i="90"/>
  <c r="E16" i="90"/>
  <c r="E23" i="90"/>
  <c r="E18" i="90"/>
  <c r="I12" i="90"/>
  <c r="C28" i="90" s="1"/>
  <c r="J8" i="90"/>
  <c r="J7" i="90"/>
  <c r="H7" i="90"/>
  <c r="G7" i="90"/>
  <c r="H8" i="90"/>
  <c r="G8" i="90"/>
  <c r="J9" i="90"/>
  <c r="H9" i="90"/>
  <c r="G9" i="90"/>
  <c r="J10" i="90"/>
  <c r="H10" i="90"/>
  <c r="G10" i="90"/>
  <c r="J11" i="90"/>
  <c r="H11" i="90"/>
  <c r="G11" i="90"/>
  <c r="B3" i="89"/>
  <c r="B2" i="89"/>
  <c r="E16" i="89"/>
  <c r="I12" i="89"/>
  <c r="C28" i="89" s="1"/>
  <c r="J8" i="89"/>
  <c r="J7" i="89"/>
  <c r="H7" i="89"/>
  <c r="G7" i="89"/>
  <c r="H8" i="89"/>
  <c r="G8" i="89"/>
  <c r="J9" i="89"/>
  <c r="H9" i="89"/>
  <c r="G9" i="89"/>
  <c r="J10" i="89"/>
  <c r="H10" i="89"/>
  <c r="G10" i="89"/>
  <c r="J11" i="89"/>
  <c r="H11" i="89"/>
  <c r="G11" i="89"/>
  <c r="B3" i="88"/>
  <c r="B2" i="88"/>
  <c r="E16" i="88"/>
  <c r="E23" i="88"/>
  <c r="I12" i="88"/>
  <c r="C28" i="88" s="1"/>
  <c r="J8" i="88"/>
  <c r="J7" i="88"/>
  <c r="H7" i="88"/>
  <c r="G7" i="88"/>
  <c r="H8" i="88"/>
  <c r="G8" i="88"/>
  <c r="J9" i="88"/>
  <c r="H9" i="88"/>
  <c r="G9" i="88"/>
  <c r="J10" i="88"/>
  <c r="H10" i="88"/>
  <c r="G10" i="88"/>
  <c r="J11" i="88"/>
  <c r="H11" i="88"/>
  <c r="G11" i="88"/>
  <c r="B3" i="87"/>
  <c r="B2" i="87"/>
  <c r="E23" i="87"/>
  <c r="I12" i="87"/>
  <c r="C28" i="87" s="1"/>
  <c r="J8" i="87"/>
  <c r="J7" i="87"/>
  <c r="H7" i="87"/>
  <c r="G7" i="87"/>
  <c r="H8" i="87"/>
  <c r="G8" i="87"/>
  <c r="J9" i="87"/>
  <c r="H9" i="87"/>
  <c r="G9" i="87"/>
  <c r="J10" i="87"/>
  <c r="H10" i="87"/>
  <c r="G10" i="87"/>
  <c r="J11" i="87"/>
  <c r="H11" i="87"/>
  <c r="G11" i="87"/>
  <c r="B3" i="86"/>
  <c r="B2" i="86"/>
  <c r="E23" i="86"/>
  <c r="I12" i="86"/>
  <c r="C28" i="86" s="1"/>
  <c r="J8" i="86"/>
  <c r="J7" i="86"/>
  <c r="H7" i="86"/>
  <c r="G7" i="86"/>
  <c r="H8" i="86"/>
  <c r="G8" i="86"/>
  <c r="J9" i="86"/>
  <c r="H9" i="86"/>
  <c r="G9" i="86"/>
  <c r="J10" i="86"/>
  <c r="H10" i="86"/>
  <c r="G10" i="86"/>
  <c r="J11" i="86"/>
  <c r="H11" i="86"/>
  <c r="G11" i="86"/>
  <c r="B3" i="85"/>
  <c r="B2" i="85"/>
  <c r="I12" i="85"/>
  <c r="C28" i="85" s="1"/>
  <c r="J8" i="85"/>
  <c r="J7" i="85"/>
  <c r="H7" i="85"/>
  <c r="G7" i="85"/>
  <c r="H8" i="85"/>
  <c r="G8" i="85"/>
  <c r="J9" i="85"/>
  <c r="H9" i="85"/>
  <c r="G9" i="85"/>
  <c r="J10" i="85"/>
  <c r="H10" i="85"/>
  <c r="G10" i="85"/>
  <c r="J11" i="85"/>
  <c r="H11" i="85"/>
  <c r="G11" i="85"/>
  <c r="B3" i="84"/>
  <c r="B2" i="84"/>
  <c r="G7" i="84"/>
  <c r="G8" i="84"/>
  <c r="B3" i="61"/>
  <c r="B2" i="61"/>
  <c r="D17" i="61"/>
  <c r="C1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E18" i="89" l="1"/>
  <c r="E17" i="61"/>
  <c r="C12" i="87"/>
  <c r="E12" i="87" s="1"/>
  <c r="E16" i="87"/>
  <c r="E18" i="87"/>
  <c r="C12" i="86"/>
  <c r="E12" i="86" s="1"/>
  <c r="E12" i="90"/>
  <c r="F9" i="90" s="1"/>
  <c r="E16" i="86"/>
  <c r="E18" i="86"/>
  <c r="E18" i="61"/>
  <c r="E16" i="85"/>
  <c r="E24" i="61"/>
  <c r="E25" i="61"/>
  <c r="E18" i="85"/>
  <c r="E12" i="89"/>
  <c r="F7" i="89" s="1"/>
  <c r="E12" i="88"/>
  <c r="F11" i="88" s="1"/>
  <c r="E16" i="61"/>
  <c r="E26" i="61"/>
  <c r="E12" i="85"/>
  <c r="F12" i="85" s="1"/>
  <c r="E6" i="84"/>
  <c r="F6" i="84" s="1"/>
  <c r="E19" i="61"/>
  <c r="E17" i="86"/>
  <c r="E24" i="88"/>
  <c r="E22" i="88"/>
  <c r="E17" i="90"/>
  <c r="E24" i="85"/>
  <c r="E22" i="85"/>
  <c r="E17" i="87"/>
  <c r="E24" i="89"/>
  <c r="E22" i="89"/>
  <c r="E24" i="86"/>
  <c r="E22" i="86"/>
  <c r="E17" i="88"/>
  <c r="E24" i="90"/>
  <c r="E22" i="90"/>
  <c r="E23" i="85"/>
  <c r="E17" i="85"/>
  <c r="E24" i="87"/>
  <c r="E22" i="87"/>
  <c r="E23" i="89"/>
  <c r="E17" i="89"/>
  <c r="F7" i="84"/>
  <c r="F9" i="84"/>
  <c r="E23" i="61"/>
  <c r="G12" i="90"/>
  <c r="H12" i="90"/>
  <c r="D28" i="90" s="1"/>
  <c r="J12" i="90"/>
  <c r="E28" i="90" s="1"/>
  <c r="G12" i="89"/>
  <c r="H12" i="89"/>
  <c r="D28" i="89" s="1"/>
  <c r="J12" i="89"/>
  <c r="E28" i="89" s="1"/>
  <c r="G12" i="88"/>
  <c r="H12" i="88"/>
  <c r="D28" i="88" s="1"/>
  <c r="J12" i="88"/>
  <c r="E28" i="88" s="1"/>
  <c r="G12" i="87"/>
  <c r="H12" i="87"/>
  <c r="D28" i="87" s="1"/>
  <c r="J12" i="87"/>
  <c r="E28" i="87" s="1"/>
  <c r="G12" i="86"/>
  <c r="H12" i="86"/>
  <c r="D28" i="86" s="1"/>
  <c r="J12" i="86"/>
  <c r="E28" i="86" s="1"/>
  <c r="G12" i="85"/>
  <c r="H12" i="85"/>
  <c r="D28" i="85" s="1"/>
  <c r="J12" i="85"/>
  <c r="E28" i="85" s="1"/>
  <c r="G9" i="84"/>
  <c r="G12" i="61"/>
  <c r="H12" i="61"/>
  <c r="D30" i="61" s="1"/>
  <c r="J12" i="61"/>
  <c r="E30" i="61" s="1"/>
  <c r="F10" i="89" l="1"/>
  <c r="F9" i="87"/>
  <c r="E6" i="87"/>
  <c r="F6" i="87" s="1"/>
  <c r="F12" i="86"/>
  <c r="F9" i="86"/>
  <c r="F7" i="86"/>
  <c r="E6" i="86"/>
  <c r="F6" i="86" s="1"/>
  <c r="F12" i="87"/>
  <c r="F12" i="89"/>
  <c r="F11" i="87"/>
  <c r="E6" i="88"/>
  <c r="F6" i="88" s="1"/>
  <c r="F8" i="88"/>
  <c r="E6" i="90"/>
  <c r="F6" i="90" s="1"/>
  <c r="F11" i="90"/>
  <c r="F12" i="90"/>
  <c r="F8" i="89"/>
  <c r="F9" i="89"/>
  <c r="F8" i="90"/>
  <c r="E6" i="89"/>
  <c r="F6" i="89" s="1"/>
  <c r="F7" i="90"/>
  <c r="F10" i="90"/>
  <c r="E6" i="85"/>
  <c r="F6" i="85" s="1"/>
  <c r="F9" i="85"/>
  <c r="F11" i="85"/>
  <c r="F11" i="89"/>
  <c r="F12" i="88"/>
  <c r="F9" i="88"/>
  <c r="F7" i="88"/>
  <c r="F10" i="88"/>
  <c r="F7" i="85"/>
  <c r="F8" i="85"/>
  <c r="F10" i="85"/>
  <c r="F7" i="87"/>
  <c r="F8" i="87"/>
  <c r="F10" i="87"/>
  <c r="F11" i="86"/>
  <c r="F10" i="86"/>
  <c r="F8" i="86"/>
</calcChain>
</file>

<file path=xl/sharedStrings.xml><?xml version="1.0" encoding="utf-8"?>
<sst xmlns="http://schemas.openxmlformats.org/spreadsheetml/2006/main" count="289031" uniqueCount="325">
  <si>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</si>
  <si>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</si>
  <si>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</si>
  <si>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</si>
  <si>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</si>
  <si>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</si>
  <si>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</si>
  <si>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</si>
  <si>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</si>
  <si>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</si>
  <si>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</si>
  <si>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</si>
  <si>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</si>
  <si>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</si>
  <si>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</si>
  <si>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</si>
  <si>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</si>
  <si>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</si>
  <si>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</si>
  <si>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</si>
  <si>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</si>
  <si>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</si>
  <si>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</si>
  <si>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</si>
  <si>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</si>
  <si>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</si>
  <si>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</si>
  <si>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</si>
  <si>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</si>
  <si>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</si>
  <si>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</si>
  <si>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</si>
  <si>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</si>
  <si>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</si>
  <si>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</si>
  <si>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</si>
  <si>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</si>
  <si>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</si>
  <si>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</si>
  <si>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</si>
  <si>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</si>
  <si>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</si>
  <si>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</si>
  <si>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</si>
  <si>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</si>
  <si>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</si>
  <si>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</si>
  <si>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</si>
  <si>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</si>
  <si>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</si>
  <si>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</si>
  <si>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</si>
  <si>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</si>
  <si>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</si>
  <si>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</si>
  <si>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</si>
  <si>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</si>
  <si>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</si>
  <si>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</si>
  <si>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</si>
  <si>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</si>
  <si>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</si>
  <si>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</si>
  <si>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</si>
  <si>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</si>
  <si>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</si>
  <si>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</si>
  <si>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</si>
  <si>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</si>
  <si>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</si>
  <si>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</si>
  <si>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</si>
  <si>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</si>
  <si>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</si>
  <si>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</si>
  <si>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</si>
  <si>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</si>
  <si>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</si>
  <si>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</si>
  <si>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</si>
  <si>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</si>
  <si>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</si>
  <si>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</si>
  <si>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</si>
  <si>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</si>
  <si>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</si>
  <si>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</si>
  <si>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</si>
  <si>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</si>
  <si>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</si>
  <si>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</si>
  <si>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</si>
  <si>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</si>
  <si>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</si>
  <si>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</si>
  <si>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</si>
  <si>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</si>
  <si>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</si>
  <si>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</si>
  <si>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</si>
  <si>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</si>
  <si>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</si>
  <si>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</si>
  <si>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</si>
  <si>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</si>
  <si>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</si>
  <si>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</si>
  <si>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</si>
  <si>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</si>
  <si>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</si>
  <si>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</si>
  <si>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</si>
  <si>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</si>
  <si>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</si>
  <si>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</si>
  <si>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</si>
  <si>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</si>
  <si>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</si>
  <si>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</si>
  <si>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</si>
  <si>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</si>
  <si>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</si>
  <si>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</si>
  <si>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</si>
  <si>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</si>
  <si>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</si>
  <si>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</si>
  <si>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</si>
  <si>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</si>
  <si>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</si>
  <si>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</si>
  <si>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</si>
  <si>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</si>
  <si>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</si>
  <si>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</si>
  <si>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</si>
  <si>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</si>
  <si>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</si>
  <si>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</si>
  <si>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</si>
  <si>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</si>
  <si>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</si>
  <si>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</si>
  <si>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</si>
  <si>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</si>
  <si>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</si>
  <si>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</si>
  <si>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</si>
  <si>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</si>
  <si>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</si>
  <si>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</si>
  <si>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</si>
  <si>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</si>
  <si>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</si>
  <si>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</si>
  <si>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</si>
  <si>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</si>
  <si>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</si>
  <si>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</si>
  <si>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</si>
  <si>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</si>
  <si>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</si>
  <si>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</si>
  <si>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</si>
  <si>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</si>
  <si>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</si>
  <si>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</si>
  <si>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</si>
  <si>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</si>
  <si>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</si>
  <si>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</si>
  <si>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</si>
  <si>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</si>
  <si>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</si>
  <si>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</si>
  <si>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</si>
  <si>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</si>
  <si>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</si>
  <si>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</si>
  <si>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</si>
  <si>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</si>
  <si>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</si>
  <si>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</si>
  <si>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</si>
  <si>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</si>
  <si>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</si>
  <si>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</si>
  <si>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</si>
  <si>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</si>
  <si>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</si>
  <si>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</si>
  <si>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</si>
  <si>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</si>
  <si>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</si>
  <si>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</si>
  <si>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</si>
  <si>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</si>
  <si>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</si>
  <si>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</si>
  <si>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</si>
  <si>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</si>
  <si>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</si>
  <si>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</si>
  <si>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</si>
  <si>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</si>
  <si>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</si>
  <si>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</si>
  <si>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</si>
  <si>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</si>
  <si>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</si>
  <si>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</si>
  <si>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</si>
  <si>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</si>
  <si>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</si>
  <si>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</si>
  <si>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</si>
  <si>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</si>
  <si>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</si>
  <si>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</si>
  <si>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</si>
  <si>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</si>
  <si>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</si>
  <si>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</si>
  <si>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</si>
  <si>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</si>
  <si>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</si>
  <si>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</si>
  <si>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</si>
  <si>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</si>
  <si>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</si>
  <si>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</si>
  <si>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</si>
  <si>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</si>
  <si>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</si>
  <si>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</si>
  <si>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</si>
  <si>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</si>
  <si>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</si>
  <si>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</si>
  <si>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</si>
  <si>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</si>
  <si>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</si>
  <si>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</si>
  <si>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</si>
  <si>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</si>
  <si>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</si>
  <si>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</si>
  <si>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</si>
  <si>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</si>
  <si>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</si>
  <si>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</si>
  <si>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</si>
  <si>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</si>
  <si>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</si>
  <si>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</si>
  <si>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</si>
  <si>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</si>
  <si>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</si>
  <si>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</si>
  <si>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</si>
  <si>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</si>
  <si>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</si>
  <si>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</si>
  <si>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</si>
  <si>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</si>
  <si>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</si>
  <si>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</si>
  <si>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</si>
  <si>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</si>
  <si>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</si>
  <si>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</si>
  <si>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</si>
  <si>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</si>
  <si>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</si>
  <si>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</si>
  <si>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</si>
  <si>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</si>
  <si>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</si>
  <si>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</si>
  <si>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</si>
  <si>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</si>
  <si>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</si>
  <si>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SUINFRA </t>
  </si>
  <si>
    <t>Número_Questão</t>
  </si>
  <si>
    <t>Tipo_Questão</t>
  </si>
  <si>
    <t>Título_Questão</t>
  </si>
  <si>
    <t>TítuloGráfico</t>
  </si>
  <si>
    <t>Observações</t>
  </si>
  <si>
    <t xml:space="preserve">Você utilizou as unidades e/ou serviços da Superintendência de Infraestrutura (SUINFRA) em 2021? </t>
  </si>
  <si>
    <t>Eixo 5: questão 76</t>
  </si>
  <si>
    <t>Avalie os serviços prestados pelas unidades da SUINFRA que você utilizou em 2021: [Direção: Gabinete]</t>
  </si>
  <si>
    <t>Eixo 5: questão 77</t>
  </si>
  <si>
    <t>Avalie os serviços prestados pelas unidades da SUINFRA que você utilizou em 2021: [Coordenação Administrativa (recepção, contratos, processos, financeiro)]</t>
  </si>
  <si>
    <t>Eixo 5: questão 78</t>
  </si>
  <si>
    <t>Avalie os serviços prestados pelas unidades da SUINFRA que você utilizou em 2021: [Coordenação Técnica]</t>
  </si>
  <si>
    <t>Eixo 5: questão 79</t>
  </si>
  <si>
    <t>Avalie os serviços prestados pelas unidades da SUINFRA que você utilizou em 2021: [Coordenação de Manutenção]</t>
  </si>
  <si>
    <t>Eixo 5: questão 80</t>
  </si>
  <si>
    <t>Avalie os serviços prestados pelas unidades da SUINFRA que você utilizou em 2021: [Assessoria do Plano Diretor]</t>
  </si>
  <si>
    <t>Eixo 5: questão 81</t>
  </si>
  <si>
    <t>Avalie os serviços prestados pelas unidades da SUINFRA que você utilizou em 2021: [Divisão de Gestão Ambiental]</t>
  </si>
  <si>
    <t>Eixo 5: questão 82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</si>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</sst>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9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14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4" fillId="0" borderId="0" xfId="4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2" fillId="0" borderId="0" xfId="4" applyFont="1"/>
    <xf numFmtId="0" fontId="10" fillId="15" borderId="6" xfId="0" applyFont="1" applyFill="1" applyBorder="1"/>
    <xf numFmtId="0" fontId="10" fillId="16" borderId="10" xfId="0" applyFont="1" applyFill="1" applyBorder="1"/>
    <xf numFmtId="0" fontId="19" fillId="0" borderId="0" xfId="4" applyFont="1"/>
    <xf numFmtId="0" fontId="10" fillId="17" borderId="6" xfId="0" applyFont="1" applyFill="1" applyBorder="1"/>
    <xf numFmtId="0" fontId="10" fillId="17" borderId="10" xfId="0" applyFont="1" applyFill="1" applyBorder="1"/>
    <xf numFmtId="0" fontId="10" fillId="0" borderId="0" xfId="4" applyFont="1"/>
    <xf numFmtId="0" fontId="7" fillId="19" borderId="0" xfId="4" applyFont="1" applyFill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8386056E-B0C4-4F64-9BE8-39F553C6F299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562112"/>
        <c:axId val="85563648"/>
      </c:barChart>
      <c:catAx>
        <c:axId val="855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63648"/>
        <c:crosses val="autoZero"/>
        <c:auto val="1"/>
        <c:lblAlgn val="ctr"/>
        <c:lblOffset val="100"/>
        <c:noMultiLvlLbl val="0"/>
      </c:catAx>
      <c:valAx>
        <c:axId val="855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6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7-4A08-A0F6-063D9659E5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A7-4A08-A0F6-063D9659E5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A7-4A08-A0F6-063D9659E593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'Q5.78'!$D$16:$D$18</c:f>
              <c:numCache>
                <c:formatCode>General</c:formatCode>
                <c:ptCount val="3"/>
                <c:pt idx="0">
                  <c:v>12</c:v>
                </c:pt>
                <c:pt idx="1">
                  <c:v>19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A7-4A08-A0F6-063D9659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7-4874-89E9-F0A276FAAC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27-4874-89E9-F0A276FAAC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27-4874-89E9-F0A276FAAC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'Q5.78'!$D$22:$D$24</c:f>
              <c:numCache>
                <c:formatCode>General</c:formatCode>
                <c:ptCount val="3"/>
                <c:pt idx="0">
                  <c:v>18</c:v>
                </c:pt>
                <c:pt idx="1">
                  <c:v>10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27-4874-89E9-F0A276FAA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'Q5.78'!$C$28:$E$28</c:f>
              <c:numCache>
                <c:formatCode>0.00</c:formatCode>
                <c:ptCount val="3"/>
                <c:pt idx="0">
                  <c:v>8</c:v>
                </c:pt>
                <c:pt idx="1">
                  <c:v>7.034965034965035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C-49C5-AD96-7D033148E7C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141184"/>
        <c:axId val="172561920"/>
      </c:lineChart>
      <c:catAx>
        <c:axId val="1721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61920"/>
        <c:crosses val="autoZero"/>
        <c:auto val="1"/>
        <c:lblAlgn val="ctr"/>
        <c:lblOffset val="100"/>
        <c:noMultiLvlLbl val="0"/>
      </c:catAx>
      <c:valAx>
        <c:axId val="17256192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141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'Q5.79'!$C$6:$C$11</c:f>
              <c:numCache>
                <c:formatCode>General</c:formatCode>
                <c:ptCount val="6"/>
                <c:pt idx="0">
                  <c:v>734</c:v>
                </c:pt>
                <c:pt idx="1">
                  <c:v>33</c:v>
                </c:pt>
                <c:pt idx="2">
                  <c:v>32</c:v>
                </c:pt>
                <c:pt idx="3">
                  <c:v>20</c:v>
                </c:pt>
                <c:pt idx="4">
                  <c:v>12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8-4B3E-BB9D-35BB9C1E53F3}"/>
            </c:ext>
          </c:extLst>
        </c:ser>
        <c:ser>
          <c:idx val="1"/>
          <c:order val="1"/>
          <c:tx>
            <c:strRef>
              <c:f>'Q5.79'!$D$5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'Q5.79'!$D$6:$D$11</c:f>
              <c:numCache>
                <c:formatCode>General</c:formatCode>
                <c:ptCount val="6"/>
                <c:pt idx="0">
                  <c:v>525</c:v>
                </c:pt>
                <c:pt idx="1">
                  <c:v>7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8-4B3E-BB9D-35BB9C1E53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638592"/>
        <c:axId val="172640128"/>
      </c:barChart>
      <c:catAx>
        <c:axId val="1726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640128"/>
        <c:crosses val="autoZero"/>
        <c:auto val="1"/>
        <c:lblAlgn val="ctr"/>
        <c:lblOffset val="100"/>
        <c:noMultiLvlLbl val="0"/>
      </c:catAx>
      <c:valAx>
        <c:axId val="1726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63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8-4845-BFED-97317670F6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98-4845-BFED-97317670F6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98-4845-BFED-97317670F61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'Q5.79'!$D$16:$D$18</c:f>
              <c:numCache>
                <c:formatCode>General</c:formatCode>
                <c:ptCount val="3"/>
                <c:pt idx="0">
                  <c:v>14</c:v>
                </c:pt>
                <c:pt idx="1">
                  <c:v>20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8-4845-BFED-97317670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D0-4D5A-9A76-EFB0B9C177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D0-4D5A-9A76-EFB0B9C177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D0-4D5A-9A76-EFB0B9C17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'Q5.79'!$D$22:$D$24</c:f>
              <c:numCache>
                <c:formatCode>General</c:formatCode>
                <c:ptCount val="3"/>
                <c:pt idx="0">
                  <c:v>17</c:v>
                </c:pt>
                <c:pt idx="1">
                  <c:v>10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D0-4D5A-9A76-EFB0B9C17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'Q5.79'!$C$28:$E$28</c:f>
              <c:numCache>
                <c:formatCode>0.00</c:formatCode>
                <c:ptCount val="3"/>
                <c:pt idx="0">
                  <c:v>8</c:v>
                </c:pt>
                <c:pt idx="1">
                  <c:v>7.1351351351351351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F-497C-AB0B-2A00FC15EF5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361408"/>
        <c:axId val="173380736"/>
      </c:lineChart>
      <c:catAx>
        <c:axId val="1733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380736"/>
        <c:crosses val="autoZero"/>
        <c:auto val="1"/>
        <c:lblAlgn val="ctr"/>
        <c:lblOffset val="100"/>
        <c:noMultiLvlLbl val="0"/>
      </c:catAx>
      <c:valAx>
        <c:axId val="1733807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36140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80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'Q5.80'!$C$5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'Q5.80'!$C$6:$C$11</c:f>
              <c:numCache>
                <c:formatCode>General</c:formatCode>
                <c:ptCount val="6"/>
                <c:pt idx="0">
                  <c:v>690</c:v>
                </c:pt>
                <c:pt idx="1">
                  <c:v>49</c:v>
                </c:pt>
                <c:pt idx="2">
                  <c:v>52</c:v>
                </c:pt>
                <c:pt idx="3">
                  <c:v>21</c:v>
                </c:pt>
                <c:pt idx="4">
                  <c:v>11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7-4276-903F-4B0E136BACE3}"/>
            </c:ext>
          </c:extLst>
        </c:ser>
        <c:ser>
          <c:idx val="1"/>
          <c:order val="1"/>
          <c:tx>
            <c:strRef>
              <c:f>'Q5.80'!$D$5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'Q5.80'!$D$6:$D$11</c:f>
              <c:numCache>
                <c:formatCode>General</c:formatCode>
                <c:ptCount val="6"/>
                <c:pt idx="0">
                  <c:v>502</c:v>
                </c:pt>
                <c:pt idx="1">
                  <c:v>11</c:v>
                </c:pt>
                <c:pt idx="2">
                  <c:v>20</c:v>
                </c:pt>
                <c:pt idx="3">
                  <c:v>16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7-4276-903F-4B0E136BAC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649920"/>
        <c:axId val="173651456"/>
      </c:barChart>
      <c:catAx>
        <c:axId val="1736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651456"/>
        <c:crosses val="autoZero"/>
        <c:auto val="1"/>
        <c:lblAlgn val="ctr"/>
        <c:lblOffset val="100"/>
        <c:noMultiLvlLbl val="0"/>
      </c:catAx>
      <c:valAx>
        <c:axId val="1736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6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7-4FB5-9F6A-2C27BC84B6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C7-4FB5-9F6A-2C27BC84B6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C7-4FB5-9F6A-2C27BC84B6B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'Q5.80'!$D$16:$D$18</c:f>
              <c:numCache>
                <c:formatCode>General</c:formatCode>
                <c:ptCount val="3"/>
                <c:pt idx="0">
                  <c:v>21</c:v>
                </c:pt>
                <c:pt idx="1">
                  <c:v>21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C7-4FB5-9F6A-2C27BC84B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F5-43E1-934B-6C2BA046AA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F5-43E1-934B-6C2BA046AA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F5-43E1-934B-6C2BA046A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'Q5.80'!$D$22:$D$24</c:f>
              <c:numCache>
                <c:formatCode>General</c:formatCode>
                <c:ptCount val="3"/>
                <c:pt idx="0">
                  <c:v>25</c:v>
                </c:pt>
                <c:pt idx="1">
                  <c:v>16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F5-43E1-934B-6C2BA046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'Q5.80'!$B$28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'Q5.80'!$C$28:$E$28</c:f>
              <c:numCache>
                <c:formatCode>0.00</c:formatCode>
                <c:ptCount val="3"/>
                <c:pt idx="0">
                  <c:v>8</c:v>
                </c:pt>
                <c:pt idx="1">
                  <c:v>7.1441860465116278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C-486A-9B05-846C8BDB2A0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897600"/>
        <c:axId val="173904640"/>
      </c:lineChart>
      <c:catAx>
        <c:axId val="1738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04640"/>
        <c:crosses val="autoZero"/>
        <c:auto val="1"/>
        <c:lblAlgn val="ctr"/>
        <c:lblOffset val="100"/>
        <c:noMultiLvlLbl val="0"/>
      </c:catAx>
      <c:valAx>
        <c:axId val="1739046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976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'Q5.81'!$C$5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'Q5.81'!$C$6:$C$11</c:f>
              <c:numCache>
                <c:formatCode>General</c:formatCode>
                <c:ptCount val="6"/>
                <c:pt idx="0">
                  <c:v>769</c:v>
                </c:pt>
                <c:pt idx="1">
                  <c:v>22</c:v>
                </c:pt>
                <c:pt idx="2">
                  <c:v>18</c:v>
                </c:pt>
                <c:pt idx="3">
                  <c:v>12</c:v>
                </c:pt>
                <c:pt idx="4">
                  <c:v>9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C0B-96B8-4A66172E040B}"/>
            </c:ext>
          </c:extLst>
        </c:ser>
        <c:ser>
          <c:idx val="1"/>
          <c:order val="1"/>
          <c:tx>
            <c:strRef>
              <c:f>'Q5.81'!$D$5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'Q5.81'!$D$6:$D$11</c:f>
              <c:numCache>
                <c:formatCode>General</c:formatCode>
                <c:ptCount val="6"/>
                <c:pt idx="0">
                  <c:v>542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C0B-96B8-4A66172E04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050688"/>
        <c:axId val="174052480"/>
      </c:barChart>
      <c:catAx>
        <c:axId val="174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052480"/>
        <c:crosses val="autoZero"/>
        <c:auto val="1"/>
        <c:lblAlgn val="ctr"/>
        <c:lblOffset val="100"/>
        <c:noMultiLvlLbl val="0"/>
      </c:catAx>
      <c:valAx>
        <c:axId val="17405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05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E-40B4-BE8B-34BDE48F75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BE-40B4-BE8B-34BDE48F75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BE-40B4-BE8B-34BDE48F75A3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'Q5.81'!$D$16:$D$18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BE-40B4-BE8B-34BDE48F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E-447E-9609-93A669AF8E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6E-447E-9609-93A669AF8E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6E-447E-9609-93A669AF8E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'Q5.81'!$D$22:$D$24</c:f>
              <c:numCache>
                <c:formatCode>General</c:formatCode>
                <c:ptCount val="3"/>
                <c:pt idx="0">
                  <c:v>15</c:v>
                </c:pt>
                <c:pt idx="1">
                  <c:v>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6E-447E-9609-93A669AF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'Q5.81'!$B$28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'Q5.81'!$C$28:$E$28</c:f>
              <c:numCache>
                <c:formatCode>0.00</c:formatCode>
                <c:ptCount val="3"/>
                <c:pt idx="0">
                  <c:v>10</c:v>
                </c:pt>
                <c:pt idx="1">
                  <c:v>6.8125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B-4C31-A53F-6D7EB89EF36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523904"/>
        <c:axId val="174535040"/>
      </c:lineChart>
      <c:catAx>
        <c:axId val="1745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535040"/>
        <c:crosses val="autoZero"/>
        <c:auto val="1"/>
        <c:lblAlgn val="ctr"/>
        <c:lblOffset val="100"/>
        <c:noMultiLvlLbl val="0"/>
      </c:catAx>
      <c:valAx>
        <c:axId val="1745350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5239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82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'Q5.82'!$C$5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'Q5.82'!$C$6:$C$11</c:f>
              <c:numCache>
                <c:formatCode>General</c:formatCode>
                <c:ptCount val="6"/>
                <c:pt idx="0">
                  <c:v>757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13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E-4931-A787-87E4C55AC88B}"/>
            </c:ext>
          </c:extLst>
        </c:ser>
        <c:ser>
          <c:idx val="1"/>
          <c:order val="1"/>
          <c:tx>
            <c:strRef>
              <c:f>'Q5.82'!$D$5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'Q5.82'!$D$6:$D$11</c:f>
              <c:numCache>
                <c:formatCode>General</c:formatCode>
                <c:ptCount val="6"/>
                <c:pt idx="0">
                  <c:v>548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E-4931-A787-87E4C55AC8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155648"/>
        <c:axId val="176194304"/>
      </c:barChart>
      <c:catAx>
        <c:axId val="176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194304"/>
        <c:crosses val="autoZero"/>
        <c:auto val="1"/>
        <c:lblAlgn val="ctr"/>
        <c:lblOffset val="100"/>
        <c:noMultiLvlLbl val="0"/>
      </c:catAx>
      <c:valAx>
        <c:axId val="17619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15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5-409B-89FF-2D81F2A89C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35-409B-89FF-2D81F2A89C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35-409B-89FF-2D81F2A89CC1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'Q5.82'!$D$16:$D$18</c:f>
              <c:numCache>
                <c:formatCode>General</c:formatCode>
                <c:ptCount val="3"/>
                <c:pt idx="0">
                  <c:v>22</c:v>
                </c:pt>
                <c:pt idx="1">
                  <c:v>19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35-409B-89FF-2D81F2A8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3-4331-B269-6F5B2CA94F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E3-4331-B269-6F5B2CA94F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E3-4331-B269-6F5B2CA94F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'Q5.82'!$C$22:$C$24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'Q5.82'!$D$22:$D$24</c:f>
              <c:numCache>
                <c:formatCode>General</c:formatCode>
                <c:ptCount val="3"/>
                <c:pt idx="0">
                  <c:v>16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E3-4331-B269-6F5B2CA94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'Q5.82'!$B$28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'Q5.82'!$C$27:$E$27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'Q5.82'!$C$28:$E$28</c:f>
              <c:numCache>
                <c:formatCode>0.00</c:formatCode>
                <c:ptCount val="3"/>
                <c:pt idx="0">
                  <c:v>6</c:v>
                </c:pt>
                <c:pt idx="1">
                  <c:v>6.0196078431372548</c:v>
                </c:pt>
                <c:pt idx="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C-4539-8E8C-187A72DF800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64864"/>
        <c:axId val="178458624"/>
      </c:lineChart>
      <c:catAx>
        <c:axId val="1781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458624"/>
        <c:crosses val="autoZero"/>
        <c:auto val="1"/>
        <c:lblAlgn val="ctr"/>
        <c:lblOffset val="100"/>
        <c:noMultiLvlLbl val="0"/>
      </c:catAx>
      <c:valAx>
        <c:axId val="1784586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648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'Q5.76SUINFRA'!$C$5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'Q5.76SUINFRA'!$B$6:$B$8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'Q5.76SUINFRA'!$C$6:$C$8</c:f>
              <c:numCache>
                <c:formatCode>General</c:formatCode>
                <c:ptCount val="3"/>
                <c:pt idx="0">
                  <c:v>0</c:v>
                </c:pt>
                <c:pt idx="1">
                  <c:v>161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A-47E2-9C5A-25BAD5D6E955}"/>
            </c:ext>
          </c:extLst>
        </c:ser>
        <c:ser>
          <c:idx val="1"/>
          <c:order val="1"/>
          <c:tx>
            <c:strRef>
              <c:f>'Q5.76SUINFRA'!$D$5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'Q5.76SUINFRA'!$B$6:$B$8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'Q5.76SUINFRA'!$D$6:$D$8</c:f>
              <c:numCache>
                <c:formatCode>General</c:formatCode>
                <c:ptCount val="3"/>
                <c:pt idx="0">
                  <c:v>0</c:v>
                </c:pt>
                <c:pt idx="1">
                  <c:v>82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A-47E2-9C5A-25BAD5D6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075456"/>
        <c:axId val="169076992"/>
      </c:barChart>
      <c:catAx>
        <c:axId val="1690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6992"/>
        <c:crosses val="autoZero"/>
        <c:auto val="1"/>
        <c:lblAlgn val="ctr"/>
        <c:lblOffset val="100"/>
        <c:noMultiLvlLbl val="0"/>
      </c:catAx>
      <c:valAx>
        <c:axId val="16907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'Q5.77'!$C$6:$C$11</c:f>
              <c:numCache>
                <c:formatCode>General</c:formatCode>
                <c:ptCount val="6"/>
                <c:pt idx="0">
                  <c:v>746</c:v>
                </c:pt>
                <c:pt idx="1">
                  <c:v>25</c:v>
                </c:pt>
                <c:pt idx="2">
                  <c:v>31</c:v>
                </c:pt>
                <c:pt idx="3">
                  <c:v>14</c:v>
                </c:pt>
                <c:pt idx="4">
                  <c:v>13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5-4FC0-B825-94945E09B773}"/>
            </c:ext>
          </c:extLst>
        </c:ser>
        <c:ser>
          <c:idx val="1"/>
          <c:order val="1"/>
          <c:tx>
            <c:strRef>
              <c:f>'Q5.77'!$D$5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'Q5.77'!$D$6:$D$11</c:f>
              <c:numCache>
                <c:formatCode>General</c:formatCode>
                <c:ptCount val="6"/>
                <c:pt idx="0">
                  <c:v>527</c:v>
                </c:pt>
                <c:pt idx="1">
                  <c:v>8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5-4FC0-B825-94945E09B7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596032"/>
        <c:axId val="169597568"/>
      </c:barChart>
      <c:catAx>
        <c:axId val="1695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97568"/>
        <c:crosses val="autoZero"/>
        <c:auto val="1"/>
        <c:lblAlgn val="ctr"/>
        <c:lblOffset val="100"/>
        <c:noMultiLvlLbl val="0"/>
      </c:catAx>
      <c:valAx>
        <c:axId val="1695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9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4-4AF1-8952-223F09EA75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84-4AF1-8952-223F09EA75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84-4AF1-8952-223F09EA753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'Q5.77'!$D$16:$D$18</c:f>
              <c:numCache>
                <c:formatCode>General</c:formatCode>
                <c:ptCount val="3"/>
                <c:pt idx="0">
                  <c:v>17</c:v>
                </c:pt>
                <c:pt idx="1">
                  <c:v>14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84-4AF1-8952-223F09EA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03-4F9F-AB8B-D56C710DCE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03-4F9F-AB8B-D56C710DCE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03-4F9F-AB8B-D56C710DC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'Q5.77'!$D$22:$D$24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03-4F9F-AB8B-D56C710DC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'Q5.77'!$C$28:$E$28</c:f>
              <c:numCache>
                <c:formatCode>0.00</c:formatCode>
                <c:ptCount val="3"/>
                <c:pt idx="0">
                  <c:v>8</c:v>
                </c:pt>
                <c:pt idx="1">
                  <c:v>6.8955223880597014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2-4537-804F-35824788EAB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588608"/>
        <c:axId val="171591552"/>
      </c:lineChart>
      <c:catAx>
        <c:axId val="1715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91552"/>
        <c:crosses val="autoZero"/>
        <c:auto val="1"/>
        <c:lblAlgn val="ctr"/>
        <c:lblOffset val="100"/>
        <c:noMultiLvlLbl val="0"/>
      </c:catAx>
      <c:valAx>
        <c:axId val="17159155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8860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'Q5.78'!$C$6:$C$11</c:f>
              <c:numCache>
                <c:formatCode>General</c:formatCode>
                <c:ptCount val="6"/>
                <c:pt idx="0">
                  <c:v>733</c:v>
                </c:pt>
                <c:pt idx="1">
                  <c:v>31</c:v>
                </c:pt>
                <c:pt idx="2">
                  <c:v>38</c:v>
                </c:pt>
                <c:pt idx="3">
                  <c:v>19</c:v>
                </c:pt>
                <c:pt idx="4">
                  <c:v>7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E-4051-8F32-7BEF86716472}"/>
            </c:ext>
          </c:extLst>
        </c:ser>
        <c:ser>
          <c:idx val="1"/>
          <c:order val="1"/>
          <c:tx>
            <c:strRef>
              <c:f>'Q5.78'!$D$5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'Q5.78'!$D$6:$D$11</c:f>
              <c:numCache>
                <c:formatCode>General</c:formatCode>
                <c:ptCount val="6"/>
                <c:pt idx="0">
                  <c:v>531</c:v>
                </c:pt>
                <c:pt idx="1">
                  <c:v>4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E-4051-8F32-7BEF867164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754240"/>
        <c:axId val="171755776"/>
      </c:barChart>
      <c:catAx>
        <c:axId val="171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55776"/>
        <c:crosses val="autoZero"/>
        <c:auto val="1"/>
        <c:lblAlgn val="ctr"/>
        <c:lblOffset val="100"/>
        <c:noMultiLvlLbl val="0"/>
      </c:catAx>
      <c:valAx>
        <c:axId val="1717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5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501671-2470-433A-87E5-07F159864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1E912B-5FC6-41BB-8062-8E460675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D46FF91-5287-47F2-A157-77D5499A50DA}"/>
            </a:ext>
            <a:ext uri="{147F2762-F138-4A5C-976F-8EAC2B608ADB}">
              <a16:predDERef xmlns:a16="http://schemas.microsoft.com/office/drawing/2014/main" pred="{861E912B-5FC6-41BB-8062-8E460675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EA67560-801A-4794-B7AE-0436719C7C01}"/>
            </a:ext>
            <a:ext uri="{147F2762-F138-4A5C-976F-8EAC2B608ADB}">
              <a16:predDERef xmlns:a16="http://schemas.microsoft.com/office/drawing/2014/main" pred="{7D46FF91-5287-47F2-A157-77D5499A5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FD8869C-31B1-4AE5-8879-9314C5ABD990}"/>
            </a:ext>
            <a:ext uri="{147F2762-F138-4A5C-976F-8EAC2B608ADB}">
              <a16:predDERef xmlns:a16="http://schemas.microsoft.com/office/drawing/2014/main" pred="{AEA67560-801A-4794-B7AE-0436719C7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71B42F-E4C8-4AFD-BA68-80D2388D8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12E8D2A-D2BC-4FA5-89DB-166067A48C1E}"/>
            </a:ext>
            <a:ext uri="{147F2762-F138-4A5C-976F-8EAC2B608ADB}">
              <a16:predDERef xmlns:a16="http://schemas.microsoft.com/office/drawing/2014/main" pred="{9871B42F-E4C8-4AFD-BA68-80D2388D8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257BC2A2-EC41-42DA-8CC3-9CBDF3DF1DE7}"/>
            </a:ext>
            <a:ext uri="{147F2762-F138-4A5C-976F-8EAC2B608ADB}">
              <a16:predDERef xmlns:a16="http://schemas.microsoft.com/office/drawing/2014/main" pred="{E12E8D2A-D2BC-4FA5-89DB-166067A4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F749BD0-C251-410B-92BC-29E237B4291A}"/>
            </a:ext>
            <a:ext uri="{147F2762-F138-4A5C-976F-8EAC2B608ADB}">
              <a16:predDERef xmlns:a16="http://schemas.microsoft.com/office/drawing/2014/main" pred="{257BC2A2-EC41-42DA-8CC3-9CBDF3DF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A9A895-707C-4D2B-975E-0F717CDA7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86DEF14-8F01-473B-BF70-2DAE2A13B442}"/>
            </a:ext>
            <a:ext uri="{147F2762-F138-4A5C-976F-8EAC2B608ADB}">
              <a16:predDERef xmlns:a16="http://schemas.microsoft.com/office/drawing/2014/main" pred="{29A9A895-707C-4D2B-975E-0F717CDA7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C003DE04-752E-44EC-A8E3-D559FA2FDD04}"/>
            </a:ext>
            <a:ext uri="{147F2762-F138-4A5C-976F-8EAC2B608ADB}">
              <a16:predDERef xmlns:a16="http://schemas.microsoft.com/office/drawing/2014/main" pred="{986DEF14-8F01-473B-BF70-2DAE2A13B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C013E78-5AD4-430A-B75C-048C3C8935DA}"/>
            </a:ext>
            <a:ext uri="{147F2762-F138-4A5C-976F-8EAC2B608ADB}">
              <a16:predDERef xmlns:a16="http://schemas.microsoft.com/office/drawing/2014/main" pred="{C003DE04-752E-44EC-A8E3-D559FA2FD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6A1BBE-01A8-45D4-B5CB-C312EB7C6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542795D-1C0E-4A8B-AB20-3E5BDF95833E}"/>
            </a:ext>
            <a:ext uri="{147F2762-F138-4A5C-976F-8EAC2B608ADB}">
              <a16:predDERef xmlns:a16="http://schemas.microsoft.com/office/drawing/2014/main" pred="{946A1BBE-01A8-45D4-B5CB-C312EB7C6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717BE1D1-B078-4DFA-B714-1B3D09BD3CAD}"/>
            </a:ext>
            <a:ext uri="{147F2762-F138-4A5C-976F-8EAC2B608ADB}">
              <a16:predDERef xmlns:a16="http://schemas.microsoft.com/office/drawing/2014/main" pred="{3542795D-1C0E-4A8B-AB20-3E5BDF95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A676F9C-8CA3-4C27-ABE7-125A7364FDAC}"/>
            </a:ext>
            <a:ext uri="{147F2762-F138-4A5C-976F-8EAC2B608ADB}">
              <a16:predDERef xmlns:a16="http://schemas.microsoft.com/office/drawing/2014/main" pred="{717BE1D1-B078-4DFA-B714-1B3D09BD3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703B3F-25A9-40F1-9351-8DF67AA4C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A9076C8-D6C2-408A-916B-B4D9DCF8E322}"/>
            </a:ext>
            <a:ext uri="{147F2762-F138-4A5C-976F-8EAC2B608ADB}">
              <a16:predDERef xmlns:a16="http://schemas.microsoft.com/office/drawing/2014/main" pred="{F6703B3F-25A9-40F1-9351-8DF67AA4C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61F06C9A-B922-4AEB-82B9-71BA0847A613}"/>
            </a:ext>
            <a:ext uri="{147F2762-F138-4A5C-976F-8EAC2B608ADB}">
              <a16:predDERef xmlns:a16="http://schemas.microsoft.com/office/drawing/2014/main" pred="{7A9076C8-D6C2-408A-916B-B4D9DCF8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D03A10A-FDAB-404B-8BFD-DAA7AABA5E74}"/>
            </a:ext>
            <a:ext uri="{147F2762-F138-4A5C-976F-8EAC2B608ADB}">
              <a16:predDERef xmlns:a16="http://schemas.microsoft.com/office/drawing/2014/main" pred="{61F06C9A-B922-4AEB-82B9-71BA0847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BC2610-A258-41B5-8536-3681AEB5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E5AEEB2-E3DD-4B21-84F9-5D4494D78791}"/>
            </a:ext>
            <a:ext uri="{147F2762-F138-4A5C-976F-8EAC2B608ADB}">
              <a16:predDERef xmlns:a16="http://schemas.microsoft.com/office/drawing/2014/main" pred="{C9BC2610-A258-41B5-8536-3681AEB5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BABF88B-956C-4B23-B84D-C3442B1EEF1F}"/>
            </a:ext>
            <a:ext uri="{147F2762-F138-4A5C-976F-8EAC2B608ADB}">
              <a16:predDERef xmlns:a16="http://schemas.microsoft.com/office/drawing/2014/main" pred="{5E5AEEB2-E3DD-4B21-84F9-5D4494D78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3192A58-A0A1-4022-B02E-464009C65DD9}"/>
            </a:ext>
            <a:ext uri="{147F2762-F138-4A5C-976F-8EAC2B608ADB}">
              <a16:predDERef xmlns:a16="http://schemas.microsoft.com/office/drawing/2014/main" pred="{3BABF88B-956C-4B23-B84D-C3442B1EE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"/>
  <sheetViews>
    <sheetView showGridLines="0" tabSelected="1" topLeftCell="A19" zoomScaleNormal="100" workbookViewId="0">
      <selection activeCell="A24" sqref="A24:F29"/>
    </sheetView>
  </sheetViews>
  <sheetFormatPr defaultRowHeight="15" x14ac:dyDescent="0.2"/>
  <cols>
    <col min="1" max="1" width="9" style="41" customWidth="1"/>
    <col min="2" max="2" width="11.5703125" style="41" customWidth="1"/>
    <col min="3" max="3" width="19.28515625" style="41" customWidth="1"/>
    <col min="4" max="4" width="25.85546875" style="41" customWidth="1"/>
    <col min="5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9" t="s">
        <v>9</v>
      </c>
      <c r="B11" s="69"/>
      <c r="C11" s="69"/>
      <c r="D11" s="69"/>
      <c r="E11" s="69"/>
      <c r="F11" s="69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71" t="s">
        <v>11</v>
      </c>
      <c r="C14" s="72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3">
        <f>COUNTIF(Resp5[Vínculo],A15)</f>
        <v>833</v>
      </c>
      <c r="C15" s="74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3">
        <f>COUNTIF(Resp5[Vínculo],A16)</f>
        <v>574</v>
      </c>
      <c r="C16" s="74"/>
      <c r="D16" s="56">
        <v>2675</v>
      </c>
      <c r="E16" s="57">
        <f t="shared" ref="E16:E17" si="0">ROUND(B16/$D16*100,3)</f>
        <v>21.457999999999998</v>
      </c>
      <c r="F16" s="51"/>
    </row>
    <row r="17" spans="1:12" x14ac:dyDescent="0.2">
      <c r="A17" s="59" t="s">
        <v>16</v>
      </c>
      <c r="B17" s="73">
        <f>SUM(B15:B16)</f>
        <v>1407</v>
      </c>
      <c r="C17" s="74"/>
      <c r="D17" s="56">
        <f>SUM(D15:D16)</f>
        <v>4694</v>
      </c>
      <c r="E17" s="57">
        <f t="shared" si="0"/>
        <v>29.974</v>
      </c>
      <c r="F17" s="51"/>
    </row>
    <row r="18" spans="1:12" x14ac:dyDescent="0.2">
      <c r="A18" s="52">
        <v>1</v>
      </c>
      <c r="B18" s="70" t="s">
        <v>17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</row>
    <row r="19" spans="1:12" x14ac:dyDescent="0.2">
      <c r="A19" s="52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</row>
    <row r="20" spans="1:12" x14ac:dyDescent="0.2">
      <c r="A20" s="52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</row>
    <row r="21" spans="1:12" x14ac:dyDescent="0.2">
      <c r="A21" s="41" t="s">
        <v>18</v>
      </c>
    </row>
    <row r="22" spans="1:12" ht="39.75" customHeight="1" x14ac:dyDescent="0.2">
      <c r="A22" s="69" t="s">
        <v>19</v>
      </c>
      <c r="B22" s="69"/>
      <c r="C22" s="69"/>
      <c r="D22" s="69"/>
      <c r="E22" s="69"/>
      <c r="F22" s="69"/>
      <c r="G22" s="69"/>
      <c r="H22" s="69"/>
      <c r="I22" s="69"/>
    </row>
    <row r="24" spans="1:12" ht="15.75" x14ac:dyDescent="0.25">
      <c r="A24" s="85" t="s">
        <v>20</v>
      </c>
      <c r="B24" s="85"/>
      <c r="C24"/>
      <c r="D24" s="86" t="s">
        <v>5</v>
      </c>
      <c r="E24" s="87"/>
      <c r="F24" s="88"/>
      <c r="G24" s="75"/>
      <c r="H24" s="75"/>
      <c r="I24" s="76"/>
      <c r="J24" s="75"/>
      <c r="K24" s="60"/>
    </row>
    <row r="25" spans="1:12" ht="15.75" x14ac:dyDescent="0.25">
      <c r="A25" s="89" t="s">
        <v>21</v>
      </c>
      <c r="B25" s="89"/>
      <c r="C25"/>
      <c r="D25" s="90" t="s">
        <v>22</v>
      </c>
      <c r="E25" s="90" t="s">
        <v>322</v>
      </c>
      <c r="F25" s="91"/>
      <c r="G25" s="75"/>
      <c r="H25" s="75"/>
      <c r="I25" s="78"/>
      <c r="J25" s="78"/>
      <c r="K25" s="60"/>
    </row>
    <row r="26" spans="1:12" ht="15.75" x14ac:dyDescent="0.25">
      <c r="A26" s="89" t="s">
        <v>23</v>
      </c>
      <c r="B26" s="89"/>
      <c r="C26"/>
      <c r="D26" s="92" t="s">
        <v>24</v>
      </c>
      <c r="E26" s="93" t="s">
        <v>25</v>
      </c>
      <c r="F26" s="94"/>
      <c r="G26" s="78"/>
      <c r="H26" s="75"/>
      <c r="I26" s="78"/>
      <c r="J26" s="78"/>
      <c r="K26" s="60"/>
    </row>
    <row r="27" spans="1:12" ht="15.75" x14ac:dyDescent="0.25">
      <c r="A27" s="89" t="s">
        <v>323</v>
      </c>
      <c r="B27" s="89"/>
      <c r="C27"/>
      <c r="D27" s="95" t="s">
        <v>26</v>
      </c>
      <c r="E27" s="96" t="s">
        <v>324</v>
      </c>
      <c r="F27" s="97"/>
      <c r="G27" s="78"/>
      <c r="H27" s="75"/>
      <c r="I27" s="78"/>
      <c r="J27" s="78"/>
      <c r="K27" s="60"/>
    </row>
    <row r="28" spans="1:12" ht="15.75" x14ac:dyDescent="0.25">
      <c r="A28" s="89" t="s">
        <v>27</v>
      </c>
      <c r="B28" s="89"/>
      <c r="C28" s="98"/>
      <c r="D28" s="98"/>
      <c r="E28" s="91"/>
      <c r="F28" s="97"/>
      <c r="G28" s="78"/>
      <c r="H28" s="75"/>
      <c r="I28" s="78"/>
      <c r="J28" s="78"/>
      <c r="K28" s="60"/>
    </row>
    <row r="29" spans="1:12" ht="15.75" x14ac:dyDescent="0.25">
      <c r="A29" s="89" t="s">
        <v>28</v>
      </c>
      <c r="B29" s="89"/>
      <c r="C29" s="98"/>
      <c r="D29" s="98"/>
      <c r="E29" s="91"/>
      <c r="F29" s="97"/>
      <c r="G29" s="80"/>
      <c r="H29" s="75"/>
      <c r="I29" s="75"/>
      <c r="J29" s="75"/>
      <c r="K29" s="60"/>
    </row>
    <row r="30" spans="1:12" ht="15.75" x14ac:dyDescent="0.25">
      <c r="A30" s="75"/>
      <c r="B30" s="79"/>
      <c r="C30" s="80"/>
      <c r="D30" s="80"/>
      <c r="E30" s="80"/>
      <c r="F30" s="80"/>
      <c r="G30" s="80"/>
      <c r="H30" s="75"/>
      <c r="I30" s="76"/>
      <c r="J30" s="75"/>
      <c r="K30" s="60"/>
    </row>
    <row r="31" spans="1:12" ht="15.75" x14ac:dyDescent="0.25">
      <c r="A31" s="75"/>
      <c r="B31" s="79"/>
      <c r="C31" s="80"/>
      <c r="D31" s="80"/>
      <c r="E31" s="80"/>
      <c r="F31" s="80"/>
      <c r="G31" s="80"/>
      <c r="H31" s="75"/>
      <c r="I31" s="78"/>
      <c r="J31" s="78"/>
      <c r="K31" s="60"/>
    </row>
    <row r="32" spans="1:12" ht="15.75" x14ac:dyDescent="0.25">
      <c r="A32" s="75"/>
      <c r="B32" s="75"/>
      <c r="C32" s="75"/>
      <c r="D32" s="75"/>
      <c r="E32" s="75"/>
      <c r="F32" s="75"/>
      <c r="G32" s="75"/>
      <c r="H32" s="75"/>
      <c r="I32" s="78"/>
      <c r="J32" s="78"/>
      <c r="K32" s="60"/>
    </row>
    <row r="33" spans="1:11" ht="15.75" x14ac:dyDescent="0.25">
      <c r="A33" s="75"/>
      <c r="B33" s="75"/>
      <c r="C33" s="81"/>
      <c r="D33" s="81"/>
      <c r="E33" s="75"/>
      <c r="F33" s="75"/>
      <c r="G33" s="75"/>
      <c r="H33" s="75"/>
      <c r="I33" s="75"/>
      <c r="J33" s="75"/>
      <c r="K33" s="60"/>
    </row>
    <row r="34" spans="1:11" ht="15.75" x14ac:dyDescent="0.25">
      <c r="A34" s="75"/>
      <c r="B34" s="75"/>
      <c r="C34" s="82"/>
      <c r="D34" s="83"/>
      <c r="E34" s="75"/>
      <c r="F34" s="75"/>
      <c r="G34" s="75"/>
      <c r="H34" s="75"/>
      <c r="I34" s="76"/>
      <c r="J34" s="75"/>
      <c r="K34" s="60"/>
    </row>
    <row r="35" spans="1:11" ht="15.75" x14ac:dyDescent="0.25">
      <c r="A35" s="75"/>
      <c r="B35" s="75"/>
      <c r="C35" s="82"/>
      <c r="D35" s="83"/>
      <c r="E35" s="75"/>
      <c r="F35" s="75"/>
      <c r="G35" s="75"/>
      <c r="H35" s="75"/>
      <c r="I35" s="78"/>
      <c r="J35" s="78"/>
      <c r="K35" s="60"/>
    </row>
    <row r="36" spans="1:11" ht="15.75" x14ac:dyDescent="0.25">
      <c r="A36" s="75"/>
      <c r="B36" s="75"/>
      <c r="C36" s="82"/>
      <c r="D36" s="77"/>
      <c r="E36" s="75"/>
      <c r="F36" s="75"/>
      <c r="G36" s="75"/>
      <c r="H36" s="75"/>
      <c r="I36" s="78"/>
      <c r="J36" s="78"/>
      <c r="K36" s="60"/>
    </row>
    <row r="37" spans="1:11" ht="15.75" x14ac:dyDescent="0.25">
      <c r="A37" s="75"/>
      <c r="B37" s="75"/>
      <c r="C37" s="75"/>
      <c r="D37" s="75"/>
      <c r="E37" s="75"/>
      <c r="F37" s="75"/>
      <c r="G37" s="75"/>
      <c r="H37" s="75"/>
      <c r="I37" s="84"/>
      <c r="J37" s="84"/>
      <c r="K37" s="60"/>
    </row>
    <row r="38" spans="1:11" ht="15.75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60"/>
    </row>
    <row r="39" spans="1:11" ht="15.75" x14ac:dyDescent="0.25">
      <c r="A39" s="75"/>
      <c r="B39" s="75"/>
      <c r="C39" s="75"/>
      <c r="D39" s="75"/>
      <c r="E39" s="75"/>
      <c r="F39" s="75"/>
      <c r="G39" s="75"/>
      <c r="H39" s="75"/>
      <c r="I39" s="76"/>
      <c r="J39" s="75"/>
      <c r="K39" s="60"/>
    </row>
    <row r="40" spans="1:11" ht="15.75" x14ac:dyDescent="0.25">
      <c r="A40" s="75"/>
      <c r="B40" s="75"/>
      <c r="C40" s="75"/>
      <c r="D40" s="75"/>
      <c r="E40" s="75"/>
      <c r="F40" s="75"/>
      <c r="G40" s="75"/>
      <c r="H40" s="75"/>
      <c r="I40" s="78"/>
      <c r="J40" s="78"/>
      <c r="K40" s="60"/>
    </row>
    <row r="41" spans="1:11" ht="15.75" x14ac:dyDescent="0.25">
      <c r="A41" s="75"/>
      <c r="B41" s="75"/>
      <c r="C41" s="75"/>
      <c r="D41" s="75"/>
      <c r="E41" s="75"/>
      <c r="F41" s="75"/>
      <c r="G41" s="75"/>
      <c r="H41" s="75"/>
      <c r="I41" s="78"/>
      <c r="J41" s="78"/>
      <c r="K41" s="60"/>
    </row>
    <row r="42" spans="1:11" ht="15.75" x14ac:dyDescent="0.25">
      <c r="A42" s="75"/>
      <c r="B42" s="75"/>
      <c r="C42" s="75"/>
      <c r="D42" s="75"/>
      <c r="E42" s="75"/>
      <c r="F42" s="75"/>
      <c r="G42" s="75"/>
      <c r="H42" s="75"/>
      <c r="I42" s="78"/>
      <c r="J42" s="78"/>
      <c r="K42" s="60"/>
    </row>
    <row r="43" spans="1:11" ht="15.75" x14ac:dyDescent="0.25">
      <c r="A43" s="60"/>
      <c r="B43" s="60"/>
      <c r="C43" s="60"/>
      <c r="D43" s="60"/>
      <c r="E43" s="60"/>
      <c r="F43" s="60"/>
      <c r="G43" s="60"/>
      <c r="H43" s="60"/>
      <c r="I43" s="67"/>
      <c r="J43" s="67"/>
      <c r="K43" s="60"/>
    </row>
    <row r="44" spans="1:11" ht="15.75" x14ac:dyDescent="0.25">
      <c r="A44" s="60"/>
      <c r="B44" s="60"/>
      <c r="C44" s="60"/>
      <c r="D44" s="60"/>
      <c r="E44" s="60"/>
      <c r="F44" s="60"/>
      <c r="G44" s="60"/>
      <c r="H44" s="60"/>
      <c r="I44" s="66"/>
      <c r="J44" s="66"/>
      <c r="K44" s="60"/>
    </row>
    <row r="45" spans="1:11" ht="15.75" x14ac:dyDescent="0.25">
      <c r="A45" s="60"/>
      <c r="B45" s="60"/>
      <c r="C45" s="60"/>
      <c r="D45" s="60"/>
      <c r="E45" s="60"/>
      <c r="F45" s="60"/>
      <c r="G45" s="60"/>
      <c r="H45" s="60"/>
      <c r="I45" s="65"/>
      <c r="J45" s="66"/>
      <c r="K45" s="60"/>
    </row>
    <row r="46" spans="1:11" ht="15.75" x14ac:dyDescent="0.25">
      <c r="A46" s="60"/>
      <c r="B46" s="60"/>
      <c r="C46" s="60"/>
      <c r="D46" s="60"/>
      <c r="E46" s="60"/>
      <c r="F46" s="60"/>
      <c r="G46" s="60"/>
      <c r="H46" s="60"/>
      <c r="I46" s="67"/>
      <c r="J46" s="67"/>
      <c r="K46" s="60"/>
    </row>
    <row r="47" spans="1:11" ht="15.75" x14ac:dyDescent="0.25">
      <c r="A47" s="60"/>
      <c r="B47" s="60"/>
      <c r="C47" s="60"/>
      <c r="D47" s="60"/>
      <c r="E47" s="60"/>
      <c r="F47" s="60"/>
      <c r="G47" s="60"/>
      <c r="H47" s="60"/>
      <c r="I47" s="67"/>
      <c r="J47" s="67"/>
      <c r="K47" s="60"/>
    </row>
    <row r="48" spans="1:11" ht="15.75" x14ac:dyDescent="0.25">
      <c r="A48" s="60"/>
      <c r="B48" s="60"/>
      <c r="C48" s="60"/>
      <c r="D48" s="60"/>
      <c r="E48" s="60"/>
      <c r="F48" s="60"/>
      <c r="G48" s="60"/>
      <c r="H48" s="60"/>
      <c r="I48" s="67"/>
      <c r="J48" s="67"/>
      <c r="K48" s="60"/>
    </row>
    <row r="49" spans="2:11" ht="15.75" x14ac:dyDescent="0.25">
      <c r="B49" s="60"/>
      <c r="C49" s="60"/>
      <c r="D49" s="60"/>
      <c r="E49" s="60"/>
      <c r="F49" s="60"/>
      <c r="G49" s="60"/>
      <c r="H49" s="60"/>
      <c r="I49" s="68"/>
      <c r="J49" s="68"/>
    </row>
    <row r="50" spans="2:11" ht="15.75" x14ac:dyDescent="0.25">
      <c r="I50" s="65"/>
      <c r="J50" s="68"/>
    </row>
    <row r="51" spans="2:11" ht="15.75" x14ac:dyDescent="0.25">
      <c r="I51" s="66"/>
      <c r="J51" s="66"/>
      <c r="K51" s="60"/>
    </row>
    <row r="52" spans="2:11" x14ac:dyDescent="0.2">
      <c r="I52" s="68"/>
      <c r="J52" s="68"/>
    </row>
    <row r="53" spans="2:11" x14ac:dyDescent="0.2">
      <c r="I53" s="68"/>
      <c r="J53" s="68"/>
    </row>
    <row r="54" spans="2:11" x14ac:dyDescent="0.2">
      <c r="I54" s="68"/>
      <c r="J54" s="68"/>
    </row>
    <row r="55" spans="2:11" x14ac:dyDescent="0.2">
      <c r="I55" s="68"/>
      <c r="J55" s="68"/>
    </row>
    <row r="56" spans="2:11" x14ac:dyDescent="0.2">
      <c r="I56" s="68"/>
      <c r="J56" s="68"/>
    </row>
    <row r="57" spans="2:11" x14ac:dyDescent="0.2">
      <c r="I57" s="68"/>
      <c r="J57" s="68"/>
    </row>
    <row r="58" spans="2:11" x14ac:dyDescent="0.2">
      <c r="I58" s="68"/>
      <c r="J58" s="68"/>
    </row>
    <row r="59" spans="2:11" x14ac:dyDescent="0.2">
      <c r="I59" s="68"/>
      <c r="J59" s="68"/>
    </row>
    <row r="60" spans="2:11" x14ac:dyDescent="0.2">
      <c r="I60" s="68"/>
      <c r="J60" s="68"/>
    </row>
    <row r="61" spans="2:11" x14ac:dyDescent="0.2">
      <c r="I61" s="68"/>
      <c r="J61" s="68"/>
    </row>
    <row r="62" spans="2:11" x14ac:dyDescent="0.2">
      <c r="I62" s="68"/>
      <c r="J62" s="68"/>
    </row>
    <row r="63" spans="2:11" x14ac:dyDescent="0.2">
      <c r="I63" s="68"/>
      <c r="J63" s="68"/>
    </row>
    <row r="64" spans="2:11" x14ac:dyDescent="0.2">
      <c r="I64" s="68"/>
      <c r="J64" s="68"/>
    </row>
    <row r="65" spans="9:10" x14ac:dyDescent="0.2">
      <c r="I65" s="68"/>
      <c r="J65" s="68"/>
    </row>
    <row r="66" spans="9:10" x14ac:dyDescent="0.2">
      <c r="I66" s="68"/>
      <c r="J66" s="68"/>
    </row>
    <row r="67" spans="9:10" x14ac:dyDescent="0.2">
      <c r="I67" s="68"/>
      <c r="J67" s="68"/>
    </row>
    <row r="68" spans="9:10" x14ac:dyDescent="0.2">
      <c r="I68" s="68"/>
      <c r="J68" s="68"/>
    </row>
    <row r="69" spans="9:10" x14ac:dyDescent="0.2">
      <c r="I69" s="68"/>
      <c r="J69" s="68"/>
    </row>
    <row r="70" spans="9:10" x14ac:dyDescent="0.2">
      <c r="I70" s="68"/>
      <c r="J70" s="68"/>
    </row>
    <row r="71" spans="9:10" x14ac:dyDescent="0.2">
      <c r="I71" s="68"/>
      <c r="J71" s="68"/>
    </row>
    <row r="72" spans="9:10" x14ac:dyDescent="0.2">
      <c r="I72" s="68"/>
      <c r="J72" s="68"/>
    </row>
    <row r="73" spans="9:10" x14ac:dyDescent="0.2">
      <c r="I73" s="68"/>
      <c r="J73" s="68"/>
    </row>
    <row r="74" spans="9:10" x14ac:dyDescent="0.2">
      <c r="I74" s="68"/>
      <c r="J74" s="68"/>
    </row>
    <row r="75" spans="9:10" x14ac:dyDescent="0.2">
      <c r="I75" s="68"/>
      <c r="J75" s="68"/>
    </row>
    <row r="76" spans="9:10" x14ac:dyDescent="0.2">
      <c r="I76" s="68"/>
      <c r="J76" s="68"/>
    </row>
    <row r="77" spans="9:10" x14ac:dyDescent="0.2">
      <c r="I77" s="68"/>
      <c r="J77" s="68"/>
    </row>
    <row r="78" spans="9:10" x14ac:dyDescent="0.2">
      <c r="I78" s="68"/>
      <c r="J78" s="68"/>
    </row>
    <row r="79" spans="9:10" x14ac:dyDescent="0.2">
      <c r="I79" s="68"/>
      <c r="J79" s="68"/>
    </row>
    <row r="80" spans="9:10" x14ac:dyDescent="0.2">
      <c r="I80" s="68"/>
      <c r="J80" s="68"/>
    </row>
    <row r="81" spans="9:10" x14ac:dyDescent="0.2">
      <c r="I81" s="68"/>
      <c r="J81" s="68"/>
    </row>
    <row r="82" spans="9:10" x14ac:dyDescent="0.2">
      <c r="I82" s="68"/>
      <c r="J82" s="68"/>
    </row>
    <row r="83" spans="9:10" x14ac:dyDescent="0.2">
      <c r="I83" s="68"/>
      <c r="J83" s="68"/>
    </row>
    <row r="84" spans="9:10" x14ac:dyDescent="0.2">
      <c r="I84" s="68"/>
      <c r="J84" s="68"/>
    </row>
    <row r="85" spans="9:10" x14ac:dyDescent="0.2">
      <c r="I85" s="68"/>
      <c r="J85" s="68"/>
    </row>
    <row r="86" spans="9:10" x14ac:dyDescent="0.2">
      <c r="I86" s="68"/>
      <c r="J86" s="68"/>
    </row>
    <row r="87" spans="9:10" x14ac:dyDescent="0.2">
      <c r="I87" s="68"/>
      <c r="J87" s="68"/>
    </row>
    <row r="88" spans="9:10" x14ac:dyDescent="0.2">
      <c r="I88" s="68"/>
      <c r="J88" s="68"/>
    </row>
    <row r="89" spans="9:10" x14ac:dyDescent="0.2">
      <c r="I89" s="68"/>
      <c r="J89" s="68"/>
    </row>
    <row r="90" spans="9:10" x14ac:dyDescent="0.2">
      <c r="I90" s="68"/>
      <c r="J90" s="68"/>
    </row>
    <row r="91" spans="9:10" x14ac:dyDescent="0.2">
      <c r="I91" s="68"/>
      <c r="J91" s="68"/>
    </row>
    <row r="92" spans="9:10" x14ac:dyDescent="0.2">
      <c r="I92" s="68"/>
      <c r="J92" s="68"/>
    </row>
    <row r="93" spans="9:10" x14ac:dyDescent="0.2">
      <c r="I93" s="68"/>
      <c r="J93" s="68"/>
    </row>
    <row r="94" spans="9:10" x14ac:dyDescent="0.2">
      <c r="I94" s="68"/>
      <c r="J94" s="68"/>
    </row>
    <row r="95" spans="9:10" x14ac:dyDescent="0.2">
      <c r="I95" s="68"/>
      <c r="J95" s="68"/>
    </row>
    <row r="96" spans="9:10" x14ac:dyDescent="0.2">
      <c r="I96" s="68"/>
      <c r="J96" s="68"/>
    </row>
    <row r="97" spans="9:10" x14ac:dyDescent="0.2">
      <c r="I97" s="68"/>
      <c r="J97" s="68"/>
    </row>
    <row r="98" spans="9:10" x14ac:dyDescent="0.2">
      <c r="I98" s="68"/>
      <c r="J98" s="68"/>
    </row>
    <row r="99" spans="9:10" x14ac:dyDescent="0.2">
      <c r="I99" s="68"/>
      <c r="J99" s="68"/>
    </row>
    <row r="100" spans="9:10" x14ac:dyDescent="0.2">
      <c r="I100" s="68"/>
      <c r="J100" s="68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111</v>
      </c>
      <c r="B1" s="8"/>
      <c r="C1" s="8"/>
    </row>
    <row r="2" spans="1:13" ht="15" x14ac:dyDescent="0.25">
      <c r="A2" s="8" t="str">
        <f>TEXT(A1,"0.000")</f>
        <v>5.81</v>
      </c>
      <c r="B2" s="8" t="str">
        <f>VLOOKUP(A$2, Eixo5[], 3, FALSE)</f>
        <v>Avalie os serviços prestados pelas unidades da SUINFRA que você utilizou em 2021: [Assessoria do Plano Diretor]</v>
      </c>
    </row>
    <row r="3" spans="1:13" ht="15" x14ac:dyDescent="0.25">
      <c r="A3" s="8" t="s">
        <v>302</v>
      </c>
      <c r="B3" s="8" t="str">
        <f>VLOOKUP(A$2, Eixo5[], 4, FALSE)</f>
        <v>Eixo 5: questão 81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769</v>
      </c>
      <c r="D6" s="8">
        <f>COUNTIF(Resp5[],"docente")-SUM(D$7:D$11)</f>
        <v>542</v>
      </c>
      <c r="E6" s="11">
        <f>E12-SUM(E7:E11)</f>
        <v>1311</v>
      </c>
      <c r="F6" s="14">
        <f>ROUND($E6/E$12*100,2)</f>
        <v>93.18</v>
      </c>
      <c r="G6" s="14"/>
      <c r="J6" s="29"/>
    </row>
    <row r="7" spans="1:13" ht="15" x14ac:dyDescent="0.25">
      <c r="B7" s="8" t="s">
        <v>244</v>
      </c>
      <c r="C7" s="11">
        <f>COUNTIFS(Resp5[Vínculo],"tecnico",Resp5[5.81],B7)</f>
        <v>22</v>
      </c>
      <c r="D7" s="11">
        <f>COUNTIFS(Resp5[Vínculo],"docente",Resp5[5.81],B7)</f>
        <v>4</v>
      </c>
      <c r="E7" s="11">
        <f>COUNTIF(Resp5[5.81],B7)</f>
        <v>26</v>
      </c>
      <c r="F7" s="14">
        <f t="shared" ref="F7:F12" si="0">ROUND($E7/E$12*100,2)</f>
        <v>1.85</v>
      </c>
      <c r="G7" s="14">
        <f>ROUND($E7/SUM($E$7:$E$11)*100,3)</f>
        <v>27.082999999999998</v>
      </c>
      <c r="H7">
        <f>E7*10</f>
        <v>260</v>
      </c>
      <c r="J7" s="14">
        <f>E11/SUM(E7:E11)</f>
        <v>0.11458333333333333</v>
      </c>
      <c r="M7" s="17"/>
    </row>
    <row r="8" spans="1:13" ht="15" x14ac:dyDescent="0.25">
      <c r="B8" s="8" t="s">
        <v>239</v>
      </c>
      <c r="C8" s="11">
        <f>COUNTIFS(Resp5[Vínculo],"tecnico",Resp5[5.81],B8)</f>
        <v>18</v>
      </c>
      <c r="D8" s="11">
        <f>COUNTIFS(Resp5[Vínculo],"docente",Resp5[5.81],B8)</f>
        <v>7</v>
      </c>
      <c r="E8" s="11">
        <f>COUNTIF(Resp5[5.81],B8)</f>
        <v>25</v>
      </c>
      <c r="F8" s="14">
        <f t="shared" si="0"/>
        <v>1.78</v>
      </c>
      <c r="G8" s="14">
        <f>ROUND($E8/SUM($E$7:$E$11)*100,3)</f>
        <v>26.042000000000002</v>
      </c>
      <c r="H8">
        <f>E8*8</f>
        <v>200</v>
      </c>
      <c r="J8" s="14">
        <f>(E11+E10)/SUM(E7:E11)</f>
        <v>0.28125</v>
      </c>
      <c r="M8" s="17"/>
    </row>
    <row r="9" spans="1:13" ht="15" x14ac:dyDescent="0.25">
      <c r="B9" s="8" t="s">
        <v>237</v>
      </c>
      <c r="C9" s="11">
        <f>COUNTIFS(Resp5[Vínculo],"tecnico",Resp5[5.81],B9)</f>
        <v>12</v>
      </c>
      <c r="D9" s="11">
        <f>COUNTIFS(Resp5[Vínculo],"docente",Resp5[5.81],B9)</f>
        <v>6</v>
      </c>
      <c r="E9" s="11">
        <f>COUNTIF(Resp5[5.81],B9)</f>
        <v>18</v>
      </c>
      <c r="F9" s="14">
        <f t="shared" si="0"/>
        <v>1.28</v>
      </c>
      <c r="G9" s="14">
        <f>ROUND($E9/SUM($E$7:$E$11)*100,3)</f>
        <v>18.75</v>
      </c>
      <c r="H9">
        <f>E9*6</f>
        <v>108</v>
      </c>
      <c r="J9" s="14">
        <f>(E11+E10+E9)/SUM(E7:E11)</f>
        <v>0.46875</v>
      </c>
      <c r="M9" s="17"/>
    </row>
    <row r="10" spans="1:13" ht="15" x14ac:dyDescent="0.25">
      <c r="B10" s="8" t="s">
        <v>242</v>
      </c>
      <c r="C10" s="11">
        <f>COUNTIFS(Resp5[Vínculo],"tecnico",Resp5[5.81],B10)</f>
        <v>9</v>
      </c>
      <c r="D10" s="11">
        <f>COUNTIFS(Resp5[Vínculo],"docente",Resp5[5.81],B10)</f>
        <v>7</v>
      </c>
      <c r="E10" s="11">
        <f>COUNTIF(Resp5[5.81],B10)</f>
        <v>16</v>
      </c>
      <c r="F10" s="14">
        <f t="shared" si="0"/>
        <v>1.1399999999999999</v>
      </c>
      <c r="G10" s="14">
        <f>ROUND($E10/SUM($E$7:$E$11)*100,3)</f>
        <v>16.667000000000002</v>
      </c>
      <c r="H10">
        <f>E10*4</f>
        <v>64</v>
      </c>
      <c r="J10" s="14">
        <f>(E11+E10+E9+E8)/SUM(E7:E11)</f>
        <v>0.72916666666666663</v>
      </c>
      <c r="M10" s="17"/>
    </row>
    <row r="11" spans="1:13" ht="15" x14ac:dyDescent="0.25">
      <c r="B11" s="16" t="s">
        <v>241</v>
      </c>
      <c r="C11" s="11">
        <f>COUNTIFS(Resp5[Vínculo],"tecnico",Resp5[5.81],B11)</f>
        <v>3</v>
      </c>
      <c r="D11" s="11">
        <f>COUNTIFS(Resp5[Vínculo],"docente",Resp5[5.81],B11)</f>
        <v>8</v>
      </c>
      <c r="E11" s="11">
        <f>COUNTIF(Resp5[5.81],B11)</f>
        <v>11</v>
      </c>
      <c r="F11" s="14">
        <f t="shared" si="0"/>
        <v>0.78</v>
      </c>
      <c r="G11" s="14">
        <f>ROUND($E11/SUM($E$7:$E$11)*100,3)</f>
        <v>11.458</v>
      </c>
      <c r="H11">
        <f>E11*2</f>
        <v>22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6.8125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12</v>
      </c>
      <c r="E16" s="19">
        <f>ROUND(D16/SUM(D$16:D$18)*100,3)</f>
        <v>18.75</v>
      </c>
    </row>
    <row r="17" spans="2:5" ht="15" x14ac:dyDescent="0.25">
      <c r="B17" s="36" t="s">
        <v>317</v>
      </c>
      <c r="C17" s="36" t="s">
        <v>24</v>
      </c>
      <c r="D17" s="18">
        <f>C9</f>
        <v>12</v>
      </c>
      <c r="E17" s="19">
        <f>ROUND(D17/SUM(D$16:D$18)*100,3)</f>
        <v>18.75</v>
      </c>
    </row>
    <row r="18" spans="2:5" ht="15" x14ac:dyDescent="0.25">
      <c r="B18" s="39" t="s">
        <v>318</v>
      </c>
      <c r="C18" s="39" t="s">
        <v>26</v>
      </c>
      <c r="D18" s="26">
        <f>SUM(C7:C8)</f>
        <v>40</v>
      </c>
      <c r="E18" s="27">
        <f>ROUND(D18/SUM(D$16:D$18)*100,3)</f>
        <v>62.5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15</v>
      </c>
      <c r="E22" s="19">
        <f>ROUND(D22/SUM(D$22:D$24)*100,3)</f>
        <v>46.875</v>
      </c>
    </row>
    <row r="23" spans="2:5" ht="15" x14ac:dyDescent="0.25">
      <c r="B23" s="36" t="s">
        <v>317</v>
      </c>
      <c r="C23" s="36" t="s">
        <v>24</v>
      </c>
      <c r="D23" s="18">
        <f>D9</f>
        <v>6</v>
      </c>
      <c r="E23" s="19">
        <f>ROUND(D23/SUM(D$22:D$24)*100,3)</f>
        <v>18.75</v>
      </c>
    </row>
    <row r="24" spans="2:5" ht="15" x14ac:dyDescent="0.25">
      <c r="B24" s="39" t="s">
        <v>318</v>
      </c>
      <c r="C24" s="39" t="s">
        <v>26</v>
      </c>
      <c r="D24" s="26">
        <f>SUM(D7:D8)</f>
        <v>11</v>
      </c>
      <c r="E24" s="27">
        <f>ROUND(D24/SUM(D$22:D$24)*100,3)</f>
        <v>34.375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10</v>
      </c>
      <c r="D28" s="31">
        <f>H12</f>
        <v>6.8125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112</v>
      </c>
      <c r="B1" s="8"/>
      <c r="C1" s="8"/>
    </row>
    <row r="2" spans="1:13" ht="15" x14ac:dyDescent="0.25">
      <c r="A2" s="8" t="str">
        <f>TEXT(A1,"0.000")</f>
        <v>5.82</v>
      </c>
      <c r="B2" s="8" t="str">
        <f>VLOOKUP(A$2, Eixo5[], 3, FALSE)</f>
        <v>Avalie os serviços prestados pelas unidades da SUINFRA que você utilizou em 2021: [Divisão de Gestão Ambiental]</v>
      </c>
    </row>
    <row r="3" spans="1:13" ht="15" x14ac:dyDescent="0.25">
      <c r="A3" s="8" t="s">
        <v>302</v>
      </c>
      <c r="B3" s="8" t="str">
        <f>VLOOKUP(A$2, Eixo5[], 4, FALSE)</f>
        <v>Eixo 5: questão 82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757</v>
      </c>
      <c r="D6" s="8">
        <f>COUNTIF(Resp5[],"docente")-SUM(D$7:D$11)</f>
        <v>548</v>
      </c>
      <c r="E6" s="11">
        <f>E12-SUM(E7:E11)</f>
        <v>1305</v>
      </c>
      <c r="F6" s="14">
        <f>ROUND($E6/E$12*100,2)</f>
        <v>92.75</v>
      </c>
      <c r="G6" s="14"/>
      <c r="J6" s="29"/>
    </row>
    <row r="7" spans="1:13" ht="15" x14ac:dyDescent="0.25">
      <c r="B7" s="8" t="s">
        <v>244</v>
      </c>
      <c r="C7" s="11">
        <f>COUNTIFS(Resp5[Vínculo],"tecnico",Resp5[5.82],B7)</f>
        <v>16</v>
      </c>
      <c r="D7" s="11">
        <f>COUNTIFS(Resp5[Vínculo],"docente",Resp5[5.82],B7)</f>
        <v>1</v>
      </c>
      <c r="E7" s="11">
        <f>COUNTIF(Resp5[5.82],B7)</f>
        <v>17</v>
      </c>
      <c r="F7" s="14">
        <f t="shared" ref="F7:F12" si="0">ROUND($E7/E$12*100,2)</f>
        <v>1.21</v>
      </c>
      <c r="G7" s="14">
        <f>ROUND($E7/SUM($E$7:$E$11)*100,3)</f>
        <v>16.667000000000002</v>
      </c>
      <c r="H7">
        <f>E7*10</f>
        <v>170</v>
      </c>
      <c r="J7" s="14">
        <f>E11/SUM(E7:E11)</f>
        <v>0.17647058823529413</v>
      </c>
      <c r="M7" s="17"/>
    </row>
    <row r="8" spans="1:13" ht="15" x14ac:dyDescent="0.25">
      <c r="B8" s="8" t="s">
        <v>239</v>
      </c>
      <c r="C8" s="11">
        <f>COUNTIFS(Resp5[Vínculo],"tecnico",Resp5[5.82],B8)</f>
        <v>19</v>
      </c>
      <c r="D8" s="11">
        <f>COUNTIFS(Resp5[Vínculo],"docente",Resp5[5.82],B8)</f>
        <v>4</v>
      </c>
      <c r="E8" s="11">
        <f>COUNTIF(Resp5[5.82],B8)</f>
        <v>23</v>
      </c>
      <c r="F8" s="14">
        <f t="shared" si="0"/>
        <v>1.63</v>
      </c>
      <c r="G8" s="14">
        <f>ROUND($E8/SUM($E$7:$E$11)*100,3)</f>
        <v>22.548999999999999</v>
      </c>
      <c r="H8">
        <f>E8*8</f>
        <v>184</v>
      </c>
      <c r="J8" s="14">
        <f>(E11+E10)/SUM(E7:E11)</f>
        <v>0.37254901960784315</v>
      </c>
      <c r="M8" s="17"/>
    </row>
    <row r="9" spans="1:13" ht="15" x14ac:dyDescent="0.25">
      <c r="B9" s="8" t="s">
        <v>237</v>
      </c>
      <c r="C9" s="11">
        <f>COUNTIFS(Resp5[Vínculo],"tecnico",Resp5[5.82],B9)</f>
        <v>19</v>
      </c>
      <c r="D9" s="11">
        <f>COUNTIFS(Resp5[Vínculo],"docente",Resp5[5.82],B9)</f>
        <v>5</v>
      </c>
      <c r="E9" s="11">
        <f>COUNTIF(Resp5[5.82],B9)</f>
        <v>24</v>
      </c>
      <c r="F9" s="14">
        <f t="shared" si="0"/>
        <v>1.71</v>
      </c>
      <c r="G9" s="14">
        <f>ROUND($E9/SUM($E$7:$E$11)*100,3)</f>
        <v>23.529</v>
      </c>
      <c r="H9">
        <f>E9*6</f>
        <v>144</v>
      </c>
      <c r="J9" s="14">
        <f>(E11+E10+E9)/SUM(E7:E11)</f>
        <v>0.60784313725490191</v>
      </c>
      <c r="M9" s="17"/>
    </row>
    <row r="10" spans="1:13" ht="15" x14ac:dyDescent="0.25">
      <c r="B10" s="8" t="s">
        <v>242</v>
      </c>
      <c r="C10" s="11">
        <f>COUNTIFS(Resp5[Vínculo],"tecnico",Resp5[5.82],B10)</f>
        <v>13</v>
      </c>
      <c r="D10" s="11">
        <f>COUNTIFS(Resp5[Vínculo],"docente",Resp5[5.82],B10)</f>
        <v>7</v>
      </c>
      <c r="E10" s="11">
        <f>COUNTIF(Resp5[5.82],B10)</f>
        <v>20</v>
      </c>
      <c r="F10" s="14">
        <f t="shared" si="0"/>
        <v>1.42</v>
      </c>
      <c r="G10" s="14">
        <f>ROUND($E10/SUM($E$7:$E$11)*100,3)</f>
        <v>19.608000000000001</v>
      </c>
      <c r="H10">
        <f>E10*4</f>
        <v>80</v>
      </c>
      <c r="J10" s="14">
        <f>(E11+E10+E9+E8)/SUM(E7:E11)</f>
        <v>0.83333333333333337</v>
      </c>
      <c r="M10" s="17"/>
    </row>
    <row r="11" spans="1:13" ht="15" x14ac:dyDescent="0.25">
      <c r="B11" s="16" t="s">
        <v>241</v>
      </c>
      <c r="C11" s="11">
        <f>COUNTIFS(Resp5[Vínculo],"tecnico",Resp5[5.82],B11)</f>
        <v>9</v>
      </c>
      <c r="D11" s="11">
        <f>COUNTIFS(Resp5[Vínculo],"docente",Resp5[5.82],B11)</f>
        <v>9</v>
      </c>
      <c r="E11" s="11">
        <f>COUNTIF(Resp5[5.82],B11)</f>
        <v>18</v>
      </c>
      <c r="F11" s="14">
        <f t="shared" si="0"/>
        <v>1.28</v>
      </c>
      <c r="G11" s="14">
        <f>ROUND($E11/SUM($E$7:$E$11)*100,3)</f>
        <v>17.646999999999998</v>
      </c>
      <c r="H11">
        <f>E11*2</f>
        <v>36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6.0196078431372548</v>
      </c>
      <c r="I12">
        <f>IF(MAX(E$7:E$11)=E7,10,IF(MAX(E$7:E$11)=E8,8,IF(MAX(E$7:E$11)=E9,6,IF(MAX(E$7:E$11)=E10,4,2))))</f>
        <v>6</v>
      </c>
      <c r="J12" s="14">
        <f>IF(J7&gt;=0.5,2,IF(J8&gt;=0.5,4,IF(J9&gt;=0.5,6,IF(J10&gt;=0.5,8,10))))</f>
        <v>6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22</v>
      </c>
      <c r="E16" s="19">
        <f>ROUND(D16/SUM(D$16:D$18)*100,3)</f>
        <v>28.946999999999999</v>
      </c>
    </row>
    <row r="17" spans="2:5" ht="15" x14ac:dyDescent="0.25">
      <c r="B17" s="36" t="s">
        <v>317</v>
      </c>
      <c r="C17" s="36" t="s">
        <v>24</v>
      </c>
      <c r="D17" s="18">
        <f>C9</f>
        <v>19</v>
      </c>
      <c r="E17" s="19">
        <f>ROUND(D17/SUM(D$16:D$18)*100,3)</f>
        <v>25</v>
      </c>
    </row>
    <row r="18" spans="2:5" ht="15" x14ac:dyDescent="0.25">
      <c r="B18" s="39" t="s">
        <v>318</v>
      </c>
      <c r="C18" s="39" t="s">
        <v>26</v>
      </c>
      <c r="D18" s="26">
        <f>SUM(C7:C8)</f>
        <v>35</v>
      </c>
      <c r="E18" s="27">
        <f>ROUND(D18/SUM(D$16:D$18)*100,3)</f>
        <v>46.052999999999997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16</v>
      </c>
      <c r="E22" s="19">
        <f>ROUND(D22/SUM(D$22:D$24)*100,3)</f>
        <v>61.537999999999997</v>
      </c>
    </row>
    <row r="23" spans="2:5" ht="15" x14ac:dyDescent="0.25">
      <c r="B23" s="36" t="s">
        <v>317</v>
      </c>
      <c r="C23" s="36" t="s">
        <v>24</v>
      </c>
      <c r="D23" s="18">
        <f>D9</f>
        <v>5</v>
      </c>
      <c r="E23" s="19">
        <f>ROUND(D23/SUM(D$22:D$24)*100,3)</f>
        <v>19.231000000000002</v>
      </c>
    </row>
    <row r="24" spans="2:5" ht="15" x14ac:dyDescent="0.25">
      <c r="B24" s="39" t="s">
        <v>318</v>
      </c>
      <c r="C24" s="39" t="s">
        <v>26</v>
      </c>
      <c r="D24" s="26">
        <f>SUM(D7:D8)</f>
        <v>5</v>
      </c>
      <c r="E24" s="27">
        <f>ROUND(D24/SUM(D$22:D$24)*100,3)</f>
        <v>19.231000000000002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6</v>
      </c>
      <c r="D28" s="31">
        <f>H12</f>
        <v>6.0196078431372548</v>
      </c>
      <c r="E28" s="31">
        <f>J12</f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19" sqref="C19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106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107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108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109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110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111</v>
      </c>
      <c r="B7" s="1" t="s">
        <v>4</v>
      </c>
      <c r="C7" s="1" t="s">
        <v>298</v>
      </c>
      <c r="D7" s="5" t="s">
        <v>299</v>
      </c>
      <c r="E7" s="6"/>
    </row>
    <row r="8" spans="1:5" ht="15" x14ac:dyDescent="0.25">
      <c r="A8" t="s">
        <v>112</v>
      </c>
      <c r="B8" s="1" t="s">
        <v>4</v>
      </c>
      <c r="C8" s="1" t="s">
        <v>300</v>
      </c>
      <c r="D8" s="5" t="s">
        <v>301</v>
      </c>
      <c r="E8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302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309</v>
      </c>
      <c r="B6" s="8" t="s">
        <v>310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311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312</v>
      </c>
      <c r="C15" s="21" t="s">
        <v>313</v>
      </c>
      <c r="D15" s="9" t="s">
        <v>304</v>
      </c>
      <c r="E15" s="10" t="s">
        <v>307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314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315</v>
      </c>
      <c r="C17" s="35" t="s">
        <v>316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317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318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312</v>
      </c>
      <c r="C22" s="21" t="s">
        <v>313</v>
      </c>
      <c r="D22" s="9" t="s">
        <v>305</v>
      </c>
      <c r="E22" s="10" t="s">
        <v>307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314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315</v>
      </c>
      <c r="C24" s="38" t="s">
        <v>316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317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318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319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106</v>
      </c>
      <c r="B1" s="8"/>
    </row>
    <row r="2" spans="1:7" ht="15" x14ac:dyDescent="0.25">
      <c r="A2" s="8" t="str">
        <f>TEXT(A1,"0.000")</f>
        <v>5.76</v>
      </c>
      <c r="B2" s="8" t="str">
        <f>VLOOKUP(A$2, Eixo5[], 3, FALSE)</f>
        <v xml:space="preserve">Você utilizou as unidades e/ou serviços da Superintendência de Infraestrutura (SUINFRA) em 2021? </v>
      </c>
    </row>
    <row r="3" spans="1:7" ht="15" x14ac:dyDescent="0.25">
      <c r="A3" s="8" t="s">
        <v>302</v>
      </c>
      <c r="B3" s="8" t="str">
        <f>VLOOKUP(A$2, Eixo5[], 4, FALSE)</f>
        <v>Eixo 5: questão 76</v>
      </c>
    </row>
    <row r="5" spans="1:7" ht="15" x14ac:dyDescent="0.25">
      <c r="B5" s="9" t="s">
        <v>303</v>
      </c>
      <c r="C5" s="9" t="s">
        <v>320</v>
      </c>
      <c r="D5" s="9" t="s">
        <v>305</v>
      </c>
      <c r="E5" s="9" t="s">
        <v>306</v>
      </c>
      <c r="F5" s="10" t="s">
        <v>307</v>
      </c>
      <c r="G5" s="9" t="s">
        <v>308</v>
      </c>
    </row>
    <row r="6" spans="1:7" ht="15" x14ac:dyDescent="0.25">
      <c r="B6" s="8" t="s">
        <v>321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COUNTIFS(Resp5[Vínculo],"tecnico",Resp5[5.76],B7)</f>
        <v>161</v>
      </c>
      <c r="D7" s="11">
        <f>COUNTIFS(Resp5[Vínculo],"docente",Resp5[5.76],B7)</f>
        <v>82</v>
      </c>
      <c r="E7" s="8">
        <f>COUNTIF(Resp5[5.76],B7)</f>
        <v>243</v>
      </c>
      <c r="F7" s="11">
        <f t="shared" ref="F7:F9" si="0">ROUND($E7/E$9*100,2)</f>
        <v>17.27</v>
      </c>
      <c r="G7" s="11">
        <f>ROUND($E7/SUM($E$7:$E$8)*100,2)</f>
        <v>17.27</v>
      </c>
    </row>
    <row r="8" spans="1:7" ht="15" x14ac:dyDescent="0.25">
      <c r="B8" s="8" t="s">
        <v>235</v>
      </c>
      <c r="C8" s="11">
        <f>COUNTIFS(Resp5[Vínculo],"tecnico",Resp5[5.76],B8)</f>
        <v>672</v>
      </c>
      <c r="D8" s="11">
        <f>COUNTIFS(Resp5[Vínculo],"docente",Resp5[5.76],B8)</f>
        <v>492</v>
      </c>
      <c r="E8" s="8">
        <f>COUNTIF(Resp5[5.76],B8)</f>
        <v>1164</v>
      </c>
      <c r="F8" s="11">
        <f t="shared" si="0"/>
        <v>82.73</v>
      </c>
      <c r="G8" s="11">
        <f>ROUND($E8/SUM($E$7:$E$8)*100,2)</f>
        <v>82.73</v>
      </c>
    </row>
    <row r="9" spans="1:7" ht="15" x14ac:dyDescent="0.25">
      <c r="B9" s="12" t="s">
        <v>311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107</v>
      </c>
      <c r="B1" s="8"/>
      <c r="C1" s="8"/>
    </row>
    <row r="2" spans="1:13" ht="15" x14ac:dyDescent="0.25">
      <c r="A2" s="8" t="str">
        <f>TEXT(A1,"0.000")</f>
        <v>5.77</v>
      </c>
      <c r="B2" s="8" t="str">
        <f>VLOOKUP(A$2, Eixo5[], 3, FALSE)</f>
        <v>Avalie os serviços prestados pelas unidades da SUINFRA que você utilizou em 2021: [Direção: Gabinete]</v>
      </c>
    </row>
    <row r="3" spans="1:13" ht="15" x14ac:dyDescent="0.25">
      <c r="A3" s="8" t="s">
        <v>302</v>
      </c>
      <c r="B3" s="8" t="str">
        <f>VLOOKUP(A$2, Eixo5[], 4, FALSE)</f>
        <v>Eixo 5: questão 77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746</v>
      </c>
      <c r="D6" s="8">
        <f>COUNTIF(Resp5[],"docente")-SUM(D$7:D$11)</f>
        <v>527</v>
      </c>
      <c r="E6" s="11">
        <f>E12-SUM(E7:E11)</f>
        <v>1273</v>
      </c>
      <c r="F6" s="14">
        <f>ROUND($E6/E$12*100,2)</f>
        <v>90.48</v>
      </c>
      <c r="G6" s="14"/>
      <c r="J6" s="29"/>
    </row>
    <row r="7" spans="1:13" ht="15" x14ac:dyDescent="0.25">
      <c r="B7" s="8" t="s">
        <v>244</v>
      </c>
      <c r="C7" s="11">
        <f>COUNTIFS(Resp5[Vínculo],"tecnico",Resp5[5.77],B7)</f>
        <v>25</v>
      </c>
      <c r="D7" s="11">
        <f>COUNTIFS(Resp5[Vínculo],"docente",Resp5[5.77],B7)</f>
        <v>8</v>
      </c>
      <c r="E7" s="11">
        <f>COUNTIF(Resp5[5.77],B7)</f>
        <v>33</v>
      </c>
      <c r="F7" s="14">
        <f t="shared" ref="F7:F12" si="0">ROUND($E7/E$12*100,2)</f>
        <v>2.35</v>
      </c>
      <c r="G7" s="14">
        <f>ROUND($E7/SUM($E$7:$E$11)*100,3)</f>
        <v>24.626999999999999</v>
      </c>
      <c r="H7">
        <f>E7*10</f>
        <v>330</v>
      </c>
      <c r="J7" s="14">
        <f>E11/SUM(E7:E11)</f>
        <v>0.11194029850746269</v>
      </c>
      <c r="M7" s="17"/>
    </row>
    <row r="8" spans="1:13" ht="15" x14ac:dyDescent="0.25">
      <c r="B8" s="8" t="s">
        <v>239</v>
      </c>
      <c r="C8" s="11">
        <f>COUNTIFS(Resp5[Vínculo],"tecnico",Resp5[5.77],B8)</f>
        <v>31</v>
      </c>
      <c r="D8" s="11">
        <f>COUNTIFS(Resp5[Vínculo],"docente",Resp5[5.77],B8)</f>
        <v>13</v>
      </c>
      <c r="E8" s="11">
        <f>COUNTIF(Resp5[5.77],B8)</f>
        <v>44</v>
      </c>
      <c r="F8" s="14">
        <f t="shared" si="0"/>
        <v>3.13</v>
      </c>
      <c r="G8" s="14">
        <f>ROUND($E8/SUM($E$7:$E$11)*100,3)</f>
        <v>32.835999999999999</v>
      </c>
      <c r="H8">
        <f>E8*8</f>
        <v>352</v>
      </c>
      <c r="J8" s="14">
        <f>(E11+E10)/SUM(E7:E11)</f>
        <v>0.26119402985074625</v>
      </c>
      <c r="M8" s="17"/>
    </row>
    <row r="9" spans="1:13" ht="15" x14ac:dyDescent="0.25">
      <c r="B9" s="8" t="s">
        <v>237</v>
      </c>
      <c r="C9" s="11">
        <f>COUNTIFS(Resp5[Vínculo],"tecnico",Resp5[5.77],B9)</f>
        <v>14</v>
      </c>
      <c r="D9" s="11">
        <f>COUNTIFS(Resp5[Vínculo],"docente",Resp5[5.77],B9)</f>
        <v>8</v>
      </c>
      <c r="E9" s="11">
        <f>COUNTIF(Resp5[5.77],B9)</f>
        <v>22</v>
      </c>
      <c r="F9" s="14">
        <f t="shared" si="0"/>
        <v>1.56</v>
      </c>
      <c r="G9" s="14">
        <f>ROUND($E9/SUM($E$7:$E$11)*100,3)</f>
        <v>16.417999999999999</v>
      </c>
      <c r="H9">
        <f>E9*6</f>
        <v>132</v>
      </c>
      <c r="J9" s="14">
        <f>(E11+E10+E9)/SUM(E7:E11)</f>
        <v>0.42537313432835822</v>
      </c>
      <c r="M9" s="17"/>
    </row>
    <row r="10" spans="1:13" ht="15" x14ac:dyDescent="0.25">
      <c r="B10" s="8" t="s">
        <v>242</v>
      </c>
      <c r="C10" s="11">
        <f>COUNTIFS(Resp5[Vínculo],"tecnico",Resp5[5.77],B10)</f>
        <v>13</v>
      </c>
      <c r="D10" s="11">
        <f>COUNTIFS(Resp5[Vínculo],"docente",Resp5[5.77],B10)</f>
        <v>7</v>
      </c>
      <c r="E10" s="11">
        <f>COUNTIF(Resp5[5.77],B10)</f>
        <v>20</v>
      </c>
      <c r="F10" s="14">
        <f t="shared" si="0"/>
        <v>1.42</v>
      </c>
      <c r="G10" s="14">
        <f>ROUND($E10/SUM($E$7:$E$11)*100,3)</f>
        <v>14.925000000000001</v>
      </c>
      <c r="H10">
        <f>E10*4</f>
        <v>80</v>
      </c>
      <c r="J10" s="14">
        <f>(E11+E10+E9+E8)/SUM(E7:E11)</f>
        <v>0.75373134328358204</v>
      </c>
      <c r="M10" s="17"/>
    </row>
    <row r="11" spans="1:13" ht="15" x14ac:dyDescent="0.25">
      <c r="B11" s="16" t="s">
        <v>241</v>
      </c>
      <c r="C11" s="11">
        <f>COUNTIFS(Resp5[Vínculo],"tecnico",Resp5[5.77],B11)</f>
        <v>4</v>
      </c>
      <c r="D11" s="11">
        <f>COUNTIFS(Resp5[Vínculo],"docente",Resp5[5.77],B11)</f>
        <v>11</v>
      </c>
      <c r="E11" s="11">
        <f>COUNTIF(Resp5[5.77],B11)</f>
        <v>15</v>
      </c>
      <c r="F11" s="14">
        <f t="shared" si="0"/>
        <v>1.07</v>
      </c>
      <c r="G11" s="14">
        <f>ROUND($E11/SUM($E$7:$E$11)*100,3)</f>
        <v>11.194000000000001</v>
      </c>
      <c r="H11">
        <f>E11*2</f>
        <v>30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6.8955223880597014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17</v>
      </c>
      <c r="E16" s="19">
        <f>ROUND(D16/SUM(D$16:D$18)*100,3)</f>
        <v>19.54</v>
      </c>
    </row>
    <row r="17" spans="2:5" ht="15" x14ac:dyDescent="0.25">
      <c r="B17" s="36" t="s">
        <v>317</v>
      </c>
      <c r="C17" s="36" t="s">
        <v>24</v>
      </c>
      <c r="D17" s="18">
        <f>C9</f>
        <v>14</v>
      </c>
      <c r="E17" s="19">
        <f>ROUND(D17/SUM(D$16:D$18)*100,3)</f>
        <v>16.091999999999999</v>
      </c>
    </row>
    <row r="18" spans="2:5" ht="15" x14ac:dyDescent="0.25">
      <c r="B18" s="39" t="s">
        <v>318</v>
      </c>
      <c r="C18" s="39" t="s">
        <v>26</v>
      </c>
      <c r="D18" s="26">
        <f>SUM(C7:C8)</f>
        <v>56</v>
      </c>
      <c r="E18" s="27">
        <f>ROUND(D18/SUM(D$16:D$18)*100,3)</f>
        <v>64.367999999999995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18</v>
      </c>
      <c r="E22" s="19">
        <f>ROUND(D22/SUM(D$22:D$24)*100,3)</f>
        <v>38.298000000000002</v>
      </c>
    </row>
    <row r="23" spans="2:5" ht="15" x14ac:dyDescent="0.25">
      <c r="B23" s="36" t="s">
        <v>317</v>
      </c>
      <c r="C23" s="36" t="s">
        <v>24</v>
      </c>
      <c r="D23" s="18">
        <f>D9</f>
        <v>8</v>
      </c>
      <c r="E23" s="19">
        <f>ROUND(D23/SUM(D$22:D$24)*100,3)</f>
        <v>17.021000000000001</v>
      </c>
    </row>
    <row r="24" spans="2:5" ht="15" x14ac:dyDescent="0.25">
      <c r="B24" s="39" t="s">
        <v>318</v>
      </c>
      <c r="C24" s="39" t="s">
        <v>26</v>
      </c>
      <c r="D24" s="26">
        <f>SUM(D7:D8)</f>
        <v>21</v>
      </c>
      <c r="E24" s="27">
        <f>ROUND(D24/SUM(D$22:D$24)*100,3)</f>
        <v>44.680999999999997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8</v>
      </c>
      <c r="D28" s="31">
        <f>H12</f>
        <v>6.8955223880597014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108</v>
      </c>
      <c r="B1" s="8"/>
      <c r="C1" s="8"/>
    </row>
    <row r="2" spans="1:13" ht="15" x14ac:dyDescent="0.25">
      <c r="A2" s="8" t="str">
        <f>TEXT(A1,"0.000")</f>
        <v>5.78</v>
      </c>
      <c r="B2" s="8" t="str">
        <f>VLOOKUP(A$2, Eixo5[], 3, FALSE)</f>
        <v>Avalie os serviços prestados pelas unidades da SUINFRA que você utilizou em 2021: [Coordenação Administrativa (recepção, contratos, processos, financeiro)]</v>
      </c>
    </row>
    <row r="3" spans="1:13" ht="15" x14ac:dyDescent="0.25">
      <c r="A3" s="8" t="s">
        <v>302</v>
      </c>
      <c r="B3" s="8" t="str">
        <f>VLOOKUP(A$2, Eixo5[], 4, FALSE)</f>
        <v>Eixo 5: questão 78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733</v>
      </c>
      <c r="D6" s="8">
        <f>COUNTIF(Resp5[],"docente")-SUM(D$7:D$11)</f>
        <v>531</v>
      </c>
      <c r="E6" s="11">
        <f>E12-SUM(E7:E11)</f>
        <v>1264</v>
      </c>
      <c r="F6" s="14">
        <f>ROUND($E6/E$12*100,2)</f>
        <v>89.84</v>
      </c>
      <c r="G6" s="14"/>
      <c r="J6" s="29"/>
    </row>
    <row r="7" spans="1:13" ht="15" x14ac:dyDescent="0.25">
      <c r="B7" s="8" t="s">
        <v>244</v>
      </c>
      <c r="C7" s="11">
        <f>COUNTIFS(Resp5[Vínculo],"tecnico",Resp5[5.78],B7)</f>
        <v>31</v>
      </c>
      <c r="D7" s="11">
        <f>COUNTIFS(Resp5[Vínculo],"docente",Resp5[5.78],B7)</f>
        <v>4</v>
      </c>
      <c r="E7" s="11">
        <f>COUNTIF(Resp5[5.78],B7)</f>
        <v>35</v>
      </c>
      <c r="F7" s="14">
        <f t="shared" ref="F7:F12" si="0">ROUND($E7/E$12*100,2)</f>
        <v>2.4900000000000002</v>
      </c>
      <c r="G7" s="14">
        <f>ROUND($E7/SUM($E$7:$E$11)*100,3)</f>
        <v>24.475999999999999</v>
      </c>
      <c r="H7">
        <f>E7*10</f>
        <v>350</v>
      </c>
      <c r="J7" s="14">
        <f>E11/SUM(E7:E11)</f>
        <v>0.1048951048951049</v>
      </c>
      <c r="M7" s="17"/>
    </row>
    <row r="8" spans="1:13" ht="15" x14ac:dyDescent="0.25">
      <c r="B8" s="8" t="s">
        <v>239</v>
      </c>
      <c r="C8" s="11">
        <f>COUNTIFS(Resp5[Vínculo],"tecnico",Resp5[5.78],B8)</f>
        <v>38</v>
      </c>
      <c r="D8" s="11">
        <f>COUNTIFS(Resp5[Vínculo],"docente",Resp5[5.78],B8)</f>
        <v>11</v>
      </c>
      <c r="E8" s="11">
        <f>COUNTIF(Resp5[5.78],B8)</f>
        <v>49</v>
      </c>
      <c r="F8" s="14">
        <f t="shared" si="0"/>
        <v>3.48</v>
      </c>
      <c r="G8" s="14">
        <f>ROUND($E8/SUM($E$7:$E$11)*100,3)</f>
        <v>34.265999999999998</v>
      </c>
      <c r="H8">
        <f>E8*8</f>
        <v>392</v>
      </c>
      <c r="J8" s="14">
        <f>(E11+E10)/SUM(E7:E11)</f>
        <v>0.20979020979020979</v>
      </c>
      <c r="M8" s="17"/>
    </row>
    <row r="9" spans="1:13" ht="15" x14ac:dyDescent="0.25">
      <c r="B9" s="8" t="s">
        <v>237</v>
      </c>
      <c r="C9" s="11">
        <f>COUNTIFS(Resp5[Vínculo],"tecnico",Resp5[5.78],B9)</f>
        <v>19</v>
      </c>
      <c r="D9" s="11">
        <f>COUNTIFS(Resp5[Vínculo],"docente",Resp5[5.78],B9)</f>
        <v>10</v>
      </c>
      <c r="E9" s="11">
        <f>COUNTIF(Resp5[5.78],B9)</f>
        <v>29</v>
      </c>
      <c r="F9" s="14">
        <f t="shared" si="0"/>
        <v>2.06</v>
      </c>
      <c r="G9" s="14">
        <f>ROUND($E9/SUM($E$7:$E$11)*100,3)</f>
        <v>20.28</v>
      </c>
      <c r="H9">
        <f>E9*6</f>
        <v>174</v>
      </c>
      <c r="J9" s="14">
        <f>(E11+E10+E9)/SUM(E7:E11)</f>
        <v>0.41258741258741261</v>
      </c>
      <c r="M9" s="17"/>
    </row>
    <row r="10" spans="1:13" ht="15" x14ac:dyDescent="0.25">
      <c r="B10" s="8" t="s">
        <v>242</v>
      </c>
      <c r="C10" s="11">
        <f>COUNTIFS(Resp5[Vínculo],"tecnico",Resp5[5.78],B10)</f>
        <v>7</v>
      </c>
      <c r="D10" s="11">
        <f>COUNTIFS(Resp5[Vínculo],"docente",Resp5[5.78],B10)</f>
        <v>8</v>
      </c>
      <c r="E10" s="11">
        <f>COUNTIF(Resp5[5.78],B10)</f>
        <v>15</v>
      </c>
      <c r="F10" s="14">
        <f t="shared" si="0"/>
        <v>1.07</v>
      </c>
      <c r="G10" s="14">
        <f>ROUND($E10/SUM($E$7:$E$11)*100,3)</f>
        <v>10.49</v>
      </c>
      <c r="H10">
        <f>E10*4</f>
        <v>60</v>
      </c>
      <c r="J10" s="14">
        <f>(E11+E10+E9+E8)/SUM(E7:E11)</f>
        <v>0.75524475524475521</v>
      </c>
      <c r="M10" s="17"/>
    </row>
    <row r="11" spans="1:13" ht="15" x14ac:dyDescent="0.25">
      <c r="B11" s="16" t="s">
        <v>241</v>
      </c>
      <c r="C11" s="11">
        <f>COUNTIFS(Resp5[Vínculo],"tecnico",Resp5[5.78],B11)</f>
        <v>5</v>
      </c>
      <c r="D11" s="11">
        <f>COUNTIFS(Resp5[Vínculo],"docente",Resp5[5.78],B11)</f>
        <v>10</v>
      </c>
      <c r="E11" s="11">
        <f>COUNTIF(Resp5[5.78],B11)</f>
        <v>15</v>
      </c>
      <c r="F11" s="14">
        <f t="shared" si="0"/>
        <v>1.07</v>
      </c>
      <c r="G11" s="14">
        <f>ROUND($E11/SUM($E$7:$E$11)*100,3)</f>
        <v>10.49</v>
      </c>
      <c r="H11">
        <f>E11*2</f>
        <v>30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100.00199999999998</v>
      </c>
      <c r="H12">
        <f>SUM(H7:H11)/SUM(E7:E11)</f>
        <v>7.034965034965035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12</v>
      </c>
      <c r="E16" s="19">
        <f>ROUND(D16/SUM(D$16:D$18)*100,3)</f>
        <v>12</v>
      </c>
    </row>
    <row r="17" spans="2:5" ht="15" x14ac:dyDescent="0.25">
      <c r="B17" s="36" t="s">
        <v>317</v>
      </c>
      <c r="C17" s="36" t="s">
        <v>24</v>
      </c>
      <c r="D17" s="18">
        <f>C9</f>
        <v>19</v>
      </c>
      <c r="E17" s="19">
        <f>ROUND(D17/SUM(D$16:D$18)*100,3)</f>
        <v>19</v>
      </c>
    </row>
    <row r="18" spans="2:5" ht="15" x14ac:dyDescent="0.25">
      <c r="B18" s="39" t="s">
        <v>318</v>
      </c>
      <c r="C18" s="39" t="s">
        <v>26</v>
      </c>
      <c r="D18" s="26">
        <f>SUM(C7:C8)</f>
        <v>69</v>
      </c>
      <c r="E18" s="27">
        <f>ROUND(D18/SUM(D$16:D$18)*100,3)</f>
        <v>69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18</v>
      </c>
      <c r="E22" s="19">
        <f>ROUND(D22/SUM(D$22:D$24)*100,3)</f>
        <v>41.86</v>
      </c>
    </row>
    <row r="23" spans="2:5" ht="15" x14ac:dyDescent="0.25">
      <c r="B23" s="36" t="s">
        <v>317</v>
      </c>
      <c r="C23" s="36" t="s">
        <v>24</v>
      </c>
      <c r="D23" s="18">
        <f>D9</f>
        <v>10</v>
      </c>
      <c r="E23" s="19">
        <f>ROUND(D23/SUM(D$22:D$24)*100,3)</f>
        <v>23.256</v>
      </c>
    </row>
    <row r="24" spans="2:5" ht="15" x14ac:dyDescent="0.25">
      <c r="B24" s="39" t="s">
        <v>318</v>
      </c>
      <c r="C24" s="39" t="s">
        <v>26</v>
      </c>
      <c r="D24" s="26">
        <f>SUM(D7:D8)</f>
        <v>15</v>
      </c>
      <c r="E24" s="27">
        <f>ROUND(D24/SUM(D$22:D$24)*100,3)</f>
        <v>34.884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8</v>
      </c>
      <c r="D28" s="31">
        <f>H12</f>
        <v>7.034965034965035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109</v>
      </c>
      <c r="B1" s="8"/>
      <c r="C1" s="8"/>
    </row>
    <row r="2" spans="1:13" ht="15" x14ac:dyDescent="0.25">
      <c r="A2" s="8" t="str">
        <f>TEXT(A1,"0.000")</f>
        <v>5.79</v>
      </c>
      <c r="B2" s="8" t="str">
        <f>VLOOKUP(A$2, Eixo5[], 3, FALSE)</f>
        <v>Avalie os serviços prestados pelas unidades da SUINFRA que você utilizou em 2021: [Coordenação Técnica]</v>
      </c>
    </row>
    <row r="3" spans="1:13" ht="15" x14ac:dyDescent="0.25">
      <c r="A3" s="8" t="s">
        <v>302</v>
      </c>
      <c r="B3" s="8" t="str">
        <f>VLOOKUP(A$2, Eixo5[], 4, FALSE)</f>
        <v>Eixo 5: questão 79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734</v>
      </c>
      <c r="D6" s="8">
        <f>COUNTIF(Resp5[],"docente")-SUM(D$7:D$11)</f>
        <v>525</v>
      </c>
      <c r="E6" s="11">
        <f>E12-SUM(E7:E11)</f>
        <v>1259</v>
      </c>
      <c r="F6" s="14">
        <f>ROUND($E6/E$12*100,2)</f>
        <v>89.48</v>
      </c>
      <c r="G6" s="14"/>
      <c r="J6" s="29"/>
    </row>
    <row r="7" spans="1:13" ht="15" x14ac:dyDescent="0.25">
      <c r="B7" s="8" t="s">
        <v>244</v>
      </c>
      <c r="C7" s="11">
        <f>COUNTIFS(Resp5[Vínculo],"tecnico",Resp5[5.79],B7)</f>
        <v>33</v>
      </c>
      <c r="D7" s="11">
        <f>COUNTIFS(Resp5[Vínculo],"docente",Resp5[5.79],B7)</f>
        <v>7</v>
      </c>
      <c r="E7" s="11">
        <f>COUNTIF(Resp5[5.79],B7)</f>
        <v>40</v>
      </c>
      <c r="F7" s="14">
        <f t="shared" ref="F7:F12" si="0">ROUND($E7/E$12*100,2)</f>
        <v>2.84</v>
      </c>
      <c r="G7" s="14">
        <f>ROUND($E7/SUM($E$7:$E$11)*100,3)</f>
        <v>27.027000000000001</v>
      </c>
      <c r="H7">
        <f>E7*10</f>
        <v>400</v>
      </c>
      <c r="J7" s="14">
        <f>E11/SUM(E7:E11)</f>
        <v>8.1081081081081086E-2</v>
      </c>
      <c r="M7" s="17"/>
    </row>
    <row r="8" spans="1:13" ht="15" x14ac:dyDescent="0.25">
      <c r="B8" s="8" t="s">
        <v>239</v>
      </c>
      <c r="C8" s="11">
        <f>COUNTIFS(Resp5[Vínculo],"tecnico",Resp5[5.79],B8)</f>
        <v>32</v>
      </c>
      <c r="D8" s="11">
        <f>COUNTIFS(Resp5[Vínculo],"docente",Resp5[5.79],B8)</f>
        <v>15</v>
      </c>
      <c r="E8" s="11">
        <f>COUNTIF(Resp5[5.79],B8)</f>
        <v>47</v>
      </c>
      <c r="F8" s="14">
        <f t="shared" si="0"/>
        <v>3.34</v>
      </c>
      <c r="G8" s="14">
        <f>ROUND($E8/SUM($E$7:$E$11)*100,3)</f>
        <v>31.757000000000001</v>
      </c>
      <c r="H8">
        <f>E8*8</f>
        <v>376</v>
      </c>
      <c r="J8" s="14">
        <f>(E11+E10)/SUM(E7:E11)</f>
        <v>0.20945945945945946</v>
      </c>
      <c r="M8" s="17"/>
    </row>
    <row r="9" spans="1:13" ht="15" x14ac:dyDescent="0.25">
      <c r="B9" s="8" t="s">
        <v>237</v>
      </c>
      <c r="C9" s="11">
        <f>COUNTIFS(Resp5[Vínculo],"tecnico",Resp5[5.79],B9)</f>
        <v>20</v>
      </c>
      <c r="D9" s="11">
        <f>COUNTIFS(Resp5[Vínculo],"docente",Resp5[5.79],B9)</f>
        <v>10</v>
      </c>
      <c r="E9" s="11">
        <f>COUNTIF(Resp5[5.79],B9)</f>
        <v>30</v>
      </c>
      <c r="F9" s="14">
        <f t="shared" si="0"/>
        <v>2.13</v>
      </c>
      <c r="G9" s="14">
        <f>ROUND($E9/SUM($E$7:$E$11)*100,3)</f>
        <v>20.27</v>
      </c>
      <c r="H9">
        <f>E9*6</f>
        <v>180</v>
      </c>
      <c r="J9" s="14">
        <f>(E11+E10+E9)/SUM(E7:E11)</f>
        <v>0.41216216216216217</v>
      </c>
      <c r="M9" s="17"/>
    </row>
    <row r="10" spans="1:13" ht="15" x14ac:dyDescent="0.25">
      <c r="B10" s="8" t="s">
        <v>242</v>
      </c>
      <c r="C10" s="11">
        <f>COUNTIFS(Resp5[Vínculo],"tecnico",Resp5[5.79],B10)</f>
        <v>12</v>
      </c>
      <c r="D10" s="11">
        <f>COUNTIFS(Resp5[Vínculo],"docente",Resp5[5.79],B10)</f>
        <v>7</v>
      </c>
      <c r="E10" s="11">
        <f>COUNTIF(Resp5[5.79],B10)</f>
        <v>19</v>
      </c>
      <c r="F10" s="14">
        <f t="shared" si="0"/>
        <v>1.35</v>
      </c>
      <c r="G10" s="14">
        <f>ROUND($E10/SUM($E$7:$E$11)*100,3)</f>
        <v>12.837999999999999</v>
      </c>
      <c r="H10">
        <f>E10*4</f>
        <v>76</v>
      </c>
      <c r="J10" s="14">
        <f>(E11+E10+E9+E8)/SUM(E7:E11)</f>
        <v>0.72972972972972971</v>
      </c>
      <c r="M10" s="17"/>
    </row>
    <row r="11" spans="1:13" ht="15" x14ac:dyDescent="0.25">
      <c r="B11" s="16" t="s">
        <v>241</v>
      </c>
      <c r="C11" s="11">
        <f>COUNTIFS(Resp5[Vínculo],"tecnico",Resp5[5.79],B11)</f>
        <v>2</v>
      </c>
      <c r="D11" s="11">
        <f>COUNTIFS(Resp5[Vínculo],"docente",Resp5[5.79],B11)</f>
        <v>10</v>
      </c>
      <c r="E11" s="11">
        <f>COUNTIF(Resp5[5.79],B11)</f>
        <v>12</v>
      </c>
      <c r="F11" s="14">
        <f t="shared" si="0"/>
        <v>0.85</v>
      </c>
      <c r="G11" s="14">
        <f>ROUND($E11/SUM($E$7:$E$11)*100,3)</f>
        <v>8.1080000000000005</v>
      </c>
      <c r="H11">
        <f>E11*2</f>
        <v>24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7.1351351351351351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14</v>
      </c>
      <c r="E16" s="19">
        <f>ROUND(D16/SUM(D$16:D$18)*100,3)</f>
        <v>14.141</v>
      </c>
    </row>
    <row r="17" spans="2:5" ht="15" x14ac:dyDescent="0.25">
      <c r="B17" s="36" t="s">
        <v>317</v>
      </c>
      <c r="C17" s="36" t="s">
        <v>24</v>
      </c>
      <c r="D17" s="18">
        <f>C9</f>
        <v>20</v>
      </c>
      <c r="E17" s="19">
        <f>ROUND(D17/SUM(D$16:D$18)*100,3)</f>
        <v>20.202000000000002</v>
      </c>
    </row>
    <row r="18" spans="2:5" ht="15" x14ac:dyDescent="0.25">
      <c r="B18" s="39" t="s">
        <v>318</v>
      </c>
      <c r="C18" s="39" t="s">
        <v>26</v>
      </c>
      <c r="D18" s="26">
        <f>SUM(C7:C8)</f>
        <v>65</v>
      </c>
      <c r="E18" s="27">
        <f>ROUND(D18/SUM(D$16:D$18)*100,3)</f>
        <v>65.656999999999996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17</v>
      </c>
      <c r="E22" s="19">
        <f>ROUND(D22/SUM(D$22:D$24)*100,3)</f>
        <v>34.694000000000003</v>
      </c>
    </row>
    <row r="23" spans="2:5" ht="15" x14ac:dyDescent="0.25">
      <c r="B23" s="36" t="s">
        <v>317</v>
      </c>
      <c r="C23" s="36" t="s">
        <v>24</v>
      </c>
      <c r="D23" s="18">
        <f>D9</f>
        <v>10</v>
      </c>
      <c r="E23" s="19">
        <f>ROUND(D23/SUM(D$22:D$24)*100,3)</f>
        <v>20.408000000000001</v>
      </c>
    </row>
    <row r="24" spans="2:5" ht="15" x14ac:dyDescent="0.25">
      <c r="B24" s="39" t="s">
        <v>318</v>
      </c>
      <c r="C24" s="39" t="s">
        <v>26</v>
      </c>
      <c r="D24" s="26">
        <f>SUM(D7:D8)</f>
        <v>22</v>
      </c>
      <c r="E24" s="27">
        <f>ROUND(D24/SUM(D$22:D$24)*100,3)</f>
        <v>44.898000000000003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8</v>
      </c>
      <c r="D28" s="31">
        <f>H12</f>
        <v>7.1351351351351351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110</v>
      </c>
      <c r="B1" s="8"/>
      <c r="C1" s="8"/>
    </row>
    <row r="2" spans="1:13" ht="15" x14ac:dyDescent="0.25">
      <c r="A2" s="8" t="str">
        <f>TEXT(A1,"0.000")</f>
        <v>5.80</v>
      </c>
      <c r="B2" s="8" t="str">
        <f>VLOOKUP(A$2, Eixo5[], 3, FALSE)</f>
        <v>Avalie os serviços prestados pelas unidades da SUINFRA que você utilizou em 2021: [Coordenação de Manutenção]</v>
      </c>
    </row>
    <row r="3" spans="1:13" ht="15" x14ac:dyDescent="0.25">
      <c r="A3" s="8" t="s">
        <v>302</v>
      </c>
      <c r="B3" s="8" t="str">
        <f>VLOOKUP(A$2, Eixo5[], 4, FALSE)</f>
        <v>Eixo 5: questão 80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690</v>
      </c>
      <c r="D6" s="8">
        <f>COUNTIF(Resp5[],"docente")-SUM(D$7:D$11)</f>
        <v>502</v>
      </c>
      <c r="E6" s="11">
        <f>E12-SUM(E7:E11)</f>
        <v>1192</v>
      </c>
      <c r="F6" s="14">
        <f>ROUND($E6/E$12*100,2)</f>
        <v>84.72</v>
      </c>
      <c r="G6" s="14"/>
      <c r="J6" s="29"/>
    </row>
    <row r="7" spans="1:13" ht="15" x14ac:dyDescent="0.25">
      <c r="B7" s="8" t="s">
        <v>244</v>
      </c>
      <c r="C7" s="11">
        <f>COUNTIFS(Resp5[Vínculo],"tecnico",Resp5[5.80],B7)</f>
        <v>49</v>
      </c>
      <c r="D7" s="11">
        <f>COUNTIFS(Resp5[Vínculo],"docente",Resp5[5.80],B7)</f>
        <v>11</v>
      </c>
      <c r="E7" s="11">
        <f>COUNTIF(Resp5[5.80],B7)</f>
        <v>60</v>
      </c>
      <c r="F7" s="14">
        <f t="shared" ref="F7:F12" si="0">ROUND($E7/E$12*100,2)</f>
        <v>4.26</v>
      </c>
      <c r="G7" s="14">
        <f>ROUND($E7/SUM($E$7:$E$11)*100,3)</f>
        <v>27.907</v>
      </c>
      <c r="H7">
        <f>E7*10</f>
        <v>600</v>
      </c>
      <c r="J7" s="14">
        <f>E11/SUM(E7:E11)</f>
        <v>0.10697674418604651</v>
      </c>
      <c r="M7" s="17"/>
    </row>
    <row r="8" spans="1:13" ht="15" x14ac:dyDescent="0.25">
      <c r="B8" s="8" t="s">
        <v>239</v>
      </c>
      <c r="C8" s="11">
        <f>COUNTIFS(Resp5[Vínculo],"tecnico",Resp5[5.80],B8)</f>
        <v>52</v>
      </c>
      <c r="D8" s="11">
        <f>COUNTIFS(Resp5[Vínculo],"docente",Resp5[5.80],B8)</f>
        <v>20</v>
      </c>
      <c r="E8" s="11">
        <f>COUNTIF(Resp5[5.80],B8)</f>
        <v>72</v>
      </c>
      <c r="F8" s="14">
        <f t="shared" si="0"/>
        <v>5.12</v>
      </c>
      <c r="G8" s="14">
        <f>ROUND($E8/SUM($E$7:$E$11)*100,3)</f>
        <v>33.488</v>
      </c>
      <c r="H8">
        <f>E8*8</f>
        <v>576</v>
      </c>
      <c r="J8" s="14">
        <f>(E11+E10)/SUM(E7:E11)</f>
        <v>0.21395348837209302</v>
      </c>
      <c r="M8" s="17"/>
    </row>
    <row r="9" spans="1:13" ht="15" x14ac:dyDescent="0.25">
      <c r="B9" s="8" t="s">
        <v>237</v>
      </c>
      <c r="C9" s="11">
        <f>COUNTIFS(Resp5[Vínculo],"tecnico",Resp5[5.80],B9)</f>
        <v>21</v>
      </c>
      <c r="D9" s="11">
        <f>COUNTIFS(Resp5[Vínculo],"docente",Resp5[5.80],B9)</f>
        <v>16</v>
      </c>
      <c r="E9" s="11">
        <f>COUNTIF(Resp5[5.80],B9)</f>
        <v>37</v>
      </c>
      <c r="F9" s="14">
        <f t="shared" si="0"/>
        <v>2.63</v>
      </c>
      <c r="G9" s="14">
        <f>ROUND($E9/SUM($E$7:$E$11)*100,3)</f>
        <v>17.209</v>
      </c>
      <c r="H9">
        <f>E9*6</f>
        <v>222</v>
      </c>
      <c r="J9" s="14">
        <f>(E11+E10+E9)/SUM(E7:E11)</f>
        <v>0.38604651162790699</v>
      </c>
      <c r="M9" s="17"/>
    </row>
    <row r="10" spans="1:13" ht="15" x14ac:dyDescent="0.25">
      <c r="B10" s="8" t="s">
        <v>242</v>
      </c>
      <c r="C10" s="11">
        <f>COUNTIFS(Resp5[Vínculo],"tecnico",Resp5[5.80],B10)</f>
        <v>11</v>
      </c>
      <c r="D10" s="11">
        <f>COUNTIFS(Resp5[Vínculo],"docente",Resp5[5.80],B10)</f>
        <v>12</v>
      </c>
      <c r="E10" s="11">
        <f>COUNTIF(Resp5[5.80],B10)</f>
        <v>23</v>
      </c>
      <c r="F10" s="14">
        <f t="shared" si="0"/>
        <v>1.63</v>
      </c>
      <c r="G10" s="14">
        <f>ROUND($E10/SUM($E$7:$E$11)*100,3)</f>
        <v>10.698</v>
      </c>
      <c r="H10">
        <f>E10*4</f>
        <v>92</v>
      </c>
      <c r="J10" s="14">
        <f>(E11+E10+E9+E8)/SUM(E7:E11)</f>
        <v>0.72093023255813948</v>
      </c>
      <c r="M10" s="17"/>
    </row>
    <row r="11" spans="1:13" ht="15" x14ac:dyDescent="0.25">
      <c r="B11" s="16" t="s">
        <v>241</v>
      </c>
      <c r="C11" s="11">
        <f>COUNTIFS(Resp5[Vínculo],"tecnico",Resp5[5.80],B11)</f>
        <v>10</v>
      </c>
      <c r="D11" s="11">
        <f>COUNTIFS(Resp5[Vínculo],"docente",Resp5[5.80],B11)</f>
        <v>13</v>
      </c>
      <c r="E11" s="11">
        <f>COUNTIF(Resp5[5.80],B11)</f>
        <v>23</v>
      </c>
      <c r="F11" s="14">
        <f t="shared" si="0"/>
        <v>1.63</v>
      </c>
      <c r="G11" s="14">
        <f>ROUND($E11/SUM($E$7:$E$11)*100,3)</f>
        <v>10.698</v>
      </c>
      <c r="H11">
        <f>E11*2</f>
        <v>46</v>
      </c>
      <c r="J11" s="14">
        <f>(E11+E10+E9+E8+E7)/SUM(E7:E11)</f>
        <v>1</v>
      </c>
      <c r="M11" s="17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7.1441860465116278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312</v>
      </c>
      <c r="C15" s="21" t="s">
        <v>313</v>
      </c>
      <c r="D15" s="9" t="s">
        <v>304</v>
      </c>
      <c r="E15" s="10" t="s">
        <v>307</v>
      </c>
    </row>
    <row r="16" spans="1:13" ht="15" x14ac:dyDescent="0.25">
      <c r="B16" s="34" t="s">
        <v>314</v>
      </c>
      <c r="C16" s="34" t="s">
        <v>22</v>
      </c>
      <c r="D16" s="18">
        <f>SUM(C10:C11)</f>
        <v>21</v>
      </c>
      <c r="E16" s="19">
        <f>ROUND(D16/SUM(D$16:D$18)*100,3)</f>
        <v>14.685</v>
      </c>
    </row>
    <row r="17" spans="2:5" ht="15" x14ac:dyDescent="0.25">
      <c r="B17" s="36" t="s">
        <v>317</v>
      </c>
      <c r="C17" s="36" t="s">
        <v>24</v>
      </c>
      <c r="D17" s="18">
        <f>C9</f>
        <v>21</v>
      </c>
      <c r="E17" s="19">
        <f>ROUND(D17/SUM(D$16:D$18)*100,3)</f>
        <v>14.685</v>
      </c>
    </row>
    <row r="18" spans="2:5" ht="15" x14ac:dyDescent="0.25">
      <c r="B18" s="39" t="s">
        <v>318</v>
      </c>
      <c r="C18" s="39" t="s">
        <v>26</v>
      </c>
      <c r="D18" s="26">
        <f>SUM(C7:C8)</f>
        <v>101</v>
      </c>
      <c r="E18" s="27">
        <f>ROUND(D18/SUM(D$16:D$18)*100,3)</f>
        <v>70.629000000000005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312</v>
      </c>
      <c r="C21" s="21" t="s">
        <v>313</v>
      </c>
      <c r="D21" s="9" t="s">
        <v>305</v>
      </c>
      <c r="E21" s="10" t="s">
        <v>307</v>
      </c>
    </row>
    <row r="22" spans="2:5" ht="15" x14ac:dyDescent="0.25">
      <c r="B22" s="34" t="s">
        <v>314</v>
      </c>
      <c r="C22" s="34" t="s">
        <v>22</v>
      </c>
      <c r="D22" s="18">
        <f>SUM(D10:D11)</f>
        <v>25</v>
      </c>
      <c r="E22" s="19">
        <f>ROUND(D22/SUM(D$22:D$24)*100,3)</f>
        <v>34.722000000000001</v>
      </c>
    </row>
    <row r="23" spans="2:5" ht="15" x14ac:dyDescent="0.25">
      <c r="B23" s="36" t="s">
        <v>317</v>
      </c>
      <c r="C23" s="36" t="s">
        <v>24</v>
      </c>
      <c r="D23" s="18">
        <f>D9</f>
        <v>16</v>
      </c>
      <c r="E23" s="19">
        <f>ROUND(D23/SUM(D$22:D$24)*100,3)</f>
        <v>22.222000000000001</v>
      </c>
    </row>
    <row r="24" spans="2:5" ht="15" x14ac:dyDescent="0.25">
      <c r="B24" s="39" t="s">
        <v>318</v>
      </c>
      <c r="C24" s="39" t="s">
        <v>26</v>
      </c>
      <c r="D24" s="26">
        <f>SUM(D7:D8)</f>
        <v>31</v>
      </c>
      <c r="E24" s="27">
        <f>ROUND(D24/SUM(D$22:D$24)*100,3)</f>
        <v>43.055999999999997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319</v>
      </c>
      <c r="C28" s="31">
        <f>I12</f>
        <v>8</v>
      </c>
      <c r="D28" s="31">
        <f>H12</f>
        <v>7.1441860465116278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Q5.76SUINFRA</vt:lpstr>
      <vt:lpstr>Q5.77</vt:lpstr>
      <vt:lpstr>Q5.78</vt:lpstr>
      <vt:lpstr>Q5.79</vt:lpstr>
      <vt:lpstr>Q5.80</vt:lpstr>
      <vt:lpstr>Q5.81</vt:lpstr>
      <vt:lpstr>Q5.82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2022-01-14T17:03:30Z</dcterms:modified>
  <cp:category/>
  <cp:contentStatus/>
</cp:coreProperties>
</file>