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7" documentId="11_CA11E7C19A0DCE649194B2731E4B35D1859ABE8E" xr6:coauthVersionLast="47" xr6:coauthVersionMax="47" xr10:uidLastSave="{045C4C07-D369-4D17-B07B-400CA4D7FA84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<sst xmlns="http://schemas.openxmlformats.org/spreadsheetml/2006/main" count="2317" uniqueCount="182">
  <si>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</si>
  <si>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</si>
  <si>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</si>
  <si>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</si>
  <si>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</si>
  <si>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</si>
  <si>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</si>
  <si>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</si>
  <si>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</si>
  <si>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SA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</si>
  <si>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</si>
  <si>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</si>
  <si>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</si>
  <si>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Bom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</si>
  <si>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</si>
  <si>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</si>
  <si>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Não</t>
  </si>
  <si>
    <t>Na minha unidade, participamos efetivamente da elaboração do planejamento interno, mas não utilizamos os resultados da Autoavaliação</t>
  </si>
  <si>
    <t>Excelente</t>
  </si>
  <si>
    <t>tecnico</t>
  </si>
  <si>
    <t>Não sei responder</t>
  </si>
  <si>
    <t>Péssimo</t>
  </si>
  <si>
    <t>Regular</t>
  </si>
  <si>
    <t>Ruim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</si>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</sst>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1706</c:v>
                </c:pt>
                <c:pt idx="1">
                  <c:v>4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1673</c:v>
                </c:pt>
                <c:pt idx="1">
                  <c:v>5</c:v>
                </c:pt>
                <c:pt idx="2">
                  <c:v>3</c:v>
                </c:pt>
                <c:pt idx="3">
                  <c:v>17</c:v>
                </c:pt>
                <c:pt idx="4">
                  <c:v>20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572032"/>
        <c:axId val="86602496"/>
      </c:barChart>
      <c:catAx>
        <c:axId val="865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02496"/>
        <c:crosses val="autoZero"/>
        <c:auto val="1"/>
        <c:lblAlgn val="ctr"/>
        <c:lblOffset val="100"/>
        <c:noMultiLvlLbl val="0"/>
      </c:catAx>
      <c:valAx>
        <c:axId val="86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7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17</c:v>
                </c:pt>
                <c:pt idx="5">
                  <c:v>20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600128"/>
        <c:axId val="105601664"/>
      </c:barChart>
      <c:catAx>
        <c:axId val="1056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01664"/>
        <c:crosses val="autoZero"/>
        <c:auto val="1"/>
        <c:lblAlgn val="ctr"/>
        <c:lblOffset val="100"/>
        <c:noMultiLvlLbl val="0"/>
      </c:catAx>
      <c:valAx>
        <c:axId val="10560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0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22.222000000000001</c:v>
                </c:pt>
                <c:pt idx="2">
                  <c:v>44.444000000000003</c:v>
                </c:pt>
                <c:pt idx="3">
                  <c:v>33.332999999999998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14.286</c:v>
                </c:pt>
                <c:pt idx="1">
                  <c:v>8.9290000000000003</c:v>
                </c:pt>
                <c:pt idx="2">
                  <c:v>30.356999999999999</c:v>
                </c:pt>
                <c:pt idx="3">
                  <c:v>46.429000000000002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14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789888"/>
        <c:axId val="106803968"/>
      </c:barChart>
      <c:catAx>
        <c:axId val="10678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03968"/>
        <c:crosses val="autoZero"/>
        <c:auto val="1"/>
        <c:lblAlgn val="ctr"/>
        <c:lblOffset val="100"/>
        <c:noMultiLvlLbl val="0"/>
      </c:catAx>
      <c:valAx>
        <c:axId val="10680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8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16.667000000000002</c:v>
                </c:pt>
                <c:pt idx="1">
                  <c:v>16.667000000000002</c:v>
                </c:pt>
                <c:pt idx="2">
                  <c:v>16.667000000000002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14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26.786000000000001</c:v>
                </c:pt>
                <c:pt idx="1">
                  <c:v>12.5</c:v>
                </c:pt>
                <c:pt idx="2">
                  <c:v>25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0</c:v>
                </c:pt>
                <c:pt idx="1">
                  <c:v>22.222000000000001</c:v>
                </c:pt>
                <c:pt idx="2">
                  <c:v>33.332999999999998</c:v>
                </c:pt>
                <c:pt idx="3">
                  <c:v>44.444000000000003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17</c:v>
                </c:pt>
                <c:pt idx="1">
                  <c:v>10</c:v>
                </c:pt>
                <c:pt idx="2">
                  <c:v>11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30.356999999999999</c:v>
                </c:pt>
                <c:pt idx="1">
                  <c:v>17.856999999999999</c:v>
                </c:pt>
                <c:pt idx="2">
                  <c:v>19.643000000000001</c:v>
                </c:pt>
                <c:pt idx="3">
                  <c:v>32.143000000000001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247680"/>
        <c:axId val="108249472"/>
      </c:barChart>
      <c:catAx>
        <c:axId val="1082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49472"/>
        <c:crosses val="autoZero"/>
        <c:auto val="1"/>
        <c:lblAlgn val="ctr"/>
        <c:lblOffset val="100"/>
        <c:noMultiLvlLbl val="0"/>
      </c:catAx>
      <c:valAx>
        <c:axId val="10824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4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21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02656"/>
        <c:axId val="110912640"/>
      </c:barChart>
      <c:catAx>
        <c:axId val="11090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12640"/>
        <c:crosses val="autoZero"/>
        <c:auto val="1"/>
        <c:lblAlgn val="ctr"/>
        <c:lblOffset val="100"/>
        <c:noMultiLvlLbl val="0"/>
      </c:catAx>
      <c:valAx>
        <c:axId val="11091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0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1454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1421</c:v>
                </c:pt>
                <c:pt idx="1">
                  <c:v>21</c:v>
                </c:pt>
                <c:pt idx="2">
                  <c:v>4</c:v>
                </c:pt>
                <c:pt idx="3">
                  <c:v>9</c:v>
                </c:pt>
                <c:pt idx="4">
                  <c:v>13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100864"/>
        <c:axId val="88102400"/>
      </c:barChart>
      <c:catAx>
        <c:axId val="881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02400"/>
        <c:crosses val="autoZero"/>
        <c:auto val="1"/>
        <c:lblAlgn val="ctr"/>
        <c:lblOffset val="100"/>
        <c:noMultiLvlLbl val="0"/>
      </c:catAx>
      <c:valAx>
        <c:axId val="8810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0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11.765000000000001</c:v>
                </c:pt>
                <c:pt idx="1">
                  <c:v>17.646999999999998</c:v>
                </c:pt>
                <c:pt idx="2">
                  <c:v>5.8819999999999997</c:v>
                </c:pt>
                <c:pt idx="3">
                  <c:v>64.706000000000003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11</c:v>
                </c:pt>
                <c:pt idx="1">
                  <c:v>21</c:v>
                </c:pt>
                <c:pt idx="2">
                  <c:v>9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19.643000000000001</c:v>
                </c:pt>
                <c:pt idx="1">
                  <c:v>37.5</c:v>
                </c:pt>
                <c:pt idx="2">
                  <c:v>16.071000000000002</c:v>
                </c:pt>
                <c:pt idx="3">
                  <c:v>26.786000000000001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080960"/>
        <c:axId val="111082496"/>
      </c:barChart>
      <c:catAx>
        <c:axId val="11108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82496"/>
        <c:crosses val="autoZero"/>
        <c:auto val="1"/>
        <c:lblAlgn val="ctr"/>
        <c:lblOffset val="100"/>
        <c:noMultiLvlLbl val="0"/>
      </c:catAx>
      <c:valAx>
        <c:axId val="1110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8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17.646999999999998</c:v>
                </c:pt>
                <c:pt idx="2">
                  <c:v>5.8819999999999997</c:v>
                </c:pt>
                <c:pt idx="3">
                  <c:v>76.471000000000004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7</c:v>
                </c:pt>
                <c:pt idx="1">
                  <c:v>19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12.5</c:v>
                </c:pt>
                <c:pt idx="1">
                  <c:v>33.929000000000002</c:v>
                </c:pt>
                <c:pt idx="2">
                  <c:v>17.856999999999999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6</c:v>
                </c:pt>
                <c:pt idx="3">
                  <c:v>2</c:v>
                </c:pt>
                <c:pt idx="4">
                  <c:v>10</c:v>
                </c:pt>
                <c:pt idx="5">
                  <c:v>16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393536"/>
        <c:axId val="105395328"/>
      </c:barChart>
      <c:catAx>
        <c:axId val="1053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95328"/>
        <c:crosses val="autoZero"/>
        <c:auto val="1"/>
        <c:lblAlgn val="ctr"/>
        <c:lblOffset val="100"/>
        <c:noMultiLvlLbl val="0"/>
      </c:catAx>
      <c:valAx>
        <c:axId val="1053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9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5.8819999999999997</c:v>
                </c:pt>
                <c:pt idx="1">
                  <c:v>23.529</c:v>
                </c:pt>
                <c:pt idx="2">
                  <c:v>17.646999999999998</c:v>
                </c:pt>
                <c:pt idx="3">
                  <c:v>52.941000000000003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14.286</c:v>
                </c:pt>
                <c:pt idx="1">
                  <c:v>21.428999999999998</c:v>
                </c:pt>
                <c:pt idx="2">
                  <c:v>17.856999999999999</c:v>
                </c:pt>
                <c:pt idx="3">
                  <c:v>46.429000000000002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691840"/>
        <c:axId val="110693376"/>
      </c:barChart>
      <c:catAx>
        <c:axId val="1106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93376"/>
        <c:crosses val="autoZero"/>
        <c:auto val="1"/>
        <c:lblAlgn val="ctr"/>
        <c:lblOffset val="100"/>
        <c:noMultiLvlLbl val="0"/>
      </c:catAx>
      <c:valAx>
        <c:axId val="1106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5.8819999999999997</c:v>
                </c:pt>
                <c:pt idx="1">
                  <c:v>0</c:v>
                </c:pt>
                <c:pt idx="2">
                  <c:v>17.646999999999998</c:v>
                </c:pt>
                <c:pt idx="3">
                  <c:v>76.471000000000004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14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802240"/>
        <c:axId val="87803776"/>
      </c:barChart>
      <c:catAx>
        <c:axId val="878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03776"/>
        <c:crosses val="autoZero"/>
        <c:auto val="1"/>
        <c:lblAlgn val="ctr"/>
        <c:lblOffset val="100"/>
        <c:noMultiLvlLbl val="0"/>
      </c:catAx>
      <c:valAx>
        <c:axId val="878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0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14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17.856999999999999</c:v>
                </c:pt>
                <c:pt idx="1">
                  <c:v>19.643000000000001</c:v>
                </c:pt>
                <c:pt idx="2">
                  <c:v>25</c:v>
                </c:pt>
                <c:pt idx="3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2</c:v>
                </c:pt>
                <c:pt idx="3">
                  <c:v>4</c:v>
                </c:pt>
                <c:pt idx="4">
                  <c:v>12</c:v>
                </c:pt>
                <c:pt idx="5">
                  <c:v>18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882176"/>
        <c:axId val="111694976"/>
      </c:barChart>
      <c:catAx>
        <c:axId val="1108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94976"/>
        <c:crosses val="autoZero"/>
        <c:auto val="1"/>
        <c:lblAlgn val="ctr"/>
        <c:lblOffset val="100"/>
        <c:noMultiLvlLbl val="0"/>
      </c:catAx>
      <c:valAx>
        <c:axId val="1116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5.8819999999999997</c:v>
                </c:pt>
                <c:pt idx="1">
                  <c:v>0</c:v>
                </c:pt>
                <c:pt idx="2">
                  <c:v>11.765000000000001</c:v>
                </c:pt>
                <c:pt idx="3">
                  <c:v>82.352999999999994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10.714</c:v>
                </c:pt>
                <c:pt idx="1">
                  <c:v>19.643000000000001</c:v>
                </c:pt>
                <c:pt idx="2">
                  <c:v>21.428999999999998</c:v>
                </c:pt>
                <c:pt idx="3">
                  <c:v>48.213999999999999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981504"/>
        <c:axId val="112983040"/>
      </c:barChart>
      <c:catAx>
        <c:axId val="1129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83040"/>
        <c:crosses val="autoZero"/>
        <c:auto val="1"/>
        <c:lblAlgn val="ctr"/>
        <c:lblOffset val="100"/>
        <c:noMultiLvlLbl val="0"/>
      </c:catAx>
      <c:valAx>
        <c:axId val="1129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8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5.8819999999999997</c:v>
                </c:pt>
                <c:pt idx="1">
                  <c:v>0</c:v>
                </c:pt>
                <c:pt idx="2">
                  <c:v>5.8819999999999997</c:v>
                </c:pt>
                <c:pt idx="3">
                  <c:v>88.234999999999999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12.5</c:v>
                </c:pt>
                <c:pt idx="1">
                  <c:v>21.428999999999998</c:v>
                </c:pt>
                <c:pt idx="2">
                  <c:v>14.286</c:v>
                </c:pt>
                <c:pt idx="3">
                  <c:v>51.786000000000001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24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71488"/>
        <c:axId val="113473024"/>
      </c:barChart>
      <c:catAx>
        <c:axId val="1134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73024"/>
        <c:crosses val="autoZero"/>
        <c:auto val="1"/>
        <c:lblAlgn val="ctr"/>
        <c:lblOffset val="100"/>
        <c:noMultiLvlLbl val="0"/>
      </c:catAx>
      <c:valAx>
        <c:axId val="11347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5.8819999999999997</c:v>
                </c:pt>
                <c:pt idx="1">
                  <c:v>17.646999999999998</c:v>
                </c:pt>
                <c:pt idx="2">
                  <c:v>17.646999999999998</c:v>
                </c:pt>
                <c:pt idx="3">
                  <c:v>58.823999999999998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4</c:v>
                </c:pt>
                <c:pt idx="1">
                  <c:v>24</c:v>
                </c:pt>
                <c:pt idx="2">
                  <c:v>9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42.856999999999999</c:v>
                </c:pt>
                <c:pt idx="2">
                  <c:v>16.071000000000002</c:v>
                </c:pt>
                <c:pt idx="3">
                  <c:v>33.929000000000002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3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16.667000000000002</c:v>
                </c:pt>
                <c:pt idx="2">
                  <c:v>33.332999999999998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  <c:pt idx="5">
                  <c:v>21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375104"/>
        <c:axId val="113376640"/>
      </c:barChart>
      <c:catAx>
        <c:axId val="1133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76640"/>
        <c:crosses val="autoZero"/>
        <c:auto val="1"/>
        <c:lblAlgn val="ctr"/>
        <c:lblOffset val="100"/>
        <c:noMultiLvlLbl val="0"/>
      </c:catAx>
      <c:valAx>
        <c:axId val="11337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7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5.8819999999999997</c:v>
                </c:pt>
                <c:pt idx="1">
                  <c:v>5.8819999999999997</c:v>
                </c:pt>
                <c:pt idx="2">
                  <c:v>5.8819999999999997</c:v>
                </c:pt>
                <c:pt idx="3">
                  <c:v>82.352999999999994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5.3570000000000002</c:v>
                </c:pt>
                <c:pt idx="1">
                  <c:v>16.071000000000002</c:v>
                </c:pt>
                <c:pt idx="2">
                  <c:v>14.286</c:v>
                </c:pt>
                <c:pt idx="3">
                  <c:v>64.286000000000001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  <c:pt idx="5">
                  <c:v>16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975680"/>
        <c:axId val="113977216"/>
      </c:barChart>
      <c:catAx>
        <c:axId val="11397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77216"/>
        <c:crosses val="autoZero"/>
        <c:auto val="1"/>
        <c:lblAlgn val="ctr"/>
        <c:lblOffset val="100"/>
        <c:noMultiLvlLbl val="0"/>
      </c:catAx>
      <c:valAx>
        <c:axId val="11397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7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5.8819999999999997</c:v>
                </c:pt>
                <c:pt idx="1">
                  <c:v>5.8819999999999997</c:v>
                </c:pt>
                <c:pt idx="2">
                  <c:v>11.765000000000001</c:v>
                </c:pt>
                <c:pt idx="3">
                  <c:v>76.471000000000004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10.714</c:v>
                </c:pt>
                <c:pt idx="1">
                  <c:v>10.714</c:v>
                </c:pt>
                <c:pt idx="2">
                  <c:v>16.071000000000002</c:v>
                </c:pt>
                <c:pt idx="3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17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814528"/>
        <c:axId val="113824512"/>
      </c:barChart>
      <c:catAx>
        <c:axId val="1138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24512"/>
        <c:crosses val="autoZero"/>
        <c:auto val="1"/>
        <c:lblAlgn val="ctr"/>
        <c:lblOffset val="100"/>
        <c:noMultiLvlLbl val="0"/>
      </c:catAx>
      <c:valAx>
        <c:axId val="1138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1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10.714</c:v>
                </c:pt>
                <c:pt idx="1">
                  <c:v>21.428999999999998</c:v>
                </c:pt>
                <c:pt idx="2">
                  <c:v>10.714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5.8819999999999997</c:v>
                </c:pt>
                <c:pt idx="1">
                  <c:v>5.8819999999999997</c:v>
                </c:pt>
                <c:pt idx="2">
                  <c:v>17.646999999999998</c:v>
                </c:pt>
                <c:pt idx="3">
                  <c:v>70.587999999999994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24</c:v>
                </c:pt>
                <c:pt idx="2">
                  <c:v>14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42.856999999999999</c:v>
                </c:pt>
                <c:pt idx="2">
                  <c:v>25</c:v>
                </c:pt>
                <c:pt idx="3">
                  <c:v>32.143000000000001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35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637696"/>
        <c:axId val="98639232"/>
      </c:barChart>
      <c:catAx>
        <c:axId val="986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39232"/>
        <c:crosses val="autoZero"/>
        <c:auto val="1"/>
        <c:lblAlgn val="ctr"/>
        <c:lblOffset val="100"/>
        <c:noMultiLvlLbl val="0"/>
      </c:catAx>
      <c:valAx>
        <c:axId val="986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3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35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28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202432"/>
        <c:axId val="105203968"/>
      </c:barChart>
      <c:catAx>
        <c:axId val="1052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03968"/>
        <c:crosses val="autoZero"/>
        <c:auto val="1"/>
        <c:lblAlgn val="ctr"/>
        <c:lblOffset val="100"/>
        <c:noMultiLvlLbl val="0"/>
      </c:catAx>
      <c:valAx>
        <c:axId val="10520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0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75" totalsRowShown="0" headerRowDxfId="31" dataDxfId="30">
  <autoFilter ref="A1:H75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74" totalsRowShown="0" headerRowDxfId="21" dataDxfId="20">
  <autoFilter ref="A1:L74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zoomScaleNormal="100" workbookViewId="0">
      <selection activeCell="K10" sqref="K10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8</v>
      </c>
      <c r="B3" s="114" t="s">
        <v>9</v>
      </c>
      <c r="C3" s="79" t="s">
        <v>10</v>
      </c>
      <c r="D3" s="79" t="s">
        <v>11</v>
      </c>
      <c r="E3" s="79" t="s">
        <v>12</v>
      </c>
      <c r="F3" s="79" t="s">
        <v>13</v>
      </c>
      <c r="G3" s="79" t="s">
        <v>13</v>
      </c>
      <c r="H3" s="79" t="s">
        <v>13</v>
      </c>
    </row>
    <row r="4" spans="1:10">
      <c r="A4" s="114" t="s">
        <v>8</v>
      </c>
      <c r="B4" s="114" t="s">
        <v>9</v>
      </c>
      <c r="C4" s="79" t="s">
        <v>14</v>
      </c>
      <c r="D4" s="79" t="s">
        <v>15</v>
      </c>
      <c r="E4" s="79" t="s">
        <v>16</v>
      </c>
      <c r="F4" s="79" t="s">
        <v>13</v>
      </c>
      <c r="G4" s="79" t="s">
        <v>13</v>
      </c>
      <c r="H4" s="79" t="s">
        <v>13</v>
      </c>
    </row>
    <row r="5" spans="1:10">
      <c r="A5" s="114" t="s">
        <v>8</v>
      </c>
      <c r="B5" s="114" t="s">
        <v>9</v>
      </c>
      <c r="C5" s="79" t="s">
        <v>17</v>
      </c>
      <c r="D5" s="79" t="s">
        <v>11</v>
      </c>
      <c r="E5" s="79" t="s">
        <v>12</v>
      </c>
      <c r="F5" s="79" t="s">
        <v>13</v>
      </c>
      <c r="G5" s="79" t="s">
        <v>13</v>
      </c>
      <c r="H5" s="79" t="s">
        <v>13</v>
      </c>
    </row>
    <row r="6" spans="1:10">
      <c r="A6" s="114" t="s">
        <v>8</v>
      </c>
      <c r="B6" s="114" t="s">
        <v>9</v>
      </c>
      <c r="C6" s="79" t="s">
        <v>17</v>
      </c>
      <c r="D6" s="79" t="s">
        <v>15</v>
      </c>
      <c r="E6" s="79" t="s">
        <v>12</v>
      </c>
      <c r="F6" s="79" t="s">
        <v>13</v>
      </c>
      <c r="G6" s="79" t="s">
        <v>18</v>
      </c>
      <c r="H6" s="79" t="s">
        <v>13</v>
      </c>
    </row>
    <row r="7" spans="1:10">
      <c r="A7" s="114" t="s">
        <v>19</v>
      </c>
      <c r="B7" s="114" t="s">
        <v>9</v>
      </c>
      <c r="C7" s="79" t="s">
        <v>14</v>
      </c>
      <c r="D7" s="79" t="s">
        <v>15</v>
      </c>
      <c r="E7" s="79" t="s">
        <v>16</v>
      </c>
      <c r="F7" s="79" t="s">
        <v>20</v>
      </c>
      <c r="G7" s="79" t="s">
        <v>21</v>
      </c>
      <c r="H7" s="79" t="s">
        <v>20</v>
      </c>
    </row>
    <row r="8" spans="1:10">
      <c r="A8" s="114" t="s">
        <v>19</v>
      </c>
      <c r="B8" s="114" t="s">
        <v>9</v>
      </c>
      <c r="C8" s="79" t="s">
        <v>17</v>
      </c>
      <c r="D8" s="79" t="s">
        <v>15</v>
      </c>
      <c r="E8" s="79" t="s">
        <v>16</v>
      </c>
      <c r="F8" s="79" t="s">
        <v>20</v>
      </c>
      <c r="G8" s="79" t="s">
        <v>20</v>
      </c>
      <c r="H8" s="79" t="s">
        <v>20</v>
      </c>
    </row>
    <row r="9" spans="1:10">
      <c r="A9" s="114" t="s">
        <v>8</v>
      </c>
      <c r="B9" s="114" t="s">
        <v>9</v>
      </c>
      <c r="C9" s="79" t="s">
        <v>10</v>
      </c>
      <c r="D9" s="79" t="s">
        <v>11</v>
      </c>
      <c r="E9" s="79" t="s">
        <v>16</v>
      </c>
      <c r="F9" s="79" t="s">
        <v>22</v>
      </c>
      <c r="G9" s="79" t="s">
        <v>18</v>
      </c>
      <c r="H9" s="79" t="s">
        <v>20</v>
      </c>
    </row>
    <row r="10" spans="1:10">
      <c r="A10" s="114" t="s">
        <v>8</v>
      </c>
      <c r="B10" s="114" t="s">
        <v>9</v>
      </c>
      <c r="C10" s="79" t="s">
        <v>17</v>
      </c>
      <c r="D10" s="79" t="s">
        <v>15</v>
      </c>
      <c r="E10" s="79" t="s">
        <v>12</v>
      </c>
      <c r="F10" s="79" t="s">
        <v>18</v>
      </c>
      <c r="G10" s="79" t="s">
        <v>18</v>
      </c>
      <c r="H10" s="79" t="s">
        <v>18</v>
      </c>
    </row>
    <row r="11" spans="1:10">
      <c r="A11" s="114" t="s">
        <v>19</v>
      </c>
      <c r="B11" s="114" t="s">
        <v>9</v>
      </c>
      <c r="C11" s="79" t="s">
        <v>10</v>
      </c>
      <c r="D11" s="79" t="s">
        <v>11</v>
      </c>
      <c r="E11" s="79" t="s">
        <v>16</v>
      </c>
      <c r="F11" s="79" t="s">
        <v>13</v>
      </c>
      <c r="G11" s="79" t="s">
        <v>13</v>
      </c>
      <c r="H11" s="79" t="s">
        <v>13</v>
      </c>
    </row>
    <row r="12" spans="1:10">
      <c r="A12" s="114" t="s">
        <v>19</v>
      </c>
      <c r="B12" s="114" t="s">
        <v>9</v>
      </c>
      <c r="C12" s="79" t="s">
        <v>17</v>
      </c>
      <c r="D12" s="79" t="s">
        <v>15</v>
      </c>
      <c r="E12" s="79" t="s">
        <v>16</v>
      </c>
      <c r="F12" s="79" t="s">
        <v>20</v>
      </c>
      <c r="G12" s="79" t="s">
        <v>20</v>
      </c>
      <c r="H12" s="79" t="s">
        <v>20</v>
      </c>
    </row>
    <row r="13" spans="1:10">
      <c r="A13" s="114" t="s">
        <v>8</v>
      </c>
      <c r="B13" s="114" t="s">
        <v>9</v>
      </c>
      <c r="C13" s="79" t="s">
        <v>10</v>
      </c>
      <c r="D13" s="79" t="s">
        <v>11</v>
      </c>
      <c r="E13" s="79" t="s">
        <v>12</v>
      </c>
      <c r="F13" s="79" t="s">
        <v>22</v>
      </c>
      <c r="G13" s="79" t="s">
        <v>22</v>
      </c>
      <c r="H13" s="79" t="s">
        <v>22</v>
      </c>
    </row>
    <row r="14" spans="1:10">
      <c r="A14" s="114" t="s">
        <v>8</v>
      </c>
      <c r="B14" s="114" t="s">
        <v>9</v>
      </c>
      <c r="C14" s="79" t="s">
        <v>10</v>
      </c>
      <c r="D14" s="79" t="s">
        <v>11</v>
      </c>
      <c r="E14" s="79" t="s">
        <v>12</v>
      </c>
      <c r="F14" s="79" t="s">
        <v>22</v>
      </c>
      <c r="G14" s="79" t="s">
        <v>23</v>
      </c>
      <c r="H14" s="79" t="s">
        <v>20</v>
      </c>
    </row>
    <row r="15" spans="1:10">
      <c r="A15" s="114" t="s">
        <v>19</v>
      </c>
      <c r="B15" s="114" t="s">
        <v>9</v>
      </c>
      <c r="C15" s="79" t="s">
        <v>17</v>
      </c>
      <c r="D15" s="79" t="s">
        <v>15</v>
      </c>
      <c r="E15" s="79" t="s">
        <v>12</v>
      </c>
      <c r="F15" s="79" t="s">
        <v>22</v>
      </c>
      <c r="G15" s="79" t="s">
        <v>13</v>
      </c>
      <c r="H15" s="79" t="s">
        <v>13</v>
      </c>
    </row>
    <row r="16" spans="1:10">
      <c r="A16" s="114" t="s">
        <v>8</v>
      </c>
      <c r="B16" s="114" t="s">
        <v>9</v>
      </c>
      <c r="C16" s="79" t="s">
        <v>14</v>
      </c>
      <c r="D16" s="79" t="s">
        <v>15</v>
      </c>
      <c r="E16" s="79" t="s">
        <v>12</v>
      </c>
      <c r="F16" s="79" t="s">
        <v>22</v>
      </c>
      <c r="G16" s="79" t="s">
        <v>23</v>
      </c>
      <c r="H16" s="79" t="s">
        <v>21</v>
      </c>
    </row>
    <row r="17" spans="1:8">
      <c r="A17" s="114" t="s">
        <v>19</v>
      </c>
      <c r="B17" s="114" t="s">
        <v>9</v>
      </c>
      <c r="C17" s="79" t="s">
        <v>10</v>
      </c>
      <c r="D17" s="79" t="s">
        <v>11</v>
      </c>
      <c r="E17" s="79" t="s">
        <v>12</v>
      </c>
      <c r="F17" s="79" t="s">
        <v>22</v>
      </c>
      <c r="G17" s="79" t="s">
        <v>13</v>
      </c>
      <c r="H17" s="79" t="s">
        <v>22</v>
      </c>
    </row>
    <row r="18" spans="1:8">
      <c r="A18" s="114" t="s">
        <v>8</v>
      </c>
      <c r="B18" s="114" t="s">
        <v>9</v>
      </c>
      <c r="C18" s="79" t="s">
        <v>14</v>
      </c>
      <c r="D18" s="79" t="s">
        <v>15</v>
      </c>
      <c r="E18" s="79" t="s">
        <v>12</v>
      </c>
      <c r="F18" s="79" t="s">
        <v>20</v>
      </c>
      <c r="G18" s="79" t="s">
        <v>23</v>
      </c>
      <c r="H18" s="79" t="s">
        <v>23</v>
      </c>
    </row>
    <row r="19" spans="1:8">
      <c r="A19" s="114" t="s">
        <v>8</v>
      </c>
      <c r="B19" s="114" t="s">
        <v>9</v>
      </c>
      <c r="C19" s="79" t="s">
        <v>14</v>
      </c>
      <c r="D19" s="79" t="s">
        <v>15</v>
      </c>
      <c r="E19" s="79" t="s">
        <v>16</v>
      </c>
      <c r="F19" s="79" t="s">
        <v>13</v>
      </c>
      <c r="G19" s="79" t="s">
        <v>23</v>
      </c>
      <c r="H19" s="79" t="s">
        <v>23</v>
      </c>
    </row>
    <row r="20" spans="1:8">
      <c r="A20" s="114" t="s">
        <v>8</v>
      </c>
      <c r="B20" s="114" t="s">
        <v>9</v>
      </c>
      <c r="C20" s="79" t="s">
        <v>10</v>
      </c>
      <c r="D20" s="79" t="s">
        <v>11</v>
      </c>
      <c r="E20" s="79" t="s">
        <v>12</v>
      </c>
      <c r="F20" s="79" t="s">
        <v>13</v>
      </c>
      <c r="G20" s="79" t="s">
        <v>13</v>
      </c>
      <c r="H20" s="79" t="s">
        <v>13</v>
      </c>
    </row>
    <row r="21" spans="1:8">
      <c r="A21" s="114" t="s">
        <v>8</v>
      </c>
      <c r="B21" s="114" t="s">
        <v>9</v>
      </c>
      <c r="C21" s="79" t="s">
        <v>14</v>
      </c>
      <c r="D21" s="79" t="s">
        <v>15</v>
      </c>
      <c r="E21" s="79" t="s">
        <v>16</v>
      </c>
      <c r="F21" s="79" t="s">
        <v>23</v>
      </c>
      <c r="G21" s="79" t="s">
        <v>23</v>
      </c>
      <c r="H21" s="79" t="s">
        <v>23</v>
      </c>
    </row>
    <row r="22" spans="1:8">
      <c r="A22" s="114" t="s">
        <v>8</v>
      </c>
      <c r="B22" s="114" t="s">
        <v>9</v>
      </c>
      <c r="C22" s="79" t="s">
        <v>17</v>
      </c>
      <c r="D22" s="79" t="s">
        <v>15</v>
      </c>
      <c r="E22" s="79" t="s">
        <v>12</v>
      </c>
      <c r="F22" s="79" t="s">
        <v>13</v>
      </c>
      <c r="G22" s="79" t="s">
        <v>21</v>
      </c>
      <c r="H22" s="79" t="s">
        <v>20</v>
      </c>
    </row>
    <row r="23" spans="1:8">
      <c r="A23" s="114" t="s">
        <v>8</v>
      </c>
      <c r="B23" s="114" t="s">
        <v>9</v>
      </c>
      <c r="C23" s="79" t="s">
        <v>10</v>
      </c>
      <c r="D23" s="79" t="s">
        <v>11</v>
      </c>
      <c r="E23" s="79" t="s">
        <v>12</v>
      </c>
      <c r="F23" s="79" t="s">
        <v>13</v>
      </c>
      <c r="G23" s="79" t="s">
        <v>13</v>
      </c>
      <c r="H23" s="79" t="s">
        <v>13</v>
      </c>
    </row>
    <row r="24" spans="1:8">
      <c r="A24" s="114" t="s">
        <v>8</v>
      </c>
      <c r="B24" s="114" t="s">
        <v>9</v>
      </c>
      <c r="C24" s="79" t="s">
        <v>10</v>
      </c>
      <c r="D24" s="79" t="s">
        <v>11</v>
      </c>
      <c r="E24" s="79" t="s">
        <v>16</v>
      </c>
      <c r="F24" s="79" t="s">
        <v>22</v>
      </c>
      <c r="G24" s="79" t="s">
        <v>13</v>
      </c>
      <c r="H24" s="79" t="s">
        <v>13</v>
      </c>
    </row>
    <row r="25" spans="1:8">
      <c r="A25" s="114" t="s">
        <v>8</v>
      </c>
      <c r="B25" s="114" t="s">
        <v>9</v>
      </c>
      <c r="C25" s="79" t="s">
        <v>14</v>
      </c>
      <c r="D25" s="79" t="s">
        <v>15</v>
      </c>
      <c r="E25" s="79" t="s">
        <v>12</v>
      </c>
      <c r="F25" s="79" t="s">
        <v>21</v>
      </c>
      <c r="G25" s="79" t="s">
        <v>21</v>
      </c>
      <c r="H25" s="79" t="s">
        <v>22</v>
      </c>
    </row>
    <row r="26" spans="1:8">
      <c r="A26" s="114" t="s">
        <v>8</v>
      </c>
      <c r="B26" s="114" t="s">
        <v>9</v>
      </c>
      <c r="C26" s="79" t="s">
        <v>17</v>
      </c>
      <c r="D26" s="79" t="s">
        <v>15</v>
      </c>
      <c r="E26" s="79" t="s">
        <v>16</v>
      </c>
      <c r="F26" s="79" t="s">
        <v>22</v>
      </c>
      <c r="G26" s="79" t="s">
        <v>22</v>
      </c>
      <c r="H26" s="79" t="s">
        <v>22</v>
      </c>
    </row>
    <row r="27" spans="1:8">
      <c r="A27" s="114" t="s">
        <v>8</v>
      </c>
      <c r="B27" s="114" t="s">
        <v>9</v>
      </c>
      <c r="C27" s="79" t="s">
        <v>10</v>
      </c>
      <c r="D27" s="79" t="s">
        <v>11</v>
      </c>
      <c r="E27" s="79" t="s">
        <v>12</v>
      </c>
      <c r="F27" s="79" t="s">
        <v>22</v>
      </c>
      <c r="G27" s="79" t="s">
        <v>13</v>
      </c>
      <c r="H27" s="79" t="s">
        <v>13</v>
      </c>
    </row>
    <row r="28" spans="1:8">
      <c r="A28" s="114" t="s">
        <v>8</v>
      </c>
      <c r="B28" s="114" t="s">
        <v>9</v>
      </c>
      <c r="C28" s="79" t="s">
        <v>14</v>
      </c>
      <c r="D28" s="79" t="s">
        <v>15</v>
      </c>
      <c r="E28" s="79" t="s">
        <v>16</v>
      </c>
      <c r="F28" s="79" t="s">
        <v>20</v>
      </c>
      <c r="G28" s="79" t="s">
        <v>20</v>
      </c>
      <c r="H28" s="79" t="s">
        <v>20</v>
      </c>
    </row>
    <row r="29" spans="1:8">
      <c r="A29" s="114" t="s">
        <v>19</v>
      </c>
      <c r="B29" s="114" t="s">
        <v>9</v>
      </c>
      <c r="C29" s="79" t="s">
        <v>14</v>
      </c>
      <c r="D29" s="79" t="s">
        <v>15</v>
      </c>
      <c r="E29" s="79" t="s">
        <v>12</v>
      </c>
      <c r="F29" s="79" t="s">
        <v>22</v>
      </c>
      <c r="G29" s="79" t="s">
        <v>23</v>
      </c>
      <c r="H29" s="79" t="s">
        <v>13</v>
      </c>
    </row>
    <row r="30" spans="1:8">
      <c r="A30" s="114" t="s">
        <v>8</v>
      </c>
      <c r="B30" s="114" t="s">
        <v>9</v>
      </c>
      <c r="C30" s="79" t="s">
        <v>14</v>
      </c>
      <c r="D30" s="79" t="s">
        <v>15</v>
      </c>
      <c r="E30" s="79" t="s">
        <v>12</v>
      </c>
      <c r="F30" s="79" t="s">
        <v>22</v>
      </c>
      <c r="G30" s="79" t="s">
        <v>22</v>
      </c>
      <c r="H30" s="79" t="s">
        <v>22</v>
      </c>
    </row>
    <row r="31" spans="1:8">
      <c r="A31" s="114" t="s">
        <v>8</v>
      </c>
      <c r="B31" s="114" t="s">
        <v>9</v>
      </c>
      <c r="C31" s="79" t="s">
        <v>14</v>
      </c>
      <c r="D31" s="79" t="s">
        <v>15</v>
      </c>
      <c r="E31" s="79" t="s">
        <v>16</v>
      </c>
      <c r="F31" s="79" t="s">
        <v>18</v>
      </c>
      <c r="G31" s="79" t="s">
        <v>22</v>
      </c>
      <c r="H31" s="79" t="s">
        <v>22</v>
      </c>
    </row>
    <row r="32" spans="1:8">
      <c r="A32" s="114" t="s">
        <v>8</v>
      </c>
      <c r="B32" s="114" t="s">
        <v>9</v>
      </c>
      <c r="C32" s="79" t="s">
        <v>17</v>
      </c>
      <c r="D32" s="79" t="s">
        <v>15</v>
      </c>
      <c r="E32" s="79" t="s">
        <v>16</v>
      </c>
      <c r="F32" s="79" t="s">
        <v>13</v>
      </c>
      <c r="G32" s="79" t="s">
        <v>22</v>
      </c>
      <c r="H32" s="79" t="s">
        <v>23</v>
      </c>
    </row>
    <row r="33" spans="1:8">
      <c r="A33" s="114" t="s">
        <v>8</v>
      </c>
      <c r="B33" s="114" t="s">
        <v>9</v>
      </c>
      <c r="C33" s="79" t="s">
        <v>14</v>
      </c>
      <c r="D33" s="79" t="s">
        <v>15</v>
      </c>
      <c r="E33" s="79" t="s">
        <v>16</v>
      </c>
      <c r="F33" s="79" t="s">
        <v>20</v>
      </c>
      <c r="G33" s="79" t="s">
        <v>20</v>
      </c>
      <c r="H33" s="79" t="s">
        <v>20</v>
      </c>
    </row>
    <row r="34" spans="1:8">
      <c r="A34" s="114" t="s">
        <v>8</v>
      </c>
      <c r="B34" s="114" t="s">
        <v>9</v>
      </c>
      <c r="C34" s="79" t="s">
        <v>10</v>
      </c>
      <c r="D34" s="79" t="s">
        <v>11</v>
      </c>
      <c r="E34" s="79" t="s">
        <v>12</v>
      </c>
      <c r="F34" s="79" t="s">
        <v>18</v>
      </c>
      <c r="G34" s="79" t="s">
        <v>13</v>
      </c>
      <c r="H34" s="79" t="s">
        <v>23</v>
      </c>
    </row>
    <row r="35" spans="1:8">
      <c r="A35" s="114" t="s">
        <v>8</v>
      </c>
      <c r="B35" s="114" t="s">
        <v>9</v>
      </c>
      <c r="C35" s="79" t="s">
        <v>14</v>
      </c>
      <c r="D35" s="79" t="s">
        <v>15</v>
      </c>
      <c r="E35" s="79" t="s">
        <v>12</v>
      </c>
      <c r="F35" s="79" t="s">
        <v>23</v>
      </c>
      <c r="G35" s="79" t="s">
        <v>23</v>
      </c>
      <c r="H35" s="79" t="s">
        <v>23</v>
      </c>
    </row>
    <row r="36" spans="1:8">
      <c r="A36" s="114" t="s">
        <v>19</v>
      </c>
      <c r="B36" s="114" t="s">
        <v>9</v>
      </c>
      <c r="C36" s="79" t="s">
        <v>10</v>
      </c>
      <c r="D36" s="79" t="s">
        <v>11</v>
      </c>
      <c r="E36" s="79" t="s">
        <v>12</v>
      </c>
      <c r="F36" s="79" t="s">
        <v>22</v>
      </c>
      <c r="G36" s="79" t="s">
        <v>18</v>
      </c>
      <c r="H36" s="79" t="s">
        <v>13</v>
      </c>
    </row>
    <row r="37" spans="1:8">
      <c r="A37" s="114" t="s">
        <v>8</v>
      </c>
      <c r="B37" s="114" t="s">
        <v>9</v>
      </c>
      <c r="C37" s="79" t="s">
        <v>17</v>
      </c>
      <c r="D37" s="79" t="s">
        <v>15</v>
      </c>
      <c r="E37" s="79" t="s">
        <v>16</v>
      </c>
      <c r="F37" s="79" t="s">
        <v>22</v>
      </c>
      <c r="G37" s="79" t="s">
        <v>22</v>
      </c>
      <c r="H37" s="79" t="s">
        <v>22</v>
      </c>
    </row>
    <row r="38" spans="1:8">
      <c r="A38" s="114" t="s">
        <v>19</v>
      </c>
      <c r="B38" s="114" t="s">
        <v>9</v>
      </c>
      <c r="C38" s="79" t="s">
        <v>14</v>
      </c>
      <c r="D38" s="79" t="s">
        <v>15</v>
      </c>
      <c r="E38" s="79" t="s">
        <v>12</v>
      </c>
      <c r="F38" s="79" t="s">
        <v>22</v>
      </c>
      <c r="G38" s="79" t="s">
        <v>22</v>
      </c>
      <c r="H38" s="79" t="s">
        <v>13</v>
      </c>
    </row>
    <row r="39" spans="1:8">
      <c r="A39" s="114" t="s">
        <v>8</v>
      </c>
      <c r="B39" s="114" t="s">
        <v>9</v>
      </c>
      <c r="C39" s="79" t="s">
        <v>14</v>
      </c>
      <c r="D39" s="79" t="s">
        <v>11</v>
      </c>
      <c r="E39" s="79" t="s">
        <v>12</v>
      </c>
      <c r="F39" s="79" t="s">
        <v>23</v>
      </c>
      <c r="G39" s="79" t="s">
        <v>22</v>
      </c>
      <c r="H39" s="79" t="s">
        <v>23</v>
      </c>
    </row>
    <row r="40" spans="1:8">
      <c r="A40" s="114" t="s">
        <v>8</v>
      </c>
      <c r="B40" s="114" t="s">
        <v>9</v>
      </c>
      <c r="C40" s="79" t="s">
        <v>17</v>
      </c>
      <c r="D40" s="79" t="s">
        <v>11</v>
      </c>
      <c r="E40" s="79" t="s">
        <v>12</v>
      </c>
      <c r="F40" s="79" t="s">
        <v>13</v>
      </c>
      <c r="G40" s="79" t="s">
        <v>22</v>
      </c>
      <c r="H40" s="79" t="s">
        <v>13</v>
      </c>
    </row>
    <row r="41" spans="1:8">
      <c r="A41" s="114" t="s">
        <v>19</v>
      </c>
      <c r="B41" s="114" t="s">
        <v>9</v>
      </c>
      <c r="C41" s="79" t="s">
        <v>10</v>
      </c>
      <c r="D41" s="79" t="s">
        <v>15</v>
      </c>
      <c r="E41" s="79" t="s">
        <v>16</v>
      </c>
      <c r="F41" s="79" t="s">
        <v>22</v>
      </c>
      <c r="G41" s="79" t="s">
        <v>22</v>
      </c>
      <c r="H41" s="79" t="s">
        <v>22</v>
      </c>
    </row>
    <row r="42" spans="1:8">
      <c r="A42" s="114" t="s">
        <v>8</v>
      </c>
      <c r="B42" s="114" t="s">
        <v>9</v>
      </c>
      <c r="C42" s="79" t="s">
        <v>14</v>
      </c>
      <c r="D42" s="79" t="s">
        <v>15</v>
      </c>
      <c r="E42" s="79" t="s">
        <v>16</v>
      </c>
      <c r="F42" s="79" t="s">
        <v>13</v>
      </c>
      <c r="G42" s="79" t="s">
        <v>23</v>
      </c>
      <c r="H42" s="79" t="s">
        <v>20</v>
      </c>
    </row>
    <row r="43" spans="1:8">
      <c r="A43" s="114" t="s">
        <v>8</v>
      </c>
      <c r="B43" s="114" t="s">
        <v>9</v>
      </c>
      <c r="C43" s="79" t="s">
        <v>10</v>
      </c>
      <c r="D43" s="79" t="s">
        <v>11</v>
      </c>
      <c r="E43" s="79" t="s">
        <v>12</v>
      </c>
      <c r="F43" s="79" t="s">
        <v>18</v>
      </c>
      <c r="G43" s="79" t="s">
        <v>18</v>
      </c>
      <c r="H43" s="79" t="s">
        <v>22</v>
      </c>
    </row>
    <row r="44" spans="1:8">
      <c r="A44" s="114" t="s">
        <v>19</v>
      </c>
      <c r="B44" s="114" t="s">
        <v>9</v>
      </c>
      <c r="C44" s="79" t="s">
        <v>10</v>
      </c>
      <c r="D44" s="79" t="s">
        <v>11</v>
      </c>
      <c r="E44" s="79" t="s">
        <v>16</v>
      </c>
      <c r="F44" s="79" t="s">
        <v>13</v>
      </c>
      <c r="G44" s="79" t="s">
        <v>13</v>
      </c>
      <c r="H44" s="79" t="s">
        <v>22</v>
      </c>
    </row>
    <row r="45" spans="1:8">
      <c r="A45" s="114" t="s">
        <v>8</v>
      </c>
      <c r="B45" s="114" t="s">
        <v>9</v>
      </c>
      <c r="C45" s="79" t="s">
        <v>17</v>
      </c>
      <c r="D45" s="79" t="s">
        <v>15</v>
      </c>
      <c r="E45" s="79" t="s">
        <v>16</v>
      </c>
      <c r="F45" s="79" t="s">
        <v>22</v>
      </c>
      <c r="G45" s="79" t="s">
        <v>20</v>
      </c>
      <c r="H45" s="79" t="s">
        <v>20</v>
      </c>
    </row>
    <row r="46" spans="1:8">
      <c r="A46" s="114" t="s">
        <v>19</v>
      </c>
      <c r="B46" s="114" t="s">
        <v>9</v>
      </c>
      <c r="C46" s="79" t="s">
        <v>10</v>
      </c>
      <c r="D46" s="79" t="s">
        <v>11</v>
      </c>
      <c r="E46" s="79" t="s">
        <v>12</v>
      </c>
      <c r="F46" s="79" t="s">
        <v>13</v>
      </c>
      <c r="G46" s="79" t="s">
        <v>13</v>
      </c>
      <c r="H46" s="79" t="s">
        <v>22</v>
      </c>
    </row>
    <row r="47" spans="1:8">
      <c r="A47" s="114" t="s">
        <v>8</v>
      </c>
      <c r="B47" s="114" t="s">
        <v>9</v>
      </c>
      <c r="C47" s="79" t="s">
        <v>10</v>
      </c>
      <c r="D47" s="79" t="s">
        <v>11</v>
      </c>
      <c r="E47" s="79" t="s">
        <v>12</v>
      </c>
      <c r="F47" s="79" t="s">
        <v>13</v>
      </c>
      <c r="G47" s="79" t="s">
        <v>13</v>
      </c>
      <c r="H47" s="79" t="s">
        <v>13</v>
      </c>
    </row>
    <row r="48" spans="1:8">
      <c r="A48" s="114" t="s">
        <v>8</v>
      </c>
      <c r="B48" s="114" t="s">
        <v>9</v>
      </c>
      <c r="C48" s="79" t="s">
        <v>10</v>
      </c>
      <c r="D48" s="79" t="s">
        <v>15</v>
      </c>
      <c r="E48" s="79" t="s">
        <v>12</v>
      </c>
      <c r="F48" s="79" t="s">
        <v>22</v>
      </c>
      <c r="G48" s="79" t="s">
        <v>22</v>
      </c>
      <c r="H48" s="79" t="s">
        <v>22</v>
      </c>
    </row>
    <row r="49" spans="1:8">
      <c r="A49" s="114" t="s">
        <v>8</v>
      </c>
      <c r="B49" s="114" t="s">
        <v>9</v>
      </c>
      <c r="C49" s="79" t="s">
        <v>10</v>
      </c>
      <c r="D49" s="79" t="s">
        <v>11</v>
      </c>
      <c r="E49" s="79" t="s">
        <v>12</v>
      </c>
      <c r="F49" s="79" t="s">
        <v>13</v>
      </c>
      <c r="G49" s="79" t="s">
        <v>13</v>
      </c>
      <c r="H49" s="79" t="s">
        <v>13</v>
      </c>
    </row>
    <row r="50" spans="1:8">
      <c r="A50" s="114" t="s">
        <v>8</v>
      </c>
      <c r="B50" s="114" t="s">
        <v>9</v>
      </c>
      <c r="C50" s="79" t="s">
        <v>14</v>
      </c>
      <c r="D50" s="79" t="s">
        <v>15</v>
      </c>
      <c r="E50" s="79" t="s">
        <v>16</v>
      </c>
      <c r="F50" s="79" t="s">
        <v>22</v>
      </c>
      <c r="G50" s="79" t="s">
        <v>20</v>
      </c>
      <c r="H50" s="79" t="s">
        <v>22</v>
      </c>
    </row>
    <row r="51" spans="1:8">
      <c r="A51" s="114" t="s">
        <v>19</v>
      </c>
      <c r="B51" s="114" t="s">
        <v>9</v>
      </c>
      <c r="C51" s="79" t="s">
        <v>17</v>
      </c>
      <c r="D51" s="79" t="s">
        <v>15</v>
      </c>
      <c r="E51" s="79" t="s">
        <v>16</v>
      </c>
      <c r="F51" s="79" t="s">
        <v>20</v>
      </c>
      <c r="G51" s="79" t="s">
        <v>13</v>
      </c>
      <c r="H51" s="79" t="s">
        <v>20</v>
      </c>
    </row>
    <row r="52" spans="1:8">
      <c r="A52" s="114" t="s">
        <v>8</v>
      </c>
      <c r="B52" s="114" t="s">
        <v>9</v>
      </c>
      <c r="C52" s="79" t="s">
        <v>10</v>
      </c>
      <c r="D52" s="79" t="s">
        <v>11</v>
      </c>
      <c r="E52" s="79" t="s">
        <v>12</v>
      </c>
      <c r="F52" s="79" t="s">
        <v>13</v>
      </c>
      <c r="G52" s="79" t="s">
        <v>13</v>
      </c>
      <c r="H52" s="79" t="s">
        <v>13</v>
      </c>
    </row>
    <row r="53" spans="1:8">
      <c r="A53" s="114" t="s">
        <v>19</v>
      </c>
      <c r="B53" s="114" t="s">
        <v>9</v>
      </c>
      <c r="C53" s="79" t="s">
        <v>17</v>
      </c>
      <c r="D53" s="79" t="s">
        <v>11</v>
      </c>
      <c r="E53" s="79" t="s">
        <v>12</v>
      </c>
      <c r="F53" s="79" t="s">
        <v>18</v>
      </c>
      <c r="G53" s="79" t="s">
        <v>13</v>
      </c>
      <c r="H53" s="79" t="s">
        <v>13</v>
      </c>
    </row>
    <row r="54" spans="1:8">
      <c r="A54" s="114" t="s">
        <v>8</v>
      </c>
      <c r="B54" s="114" t="s">
        <v>9</v>
      </c>
      <c r="C54" s="79" t="s">
        <v>10</v>
      </c>
      <c r="D54" s="79" t="s">
        <v>11</v>
      </c>
      <c r="E54" s="79" t="s">
        <v>16</v>
      </c>
      <c r="F54" s="79" t="s">
        <v>13</v>
      </c>
      <c r="G54" s="79" t="s">
        <v>13</v>
      </c>
      <c r="H54" s="79" t="s">
        <v>13</v>
      </c>
    </row>
    <row r="55" spans="1:8">
      <c r="A55" s="114" t="s">
        <v>19</v>
      </c>
      <c r="B55" s="114" t="s">
        <v>9</v>
      </c>
      <c r="C55" s="79" t="s">
        <v>17</v>
      </c>
      <c r="D55" s="79" t="s">
        <v>15</v>
      </c>
      <c r="E55" s="79" t="s">
        <v>16</v>
      </c>
      <c r="F55" s="79" t="s">
        <v>22</v>
      </c>
      <c r="G55" s="79" t="s">
        <v>23</v>
      </c>
      <c r="H55" s="79" t="s">
        <v>22</v>
      </c>
    </row>
    <row r="56" spans="1:8">
      <c r="A56" s="114" t="s">
        <v>8</v>
      </c>
      <c r="B56" s="114" t="s">
        <v>9</v>
      </c>
      <c r="C56" s="79" t="s">
        <v>17</v>
      </c>
      <c r="D56" s="79" t="s">
        <v>15</v>
      </c>
      <c r="E56" s="79" t="s">
        <v>16</v>
      </c>
      <c r="F56" s="79" t="s">
        <v>13</v>
      </c>
      <c r="G56" s="79" t="s">
        <v>21</v>
      </c>
      <c r="H56" s="79" t="s">
        <v>20</v>
      </c>
    </row>
    <row r="57" spans="1:8">
      <c r="A57" s="114" t="s">
        <v>8</v>
      </c>
      <c r="B57" s="114" t="s">
        <v>9</v>
      </c>
      <c r="C57" s="79" t="s">
        <v>17</v>
      </c>
      <c r="D57" s="79" t="s">
        <v>11</v>
      </c>
      <c r="E57" s="79" t="s">
        <v>12</v>
      </c>
      <c r="F57" s="79" t="s">
        <v>13</v>
      </c>
      <c r="G57" s="79" t="s">
        <v>13</v>
      </c>
      <c r="H57" s="79" t="s">
        <v>18</v>
      </c>
    </row>
    <row r="58" spans="1:8">
      <c r="A58" s="114" t="s">
        <v>8</v>
      </c>
      <c r="B58" s="114" t="s">
        <v>9</v>
      </c>
      <c r="C58" s="79" t="s">
        <v>14</v>
      </c>
      <c r="D58" s="79" t="s">
        <v>15</v>
      </c>
      <c r="E58" s="79" t="s">
        <v>16</v>
      </c>
      <c r="F58" s="79" t="s">
        <v>22</v>
      </c>
      <c r="G58" s="79" t="s">
        <v>22</v>
      </c>
      <c r="H58" s="79" t="s">
        <v>22</v>
      </c>
    </row>
    <row r="59" spans="1:8">
      <c r="A59" s="114" t="s">
        <v>8</v>
      </c>
      <c r="B59" s="114" t="s">
        <v>9</v>
      </c>
      <c r="C59" s="79" t="s">
        <v>14</v>
      </c>
      <c r="D59" s="79" t="s">
        <v>15</v>
      </c>
      <c r="E59" s="79" t="s">
        <v>12</v>
      </c>
      <c r="F59" s="79" t="s">
        <v>18</v>
      </c>
      <c r="G59" s="79" t="s">
        <v>18</v>
      </c>
      <c r="H59" s="79" t="s">
        <v>18</v>
      </c>
    </row>
    <row r="60" spans="1:8">
      <c r="A60" s="114" t="s">
        <v>8</v>
      </c>
      <c r="B60" s="114" t="s">
        <v>9</v>
      </c>
      <c r="C60" s="79" t="s">
        <v>14</v>
      </c>
      <c r="D60" s="79" t="s">
        <v>15</v>
      </c>
      <c r="E60" s="79" t="s">
        <v>16</v>
      </c>
      <c r="F60" s="79" t="s">
        <v>21</v>
      </c>
      <c r="G60" s="79" t="s">
        <v>20</v>
      </c>
      <c r="H60" s="79" t="s">
        <v>20</v>
      </c>
    </row>
    <row r="61" spans="1:8">
      <c r="A61" s="114" t="s">
        <v>8</v>
      </c>
      <c r="B61" s="114" t="s">
        <v>9</v>
      </c>
      <c r="C61" s="79" t="s">
        <v>10</v>
      </c>
      <c r="D61" s="79" t="s">
        <v>15</v>
      </c>
      <c r="E61" s="79" t="s">
        <v>16</v>
      </c>
      <c r="F61" s="79" t="s">
        <v>22</v>
      </c>
      <c r="G61" s="79" t="s">
        <v>22</v>
      </c>
      <c r="H61" s="79" t="s">
        <v>22</v>
      </c>
    </row>
    <row r="62" spans="1:8">
      <c r="A62" s="114" t="s">
        <v>8</v>
      </c>
      <c r="B62" s="114" t="s">
        <v>9</v>
      </c>
      <c r="C62" s="79" t="s">
        <v>17</v>
      </c>
      <c r="D62" s="79" t="s">
        <v>15</v>
      </c>
      <c r="E62" s="79" t="s">
        <v>16</v>
      </c>
      <c r="F62" s="79" t="s">
        <v>22</v>
      </c>
      <c r="G62" s="79" t="s">
        <v>22</v>
      </c>
      <c r="H62" s="79" t="s">
        <v>21</v>
      </c>
    </row>
    <row r="63" spans="1:8">
      <c r="A63" s="114" t="s">
        <v>8</v>
      </c>
      <c r="B63" s="114" t="s">
        <v>9</v>
      </c>
      <c r="C63" s="79" t="s">
        <v>17</v>
      </c>
      <c r="D63" s="79" t="s">
        <v>15</v>
      </c>
      <c r="E63" s="79" t="s">
        <v>12</v>
      </c>
      <c r="F63" s="79" t="s">
        <v>22</v>
      </c>
      <c r="G63" s="79" t="s">
        <v>22</v>
      </c>
      <c r="H63" s="79" t="s">
        <v>20</v>
      </c>
    </row>
    <row r="64" spans="1:8">
      <c r="A64" s="114" t="s">
        <v>19</v>
      </c>
      <c r="B64" s="114" t="s">
        <v>9</v>
      </c>
      <c r="C64" s="79" t="s">
        <v>10</v>
      </c>
      <c r="D64" s="79" t="s">
        <v>11</v>
      </c>
      <c r="E64" s="79" t="s">
        <v>12</v>
      </c>
      <c r="F64" s="79" t="s">
        <v>13</v>
      </c>
      <c r="G64" s="79" t="s">
        <v>20</v>
      </c>
      <c r="H64" s="79" t="s">
        <v>13</v>
      </c>
    </row>
    <row r="65" spans="1:8">
      <c r="A65" s="114" t="s">
        <v>8</v>
      </c>
      <c r="B65" s="114" t="s">
        <v>9</v>
      </c>
      <c r="C65" s="79" t="s">
        <v>10</v>
      </c>
      <c r="D65" s="79" t="s">
        <v>11</v>
      </c>
      <c r="E65" s="79" t="s">
        <v>12</v>
      </c>
      <c r="F65" s="79" t="s">
        <v>18</v>
      </c>
      <c r="G65" s="79" t="s">
        <v>18</v>
      </c>
      <c r="H65" s="79" t="s">
        <v>13</v>
      </c>
    </row>
    <row r="66" spans="1:8">
      <c r="A66" s="114" t="s">
        <v>19</v>
      </c>
      <c r="B66" s="114" t="s">
        <v>9</v>
      </c>
      <c r="C66" s="79" t="s">
        <v>10</v>
      </c>
      <c r="D66" s="79" t="s">
        <v>11</v>
      </c>
      <c r="E66" s="79" t="s">
        <v>12</v>
      </c>
      <c r="F66" s="79" t="s">
        <v>18</v>
      </c>
      <c r="G66" s="79" t="s">
        <v>18</v>
      </c>
      <c r="H66" s="79" t="s">
        <v>18</v>
      </c>
    </row>
    <row r="67" spans="1:8">
      <c r="A67" s="114" t="s">
        <v>8</v>
      </c>
      <c r="B67" s="114" t="s">
        <v>9</v>
      </c>
      <c r="C67" s="79" t="s">
        <v>14</v>
      </c>
      <c r="D67" s="79" t="s">
        <v>15</v>
      </c>
      <c r="E67" s="79" t="s">
        <v>16</v>
      </c>
      <c r="F67" s="79" t="s">
        <v>13</v>
      </c>
      <c r="G67" s="79" t="s">
        <v>22</v>
      </c>
      <c r="H67" s="79" t="s">
        <v>23</v>
      </c>
    </row>
    <row r="68" spans="1:8">
      <c r="A68" s="114" t="s">
        <v>8</v>
      </c>
      <c r="B68" s="114" t="s">
        <v>9</v>
      </c>
      <c r="C68" s="79" t="s">
        <v>14</v>
      </c>
      <c r="D68" s="79" t="s">
        <v>15</v>
      </c>
      <c r="E68" s="79" t="s">
        <v>16</v>
      </c>
      <c r="F68" s="79" t="s">
        <v>23</v>
      </c>
      <c r="G68" s="79" t="s">
        <v>23</v>
      </c>
      <c r="H68" s="79" t="s">
        <v>23</v>
      </c>
    </row>
    <row r="69" spans="1:8">
      <c r="A69" s="114" t="s">
        <v>8</v>
      </c>
      <c r="B69" s="114" t="s">
        <v>9</v>
      </c>
      <c r="C69" s="79" t="s">
        <v>14</v>
      </c>
      <c r="D69" s="79" t="s">
        <v>15</v>
      </c>
      <c r="E69" s="79" t="s">
        <v>16</v>
      </c>
      <c r="F69" s="79" t="s">
        <v>20</v>
      </c>
      <c r="G69" s="79" t="s">
        <v>20</v>
      </c>
      <c r="H69" s="79" t="s">
        <v>21</v>
      </c>
    </row>
    <row r="70" spans="1:8">
      <c r="A70" s="114" t="s">
        <v>8</v>
      </c>
      <c r="B70" s="114" t="s">
        <v>9</v>
      </c>
      <c r="C70" s="79" t="s">
        <v>14</v>
      </c>
      <c r="D70" s="79" t="s">
        <v>15</v>
      </c>
      <c r="E70" s="79" t="s">
        <v>16</v>
      </c>
      <c r="F70" s="79" t="s">
        <v>22</v>
      </c>
      <c r="G70" s="79" t="s">
        <v>23</v>
      </c>
      <c r="H70" s="79" t="s">
        <v>23</v>
      </c>
    </row>
    <row r="71" spans="1:8">
      <c r="A71" s="114" t="s">
        <v>8</v>
      </c>
      <c r="B71" s="114" t="s">
        <v>9</v>
      </c>
      <c r="C71" s="79" t="s">
        <v>17</v>
      </c>
      <c r="D71" s="79" t="s">
        <v>11</v>
      </c>
      <c r="E71" s="79" t="s">
        <v>16</v>
      </c>
      <c r="F71" s="79" t="s">
        <v>20</v>
      </c>
      <c r="G71" s="79" t="s">
        <v>20</v>
      </c>
      <c r="H71" s="79" t="s">
        <v>23</v>
      </c>
    </row>
    <row r="72" spans="1:8">
      <c r="A72" s="114" t="s">
        <v>8</v>
      </c>
      <c r="B72" s="114" t="s">
        <v>9</v>
      </c>
      <c r="C72" s="79" t="s">
        <v>14</v>
      </c>
      <c r="D72" s="79" t="s">
        <v>15</v>
      </c>
      <c r="E72" s="79" t="s">
        <v>16</v>
      </c>
      <c r="F72" s="79" t="s">
        <v>23</v>
      </c>
      <c r="G72" s="79" t="s">
        <v>23</v>
      </c>
      <c r="H72" s="79" t="s">
        <v>21</v>
      </c>
    </row>
    <row r="73" spans="1:8">
      <c r="A73" s="114" t="s">
        <v>8</v>
      </c>
      <c r="B73" s="114" t="s">
        <v>9</v>
      </c>
      <c r="C73" s="79" t="s">
        <v>14</v>
      </c>
      <c r="D73" s="79" t="s">
        <v>15</v>
      </c>
      <c r="E73" s="79" t="s">
        <v>16</v>
      </c>
      <c r="F73" s="79" t="s">
        <v>21</v>
      </c>
      <c r="G73" s="79" t="s">
        <v>21</v>
      </c>
      <c r="H73" s="79" t="s">
        <v>21</v>
      </c>
    </row>
    <row r="74" spans="1:8">
      <c r="A74" s="114" t="s">
        <v>8</v>
      </c>
      <c r="B74" s="114" t="s">
        <v>9</v>
      </c>
      <c r="C74" s="79" t="s">
        <v>14</v>
      </c>
      <c r="D74" s="79" t="s">
        <v>15</v>
      </c>
      <c r="E74" s="79" t="s">
        <v>16</v>
      </c>
      <c r="F74" s="79" t="s">
        <v>13</v>
      </c>
      <c r="G74" s="79" t="s">
        <v>21</v>
      </c>
      <c r="H74" s="79" t="s">
        <v>21</v>
      </c>
    </row>
    <row r="75" spans="1:8">
      <c r="A75" s="114" t="s">
        <v>19</v>
      </c>
      <c r="B75" s="114" t="s">
        <v>9</v>
      </c>
      <c r="C75" s="79" t="s">
        <v>10</v>
      </c>
      <c r="D75" s="79" t="s">
        <v>11</v>
      </c>
      <c r="E75" s="79" t="s">
        <v>12</v>
      </c>
      <c r="F75" s="79" t="s">
        <v>22</v>
      </c>
      <c r="G75" s="79" t="s">
        <v>22</v>
      </c>
      <c r="H75" s="79" t="s">
        <v>22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20</v>
      </c>
      <c r="C7" s="10">
        <f>COUNTIFS(Resp2[Vínculo],"tecnico",Resp2[2.06],B7)</f>
        <v>4</v>
      </c>
      <c r="D7" s="10">
        <f>COUNTIFS(Resp2[Vínculo],"docente",Resp2[2.06],B7)</f>
        <v>5</v>
      </c>
      <c r="E7" s="10">
        <f>COUNTIF(Resp2[2.06],B7)</f>
        <v>9</v>
      </c>
      <c r="F7" s="25">
        <f t="shared" ref="F7:F13" si="0">ROUND($E7/$E$13*100,2)</f>
        <v>12.16</v>
      </c>
      <c r="G7" s="25">
        <f>ROUND($E7/SUM($E$7:$E$12)*100,3)</f>
        <v>12.162000000000001</v>
      </c>
    </row>
    <row r="8" spans="1:9">
      <c r="B8" s="9" t="s">
        <v>21</v>
      </c>
      <c r="C8" s="10">
        <f>COUNTIFS(Resp2[Vínculo],"tecnico",Resp2[2.06],B8)</f>
        <v>0</v>
      </c>
      <c r="D8" s="10">
        <f>COUNTIFS(Resp2[Vínculo],"docente",Resp2[2.06],B8)</f>
        <v>3</v>
      </c>
      <c r="E8" s="10">
        <f>COUNTIF(Resp2[2.06],B8)</f>
        <v>3</v>
      </c>
      <c r="F8" s="25">
        <f t="shared" si="0"/>
        <v>4.05</v>
      </c>
      <c r="G8" s="25">
        <f t="shared" ref="G8:G12" si="1">ROUND($E8/SUM($E$7:$E$12)*100,3)</f>
        <v>4.0540000000000003</v>
      </c>
    </row>
    <row r="9" spans="1:9">
      <c r="B9" s="9" t="s">
        <v>23</v>
      </c>
      <c r="C9" s="10">
        <f>COUNTIFS(Resp2[Vínculo],"tecnico",Resp2[2.06],B9)</f>
        <v>0</v>
      </c>
      <c r="D9" s="10">
        <f>COUNTIFS(Resp2[Vínculo],"docente",Resp2[2.06],B9)</f>
        <v>5</v>
      </c>
      <c r="E9" s="10">
        <f>COUNTIF(Resp2[2.06],B9)</f>
        <v>5</v>
      </c>
      <c r="F9" s="25">
        <f t="shared" si="0"/>
        <v>6.76</v>
      </c>
      <c r="G9" s="25">
        <f t="shared" si="1"/>
        <v>6.7569999999999997</v>
      </c>
    </row>
    <row r="10" spans="1:9">
      <c r="B10" s="9" t="s">
        <v>22</v>
      </c>
      <c r="C10" s="10">
        <f>COUNTIFS(Resp2[Vínculo],"tecnico",Resp2[2.06],B10)</f>
        <v>8</v>
      </c>
      <c r="D10" s="10">
        <f>COUNTIFS(Resp2[Vínculo],"docente",Resp2[2.06],B10)</f>
        <v>17</v>
      </c>
      <c r="E10" s="10">
        <f>COUNTIF(Resp2[2.06],B10)</f>
        <v>25</v>
      </c>
      <c r="F10" s="25">
        <f t="shared" si="0"/>
        <v>33.78</v>
      </c>
      <c r="G10" s="25">
        <f t="shared" si="1"/>
        <v>33.783999999999999</v>
      </c>
    </row>
    <row r="11" spans="1:9">
      <c r="B11" s="9" t="s">
        <v>13</v>
      </c>
      <c r="C11" s="10">
        <f>COUNTIFS(Resp2[Vínculo],"tecnico",Resp2[2.06],B11)</f>
        <v>4</v>
      </c>
      <c r="D11" s="10">
        <f>COUNTIFS(Resp2[Vínculo],"docente",Resp2[2.06],B11)</f>
        <v>20</v>
      </c>
      <c r="E11" s="10">
        <f>COUNTIF(Resp2[2.06],B11)</f>
        <v>24</v>
      </c>
      <c r="F11" s="25">
        <f t="shared" si="0"/>
        <v>32.43</v>
      </c>
      <c r="G11" s="25">
        <f t="shared" si="1"/>
        <v>32.432000000000002</v>
      </c>
    </row>
    <row r="12" spans="1:9">
      <c r="B12" s="101" t="s">
        <v>18</v>
      </c>
      <c r="C12" s="100">
        <f>COUNTIFS(Resp2[Vínculo],"tecnico",Resp2[2.06],B12)</f>
        <v>2</v>
      </c>
      <c r="D12" s="100">
        <f>COUNTIFS(Resp2[Vínculo],"docente",Resp2[2.06],B12)</f>
        <v>6</v>
      </c>
      <c r="E12" s="100">
        <f>COUNTIF(Resp2[2.06],B12)</f>
        <v>8</v>
      </c>
      <c r="F12" s="102">
        <f t="shared" si="0"/>
        <v>10.81</v>
      </c>
      <c r="G12" s="102">
        <f t="shared" si="1"/>
        <v>10.811</v>
      </c>
    </row>
    <row r="13" spans="1:9">
      <c r="B13" s="10" t="s">
        <v>167</v>
      </c>
      <c r="C13" s="10">
        <f>SUM(C6:C12)</f>
        <v>18</v>
      </c>
      <c r="D13" s="10">
        <f>SUM(D6:D12)</f>
        <v>56</v>
      </c>
      <c r="E13" s="10">
        <f>SUM(C13:D13)</f>
        <v>74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4</v>
      </c>
      <c r="E19" s="44">
        <f t="shared" ref="E19:E21" si="2">ROUND(D19/SUM(D$18:D$21)*100,3)</f>
        <v>22.222000000000001</v>
      </c>
      <c r="F19" s="37"/>
      <c r="G19" s="38"/>
    </row>
    <row r="20" spans="2:7">
      <c r="B20" s="31" t="s">
        <v>22</v>
      </c>
      <c r="C20" s="31" t="s">
        <v>90</v>
      </c>
      <c r="D20" s="15">
        <f>C10</f>
        <v>8</v>
      </c>
      <c r="E20" s="44">
        <f t="shared" si="2"/>
        <v>44.444000000000003</v>
      </c>
    </row>
    <row r="21" spans="2:7">
      <c r="B21" s="52" t="s">
        <v>96</v>
      </c>
      <c r="C21" s="52" t="s">
        <v>95</v>
      </c>
      <c r="D21" s="33">
        <f>SUM(C11:C12)</f>
        <v>6</v>
      </c>
      <c r="E21" s="45">
        <f t="shared" si="2"/>
        <v>33.332999999999998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8</v>
      </c>
      <c r="E25" s="44">
        <f>ROUND(D25/SUM(D$25:D$28)*100,3)</f>
        <v>14.286</v>
      </c>
    </row>
    <row r="26" spans="2:7">
      <c r="B26" s="30" t="s">
        <v>181</v>
      </c>
      <c r="C26" s="30" t="s">
        <v>78</v>
      </c>
      <c r="D26" s="15">
        <f>D7</f>
        <v>5</v>
      </c>
      <c r="E26" s="44">
        <f>ROUND(D26/SUM(D$25:D$28)*100,3)</f>
        <v>8.9290000000000003</v>
      </c>
    </row>
    <row r="27" spans="2:7">
      <c r="B27" s="31" t="s">
        <v>22</v>
      </c>
      <c r="C27" s="31" t="s">
        <v>90</v>
      </c>
      <c r="D27" s="15">
        <f>D10</f>
        <v>17</v>
      </c>
      <c r="E27" s="44">
        <f>ROUND(D27/SUM(D$25:D$28)*100,3)</f>
        <v>30.356999999999999</v>
      </c>
    </row>
    <row r="28" spans="2:7">
      <c r="B28" s="32" t="s">
        <v>96</v>
      </c>
      <c r="C28" s="32" t="s">
        <v>95</v>
      </c>
      <c r="D28" s="33">
        <f>SUM(D11:D12)</f>
        <v>26</v>
      </c>
      <c r="E28" s="45">
        <f>ROUND(D28/SUM(D$25:D$28)*100,3)</f>
        <v>46.429000000000002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COUNTIFS(Resp2[Vínculo],"tecnico",Resp2[2.07],B7)</f>
        <v>3</v>
      </c>
      <c r="D7" s="10">
        <f>COUNTIFS(Resp2[Vínculo],"docente",Resp2[2.07],B7)</f>
        <v>7</v>
      </c>
      <c r="E7" s="10">
        <f>COUNTIF(Resp2[2.07],B7)</f>
        <v>10</v>
      </c>
      <c r="F7" s="25">
        <f t="shared" ref="F7:F12" si="0">ROUND($E7/$E$13*100,2)</f>
        <v>13.51</v>
      </c>
      <c r="G7" s="25">
        <f>ROUND($E7/SUM($E$7:$E$12)*100,3)</f>
        <v>13.513999999999999</v>
      </c>
    </row>
    <row r="8" spans="1:7">
      <c r="B8" s="9" t="s">
        <v>21</v>
      </c>
      <c r="C8" s="10">
        <f>COUNTIFS(Resp2[Vínculo],"tecnico",Resp2[2.07],B8)</f>
        <v>1</v>
      </c>
      <c r="D8" s="10">
        <f>COUNTIFS(Resp2[Vínculo],"docente",Resp2[2.07],B8)</f>
        <v>5</v>
      </c>
      <c r="E8" s="10">
        <f>COUNTIF(Resp2[2.07],B8)</f>
        <v>6</v>
      </c>
      <c r="F8" s="25">
        <f t="shared" si="0"/>
        <v>8.11</v>
      </c>
      <c r="G8" s="25">
        <f t="shared" ref="G8:G12" si="1">ROUND($E8/SUM($E$7:$E$12)*100,3)</f>
        <v>8.1080000000000005</v>
      </c>
    </row>
    <row r="9" spans="1:7">
      <c r="B9" s="9" t="s">
        <v>23</v>
      </c>
      <c r="C9" s="10">
        <f>COUNTIFS(Resp2[Vínculo],"tecnico",Resp2[2.07],B9)</f>
        <v>2</v>
      </c>
      <c r="D9" s="10">
        <f>COUNTIFS(Resp2[Vínculo],"docente",Resp2[2.07],B9)</f>
        <v>10</v>
      </c>
      <c r="E9" s="10">
        <f>COUNTIF(Resp2[2.07],B9)</f>
        <v>12</v>
      </c>
      <c r="F9" s="25">
        <f t="shared" si="0"/>
        <v>16.22</v>
      </c>
      <c r="G9" s="25">
        <f t="shared" si="1"/>
        <v>16.216000000000001</v>
      </c>
    </row>
    <row r="10" spans="1:7">
      <c r="B10" s="9" t="s">
        <v>22</v>
      </c>
      <c r="C10" s="10">
        <f>COUNTIFS(Resp2[Vínculo],"tecnico",Resp2[2.07],B10)</f>
        <v>3</v>
      </c>
      <c r="D10" s="10">
        <f>COUNTIFS(Resp2[Vínculo],"docente",Resp2[2.07],B10)</f>
        <v>14</v>
      </c>
      <c r="E10" s="10">
        <f>COUNTIF(Resp2[2.07],B10)</f>
        <v>17</v>
      </c>
      <c r="F10" s="25">
        <f t="shared" si="0"/>
        <v>22.97</v>
      </c>
      <c r="G10" s="25">
        <f t="shared" si="1"/>
        <v>22.972999999999999</v>
      </c>
    </row>
    <row r="11" spans="1:7">
      <c r="B11" s="9" t="s">
        <v>13</v>
      </c>
      <c r="C11" s="10">
        <f>COUNTIFS(Resp2[Vínculo],"tecnico",Resp2[2.07],B11)</f>
        <v>7</v>
      </c>
      <c r="D11" s="10">
        <f>COUNTIFS(Resp2[Vínculo],"docente",Resp2[2.07],B11)</f>
        <v>14</v>
      </c>
      <c r="E11" s="10">
        <f>COUNTIF(Resp2[2.07],B11)</f>
        <v>21</v>
      </c>
      <c r="F11" s="25">
        <f t="shared" si="0"/>
        <v>28.38</v>
      </c>
      <c r="G11" s="25">
        <f t="shared" si="1"/>
        <v>28.378</v>
      </c>
    </row>
    <row r="12" spans="1:7">
      <c r="B12" s="26" t="s">
        <v>18</v>
      </c>
      <c r="C12" s="10">
        <f>COUNTIFS(Resp2[Vínculo],"tecnico",Resp2[2.07],B12)</f>
        <v>2</v>
      </c>
      <c r="D12" s="10">
        <f>COUNTIFS(Resp2[Vínculo],"docente",Resp2[2.07],B12)</f>
        <v>6</v>
      </c>
      <c r="E12" s="10">
        <f>COUNTIF(Resp2[2.07],B12)</f>
        <v>8</v>
      </c>
      <c r="F12" s="102">
        <f t="shared" si="0"/>
        <v>10.81</v>
      </c>
      <c r="G12" s="25">
        <f t="shared" si="1"/>
        <v>10.811</v>
      </c>
    </row>
    <row r="13" spans="1:7">
      <c r="B13" s="9" t="s">
        <v>167</v>
      </c>
      <c r="C13" s="11">
        <f>SUM(C6:C12)</f>
        <v>18</v>
      </c>
      <c r="D13" s="11">
        <f>SUM(D6:D12)</f>
        <v>56</v>
      </c>
      <c r="E13" s="11">
        <f>SUM(C13:D13)</f>
        <v>74</v>
      </c>
      <c r="F13" s="105">
        <f>ROUND($E13/$E$13*100,2)</f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3</v>
      </c>
      <c r="E18" s="39">
        <f>ROUND(D18/SUM(D$18:D$21)*100,3)</f>
        <v>16.667000000000002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3</v>
      </c>
      <c r="E19" s="39">
        <f t="shared" ref="E19:E21" si="2">ROUND(D19/SUM(D$18:D$21)*100,3)</f>
        <v>16.667000000000002</v>
      </c>
      <c r="F19" s="15"/>
      <c r="G19" s="10"/>
    </row>
    <row r="20" spans="2:7">
      <c r="B20" s="31" t="s">
        <v>22</v>
      </c>
      <c r="C20" s="31" t="s">
        <v>90</v>
      </c>
      <c r="D20" s="15">
        <f>C10</f>
        <v>3</v>
      </c>
      <c r="E20" s="39">
        <f t="shared" si="2"/>
        <v>16.667000000000002</v>
      </c>
    </row>
    <row r="21" spans="2:7">
      <c r="B21" s="32" t="s">
        <v>96</v>
      </c>
      <c r="C21" s="32" t="s">
        <v>95</v>
      </c>
      <c r="D21" s="33">
        <f>SUM(C11:C12)</f>
        <v>9</v>
      </c>
      <c r="E21" s="42">
        <f t="shared" si="2"/>
        <v>50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15</v>
      </c>
      <c r="E25" s="39">
        <f>ROUND(D25/SUM(D$25:D$28)*100,3)</f>
        <v>26.786000000000001</v>
      </c>
    </row>
    <row r="26" spans="2:7">
      <c r="B26" s="30" t="s">
        <v>181</v>
      </c>
      <c r="C26" s="30" t="s">
        <v>78</v>
      </c>
      <c r="D26" s="15">
        <f>D7</f>
        <v>7</v>
      </c>
      <c r="E26" s="39">
        <f>ROUND(D26/SUM(D$25:D$28)*100,3)</f>
        <v>12.5</v>
      </c>
    </row>
    <row r="27" spans="2:7">
      <c r="B27" s="31" t="s">
        <v>22</v>
      </c>
      <c r="C27" s="31" t="s">
        <v>90</v>
      </c>
      <c r="D27" s="15">
        <f>D10</f>
        <v>14</v>
      </c>
      <c r="E27" s="39">
        <f>ROUND(D27/SUM(D$25:D$28)*100,3)</f>
        <v>25</v>
      </c>
    </row>
    <row r="28" spans="2:7">
      <c r="B28" s="32" t="s">
        <v>96</v>
      </c>
      <c r="C28" s="32" t="s">
        <v>95</v>
      </c>
      <c r="D28" s="33">
        <f>SUM(D11:D12)</f>
        <v>20</v>
      </c>
      <c r="E28" s="42">
        <f>ROUND(D28/SUM(D$25:D$28)*100,3)</f>
        <v>35.713999999999999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COUNTIFS(Resp2[Vínculo],"tecnico",Resp2[2.08],B7)</f>
        <v>4</v>
      </c>
      <c r="D7" s="10">
        <f>COUNTIFS(Resp2[Vínculo],"docente",Resp2[2.08],B7)</f>
        <v>10</v>
      </c>
      <c r="E7" s="10">
        <f>COUNTIF(Resp2[2.08],B7)</f>
        <v>14</v>
      </c>
      <c r="F7" s="25">
        <f t="shared" ref="F7:F13" si="0">ROUND($E7/$E$13*100,2)</f>
        <v>18.920000000000002</v>
      </c>
      <c r="G7" s="25">
        <f>ROUND($E7/SUM($E$7:$E$12)*100,3)</f>
        <v>18.919</v>
      </c>
    </row>
    <row r="8" spans="1:7">
      <c r="B8" s="9" t="s">
        <v>21</v>
      </c>
      <c r="C8" s="10">
        <f>COUNTIFS(Resp2[Vínculo],"tecnico",Resp2[2.08],B8)</f>
        <v>0</v>
      </c>
      <c r="D8" s="10">
        <f>COUNTIFS(Resp2[Vínculo],"docente",Resp2[2.08],B8)</f>
        <v>6</v>
      </c>
      <c r="E8" s="10">
        <f>COUNTIF(Resp2[2.08],B8)</f>
        <v>6</v>
      </c>
      <c r="F8" s="25">
        <f t="shared" si="0"/>
        <v>8.11</v>
      </c>
      <c r="G8" s="25">
        <f t="shared" ref="G8:G12" si="1">ROUND($E8/SUM($E$7:$E$12)*100,3)</f>
        <v>8.1080000000000005</v>
      </c>
    </row>
    <row r="9" spans="1:7">
      <c r="B9" s="9" t="s">
        <v>23</v>
      </c>
      <c r="C9" s="10">
        <f>COUNTIFS(Resp2[Vínculo],"tecnico",Resp2[2.08],B9)</f>
        <v>0</v>
      </c>
      <c r="D9" s="10">
        <f>COUNTIFS(Resp2[Vínculo],"docente",Resp2[2.08],B9)</f>
        <v>11</v>
      </c>
      <c r="E9" s="10">
        <f>COUNTIF(Resp2[2.08],B9)</f>
        <v>11</v>
      </c>
      <c r="F9" s="25">
        <f t="shared" si="0"/>
        <v>14.86</v>
      </c>
      <c r="G9" s="25">
        <f t="shared" si="1"/>
        <v>14.865</v>
      </c>
    </row>
    <row r="10" spans="1:7">
      <c r="B10" s="9" t="s">
        <v>22</v>
      </c>
      <c r="C10" s="10">
        <f>COUNTIFS(Resp2[Vínculo],"tecnico",Resp2[2.08],B10)</f>
        <v>6</v>
      </c>
      <c r="D10" s="10">
        <f>COUNTIFS(Resp2[Vínculo],"docente",Resp2[2.08],B10)</f>
        <v>11</v>
      </c>
      <c r="E10" s="10">
        <f>COUNTIF(Resp2[2.08],B10)</f>
        <v>17</v>
      </c>
      <c r="F10" s="25">
        <f t="shared" si="0"/>
        <v>22.97</v>
      </c>
      <c r="G10" s="25">
        <f t="shared" si="1"/>
        <v>22.972999999999999</v>
      </c>
    </row>
    <row r="11" spans="1:7">
      <c r="B11" s="9" t="s">
        <v>13</v>
      </c>
      <c r="C11" s="10">
        <f>COUNTIFS(Resp2[Vínculo],"tecnico",Resp2[2.08],B11)</f>
        <v>7</v>
      </c>
      <c r="D11" s="10">
        <f>COUNTIFS(Resp2[Vínculo],"docente",Resp2[2.08],B11)</f>
        <v>15</v>
      </c>
      <c r="E11" s="10">
        <f>COUNTIF(Resp2[2.08],B11)</f>
        <v>22</v>
      </c>
      <c r="F11" s="25">
        <f t="shared" si="0"/>
        <v>29.73</v>
      </c>
      <c r="G11" s="25">
        <f t="shared" si="1"/>
        <v>29.73</v>
      </c>
    </row>
    <row r="12" spans="1:7">
      <c r="B12" s="26" t="s">
        <v>18</v>
      </c>
      <c r="C12" s="10">
        <f>COUNTIFS(Resp2[Vínculo],"tecnico",Resp2[2.08],B12)</f>
        <v>1</v>
      </c>
      <c r="D12" s="10">
        <f>COUNTIFS(Resp2[Vínculo],"docente",Resp2[2.08],B12)</f>
        <v>3</v>
      </c>
      <c r="E12" s="10">
        <f>COUNTIF(Resp2[2.08],B12)</f>
        <v>4</v>
      </c>
      <c r="F12" s="102">
        <f t="shared" si="0"/>
        <v>5.41</v>
      </c>
      <c r="G12" s="25">
        <f t="shared" si="1"/>
        <v>5.4050000000000002</v>
      </c>
    </row>
    <row r="13" spans="1:7">
      <c r="B13" s="27" t="s">
        <v>167</v>
      </c>
      <c r="C13" s="11">
        <f>SUM(C6:C12)</f>
        <v>18</v>
      </c>
      <c r="D13" s="11">
        <f>SUM(D6:D12)</f>
        <v>56</v>
      </c>
      <c r="E13" s="11">
        <f>SUM(C13:D13)</f>
        <v>74</v>
      </c>
      <c r="F13" s="105">
        <f t="shared" si="0"/>
        <v>100</v>
      </c>
      <c r="G13" s="107">
        <f>SUM(G7:G12)</f>
        <v>100.00000000000001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4</v>
      </c>
      <c r="E19" s="39">
        <f t="shared" ref="E19:E21" si="2">ROUND(D19/SUM(D$18:D$21)*100,3)</f>
        <v>22.222000000000001</v>
      </c>
      <c r="F19" s="15"/>
      <c r="G19" s="10"/>
    </row>
    <row r="20" spans="2:7">
      <c r="B20" s="31" t="s">
        <v>22</v>
      </c>
      <c r="C20" s="31" t="s">
        <v>90</v>
      </c>
      <c r="D20" s="15">
        <f>C10</f>
        <v>6</v>
      </c>
      <c r="E20" s="39">
        <f t="shared" si="2"/>
        <v>33.332999999999998</v>
      </c>
    </row>
    <row r="21" spans="2:7">
      <c r="B21" s="32" t="s">
        <v>96</v>
      </c>
      <c r="C21" s="32" t="s">
        <v>95</v>
      </c>
      <c r="D21" s="33">
        <f>SUM(C11:C12)</f>
        <v>8</v>
      </c>
      <c r="E21" s="42">
        <f t="shared" si="2"/>
        <v>44.444000000000003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17</v>
      </c>
      <c r="E25" s="39">
        <f>ROUND(D25/SUM(D$25:D$28)*100,3)</f>
        <v>30.356999999999999</v>
      </c>
    </row>
    <row r="26" spans="2:7">
      <c r="B26" s="30" t="s">
        <v>181</v>
      </c>
      <c r="C26" s="30" t="s">
        <v>78</v>
      </c>
      <c r="D26" s="15">
        <f>D7</f>
        <v>10</v>
      </c>
      <c r="E26" s="39">
        <f>ROUND(D26/SUM(D$25:D$28)*100,3)</f>
        <v>17.856999999999999</v>
      </c>
    </row>
    <row r="27" spans="2:7">
      <c r="B27" s="31" t="s">
        <v>22</v>
      </c>
      <c r="C27" s="31" t="s">
        <v>90</v>
      </c>
      <c r="D27" s="15">
        <f>D10</f>
        <v>11</v>
      </c>
      <c r="E27" s="39">
        <f>ROUND(D27/SUM(D$25:D$28)*100,3)</f>
        <v>19.643000000000001</v>
      </c>
    </row>
    <row r="28" spans="2:7">
      <c r="B28" s="32" t="s">
        <v>96</v>
      </c>
      <c r="C28" s="32" t="s">
        <v>95</v>
      </c>
      <c r="D28" s="33">
        <f>SUM(D11:D12)</f>
        <v>18</v>
      </c>
      <c r="E28" s="42">
        <f>ROUND(D28/SUM(D$25:D$28)*100,3)</f>
        <v>32.143000000000001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COUNTIFS(Resp3[Vínculo],"tecnico",Resp3[3.01],B7)</f>
        <v>3</v>
      </c>
      <c r="D7" s="10">
        <f>COUNTIFS(Resp3[Vínculo],"docente",Resp3[3.01],B7)</f>
        <v>21</v>
      </c>
      <c r="E7" s="10">
        <f>COUNTIF(Resp3[3.01],B7)</f>
        <v>24</v>
      </c>
      <c r="F7" s="25">
        <f t="shared" ref="F7:F13" si="0">ROUND($E7/$E$13*100,2)</f>
        <v>32.880000000000003</v>
      </c>
      <c r="G7" s="25">
        <f>ROUND($E7/SUM($E$7:$E$12)*100,3)</f>
        <v>32.877000000000002</v>
      </c>
    </row>
    <row r="8" spans="1:7">
      <c r="B8" s="9" t="s">
        <v>21</v>
      </c>
      <c r="C8" s="10">
        <f>COUNTIFS(Resp3[Vínculo],"tecnico",Resp3[3.01],B8)</f>
        <v>1</v>
      </c>
      <c r="D8" s="10">
        <f>COUNTIFS(Resp3[Vínculo],"docente",Resp3[3.01],B8)</f>
        <v>4</v>
      </c>
      <c r="E8" s="10">
        <f>COUNTIF(Resp3[3.01],B8)</f>
        <v>5</v>
      </c>
      <c r="F8" s="25">
        <f t="shared" si="0"/>
        <v>6.85</v>
      </c>
      <c r="G8" s="25">
        <f t="shared" ref="G8:G12" si="1">ROUND($E8/SUM($E$7:$E$12)*100,3)</f>
        <v>6.8490000000000002</v>
      </c>
    </row>
    <row r="9" spans="1:7">
      <c r="B9" s="9" t="s">
        <v>23</v>
      </c>
      <c r="C9" s="10">
        <f>COUNTIFS(Resp3[Vínculo],"tecnico",Resp3[3.01],B9)</f>
        <v>1</v>
      </c>
      <c r="D9" s="10">
        <f>COUNTIFS(Resp3[Vínculo],"docente",Resp3[3.01],B9)</f>
        <v>7</v>
      </c>
      <c r="E9" s="10">
        <f>COUNTIF(Resp3[3.01],B9)</f>
        <v>8</v>
      </c>
      <c r="F9" s="25">
        <f t="shared" si="0"/>
        <v>10.96</v>
      </c>
      <c r="G9" s="25">
        <f t="shared" si="1"/>
        <v>10.959</v>
      </c>
    </row>
    <row r="10" spans="1:7">
      <c r="B10" s="9" t="s">
        <v>22</v>
      </c>
      <c r="C10" s="10">
        <f>COUNTIFS(Resp3[Vínculo],"tecnico",Resp3[3.01],B10)</f>
        <v>1</v>
      </c>
      <c r="D10" s="10">
        <f>COUNTIFS(Resp3[Vínculo],"docente",Resp3[3.01],B10)</f>
        <v>9</v>
      </c>
      <c r="E10" s="10">
        <f>COUNTIF(Resp3[3.01],B10)</f>
        <v>10</v>
      </c>
      <c r="F10" s="25">
        <f t="shared" si="0"/>
        <v>13.7</v>
      </c>
      <c r="G10" s="25">
        <f t="shared" si="1"/>
        <v>13.699</v>
      </c>
    </row>
    <row r="11" spans="1:7">
      <c r="B11" s="9" t="s">
        <v>13</v>
      </c>
      <c r="C11" s="10">
        <f>COUNTIFS(Resp3[Vínculo],"tecnico",Resp3[3.01],B11)</f>
        <v>10</v>
      </c>
      <c r="D11" s="10">
        <f>COUNTIFS(Resp3[Vínculo],"docente",Resp3[3.01],B11)</f>
        <v>13</v>
      </c>
      <c r="E11" s="10">
        <f>COUNTIF(Resp3[3.01],B11)</f>
        <v>23</v>
      </c>
      <c r="F11" s="25">
        <f t="shared" si="0"/>
        <v>31.51</v>
      </c>
      <c r="G11" s="25">
        <f t="shared" si="1"/>
        <v>31.507000000000001</v>
      </c>
    </row>
    <row r="12" spans="1:7">
      <c r="B12" s="26" t="s">
        <v>18</v>
      </c>
      <c r="C12" s="10">
        <f>COUNTIFS(Resp3[Vínculo],"tecnico",Resp3[3.01],B12)</f>
        <v>1</v>
      </c>
      <c r="D12" s="10">
        <f>COUNTIFS(Resp3[Vínculo],"docente",Resp3[3.01],B12)</f>
        <v>2</v>
      </c>
      <c r="E12" s="10">
        <f>COUNTIF(Resp3[3.01],B12)</f>
        <v>3</v>
      </c>
      <c r="F12" s="102">
        <f t="shared" si="0"/>
        <v>4.1100000000000003</v>
      </c>
      <c r="G12" s="25">
        <f t="shared" si="1"/>
        <v>4.1100000000000003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100.001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3">
        <f>ROUND(D19/SUM(D$19:D$22)*100,3)</f>
        <v>11.765000000000001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17.646999999999998</v>
      </c>
    </row>
    <row r="21" spans="2:7">
      <c r="B21" s="31" t="s">
        <v>22</v>
      </c>
      <c r="C21" s="31" t="s">
        <v>90</v>
      </c>
      <c r="D21" s="15">
        <f>C10</f>
        <v>1</v>
      </c>
      <c r="E21" s="44">
        <f>ROUND(D21/SUM(D$19:D$22)*100,3)</f>
        <v>5.8819999999999997</v>
      </c>
    </row>
    <row r="22" spans="2:7">
      <c r="B22" s="32" t="s">
        <v>96</v>
      </c>
      <c r="C22" s="32" t="s">
        <v>95</v>
      </c>
      <c r="D22" s="33">
        <f>SUM(C11:C12)</f>
        <v>11</v>
      </c>
      <c r="E22" s="45">
        <f>ROUND(D22/SUM(D$19:D$22)*100,3)</f>
        <v>64.706000000000003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11</v>
      </c>
      <c r="E26" s="44">
        <f>ROUND(D26/SUM(D$26:D$29)*100,3)</f>
        <v>19.643000000000001</v>
      </c>
    </row>
    <row r="27" spans="2:7">
      <c r="B27" s="30" t="s">
        <v>181</v>
      </c>
      <c r="C27" s="30" t="s">
        <v>78</v>
      </c>
      <c r="D27" s="15">
        <f>D7</f>
        <v>21</v>
      </c>
      <c r="E27" s="44">
        <f>ROUND(D27/SUM(D$26:D$29)*100,3)</f>
        <v>37.5</v>
      </c>
    </row>
    <row r="28" spans="2:7">
      <c r="B28" s="31" t="s">
        <v>22</v>
      </c>
      <c r="C28" s="31" t="s">
        <v>90</v>
      </c>
      <c r="D28" s="15">
        <f>SUM(D10)</f>
        <v>9</v>
      </c>
      <c r="E28" s="44">
        <f>ROUND(D28/SUM(D$26:D$29)*100,3)</f>
        <v>16.071000000000002</v>
      </c>
    </row>
    <row r="29" spans="2:7">
      <c r="B29" s="32" t="s">
        <v>96</v>
      </c>
      <c r="C29" s="32" t="s">
        <v>95</v>
      </c>
      <c r="D29" s="33">
        <f>SUM(D11:D12)</f>
        <v>15</v>
      </c>
      <c r="E29" s="45">
        <f>ROUND(D29/SUM(D$26:D$29)*100,3)</f>
        <v>26.786000000000001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20</v>
      </c>
      <c r="C7" s="10">
        <f>COUNTIFS(Resp3[Vínculo],"tecnico",Resp3[3.02],B7)</f>
        <v>3</v>
      </c>
      <c r="D7" s="10">
        <f>COUNTIFS(Resp3[Vínculo],"docente",Resp3[3.02],B7)</f>
        <v>19</v>
      </c>
      <c r="E7" s="10">
        <f>COUNTIF(Resp3[3.02],B7)</f>
        <v>22</v>
      </c>
      <c r="F7" s="25">
        <f t="shared" ref="F7:F13" si="0">ROUND($E7/E$13*100,2)</f>
        <v>30.14</v>
      </c>
      <c r="G7" s="25">
        <f>ROUND($E7/SUM($E$7:$E$12)*100,3)</f>
        <v>30.137</v>
      </c>
    </row>
    <row r="8" spans="1:7">
      <c r="B8" s="9" t="s">
        <v>21</v>
      </c>
      <c r="C8" s="10">
        <f>COUNTIFS(Resp3[Vínculo],"tecnico",Resp3[3.02],B8)</f>
        <v>0</v>
      </c>
      <c r="D8" s="10">
        <f>COUNTIFS(Resp3[Vínculo],"docente",Resp3[3.02],B8)</f>
        <v>2</v>
      </c>
      <c r="E8" s="10">
        <f>COUNTIF(Resp3[3.02],B8)</f>
        <v>2</v>
      </c>
      <c r="F8" s="25">
        <f t="shared" si="0"/>
        <v>2.74</v>
      </c>
      <c r="G8" s="25">
        <f t="shared" ref="G8:G12" si="1">ROUND($E8/SUM($E$7:$E$12)*100,3)</f>
        <v>2.74</v>
      </c>
    </row>
    <row r="9" spans="1:7">
      <c r="B9" s="9" t="s">
        <v>23</v>
      </c>
      <c r="C9" s="10">
        <f>COUNTIFS(Resp3[Vínculo],"tecnico",Resp3[3.02],B9)</f>
        <v>0</v>
      </c>
      <c r="D9" s="10">
        <f>COUNTIFS(Resp3[Vínculo],"docente",Resp3[3.02],B9)</f>
        <v>5</v>
      </c>
      <c r="E9" s="10">
        <f>COUNTIF(Resp3[3.02],B9)</f>
        <v>5</v>
      </c>
      <c r="F9" s="25">
        <f t="shared" si="0"/>
        <v>6.85</v>
      </c>
      <c r="G9" s="25">
        <f t="shared" si="1"/>
        <v>6.8490000000000002</v>
      </c>
    </row>
    <row r="10" spans="1:7">
      <c r="B10" s="9" t="s">
        <v>22</v>
      </c>
      <c r="C10" s="10">
        <f>COUNTIFS(Resp3[Vínculo],"tecnico",Resp3[3.02],B10)</f>
        <v>1</v>
      </c>
      <c r="D10" s="10">
        <f>COUNTIFS(Resp3[Vínculo],"docente",Resp3[3.02],B10)</f>
        <v>10</v>
      </c>
      <c r="E10" s="10">
        <f>COUNTIF(Resp3[3.02],B10)</f>
        <v>11</v>
      </c>
      <c r="F10" s="25">
        <f t="shared" si="0"/>
        <v>15.07</v>
      </c>
      <c r="G10" s="25">
        <f t="shared" si="1"/>
        <v>15.068</v>
      </c>
    </row>
    <row r="11" spans="1:7">
      <c r="B11" s="9" t="s">
        <v>13</v>
      </c>
      <c r="C11" s="10">
        <f>COUNTIFS(Resp3[Vínculo],"tecnico",Resp3[3.02],B11)</f>
        <v>10</v>
      </c>
      <c r="D11" s="10">
        <f>COUNTIFS(Resp3[Vínculo],"docente",Resp3[3.02],B11)</f>
        <v>16</v>
      </c>
      <c r="E11" s="10">
        <f>COUNTIF(Resp3[3.02],B11)</f>
        <v>26</v>
      </c>
      <c r="F11" s="25">
        <f t="shared" si="0"/>
        <v>35.619999999999997</v>
      </c>
      <c r="G11" s="25">
        <f t="shared" si="1"/>
        <v>35.616</v>
      </c>
    </row>
    <row r="12" spans="1:7">
      <c r="B12" s="26" t="s">
        <v>18</v>
      </c>
      <c r="C12" s="10">
        <f>COUNTIFS(Resp3[Vínculo],"tecnico",Resp3[3.02],B12)</f>
        <v>3</v>
      </c>
      <c r="D12" s="10">
        <f>COUNTIFS(Resp3[Vínculo],"docente",Resp3[3.02],B12)</f>
        <v>4</v>
      </c>
      <c r="E12" s="10">
        <f>COUNTIF(Resp3[3.02],B12)</f>
        <v>7</v>
      </c>
      <c r="F12" s="102">
        <f t="shared" si="0"/>
        <v>9.59</v>
      </c>
      <c r="G12" s="25">
        <f t="shared" si="1"/>
        <v>9.5890000000000004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10">
        <f>ROUND(D20/SUM(D$19:D$22)*100,3)</f>
        <v>17.646999999999998</v>
      </c>
    </row>
    <row r="21" spans="2:7">
      <c r="B21" s="31" t="s">
        <v>22</v>
      </c>
      <c r="C21" s="31" t="s">
        <v>90</v>
      </c>
      <c r="D21" s="15">
        <f>C10</f>
        <v>1</v>
      </c>
      <c r="E21" s="10">
        <f>ROUND(D21/SUM(D$19:D$22)*100,3)</f>
        <v>5.8819999999999997</v>
      </c>
    </row>
    <row r="22" spans="2:7">
      <c r="B22" s="32" t="s">
        <v>96</v>
      </c>
      <c r="C22" s="32" t="s">
        <v>95</v>
      </c>
      <c r="D22" s="33">
        <f>SUM(C11:C12)</f>
        <v>13</v>
      </c>
      <c r="E22" s="34">
        <f>ROUND(D22/SUM(D$19:D$22)*100,3)</f>
        <v>76.471000000000004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12.5</v>
      </c>
    </row>
    <row r="27" spans="2:7">
      <c r="B27" s="30" t="s">
        <v>181</v>
      </c>
      <c r="C27" s="30" t="s">
        <v>78</v>
      </c>
      <c r="D27" s="15">
        <f>D7</f>
        <v>19</v>
      </c>
      <c r="E27" s="44">
        <f>ROUND(D27/SUM(D$26:D$29)*100,3)</f>
        <v>33.929000000000002</v>
      </c>
    </row>
    <row r="28" spans="2:7">
      <c r="B28" s="31" t="s">
        <v>22</v>
      </c>
      <c r="C28" s="31" t="s">
        <v>90</v>
      </c>
      <c r="D28" s="15">
        <f>SUM(D10)</f>
        <v>10</v>
      </c>
      <c r="E28" s="44">
        <f>ROUND(D28/SUM(D$26:D$29)*100,3)</f>
        <v>17.856999999999999</v>
      </c>
    </row>
    <row r="29" spans="2:7">
      <c r="B29" s="32" t="s">
        <v>96</v>
      </c>
      <c r="C29" s="32" t="s">
        <v>95</v>
      </c>
      <c r="D29" s="33">
        <f>SUM(D11:D12)</f>
        <v>20</v>
      </c>
      <c r="E29" s="45">
        <f>ROUND(D29/SUM(D$26:D$29)*100,3)</f>
        <v>35.713999999999999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COUNTIFS(Resp3[Vínculo],"tecnico",Resp3[3.03],B7)</f>
        <v>4</v>
      </c>
      <c r="D7" s="10">
        <f>COUNTIFS(Resp3[Vínculo],"docente",Resp3[3.03],B7)</f>
        <v>12</v>
      </c>
      <c r="E7" s="10">
        <f>COUNTIF(Resp3[3.03],B7)</f>
        <v>16</v>
      </c>
      <c r="F7" s="25">
        <f t="shared" ref="F7:F13" si="0">ROUND($E7/$E$13*100,2)</f>
        <v>21.92</v>
      </c>
      <c r="G7" s="25">
        <f>ROUND($E7/SUM($E$7:$E$12)*100,3)</f>
        <v>21.917999999999999</v>
      </c>
    </row>
    <row r="8" spans="1:7">
      <c r="B8" s="9" t="s">
        <v>21</v>
      </c>
      <c r="C8" s="10">
        <f>COUNTIFS(Resp3[Vínculo],"tecnico",Resp3[3.03],B8)</f>
        <v>1</v>
      </c>
      <c r="D8" s="10">
        <f>COUNTIFS(Resp3[Vínculo],"docente",Resp3[3.03],B8)</f>
        <v>6</v>
      </c>
      <c r="E8" s="10">
        <f>COUNTIF(Resp3[3.03],B8)</f>
        <v>7</v>
      </c>
      <c r="F8" s="25">
        <f t="shared" si="0"/>
        <v>9.59</v>
      </c>
      <c r="G8" s="25">
        <f t="shared" ref="G8:G12" si="1">ROUND($E8/SUM($E$7:$E$12)*100,3)</f>
        <v>9.5890000000000004</v>
      </c>
    </row>
    <row r="9" spans="1:7">
      <c r="B9" s="9" t="s">
        <v>23</v>
      </c>
      <c r="C9" s="10">
        <f>COUNTIFS(Resp3[Vínculo],"tecnico",Resp3[3.03],B9)</f>
        <v>0</v>
      </c>
      <c r="D9" s="10">
        <f>COUNTIFS(Resp3[Vínculo],"docente",Resp3[3.03],B9)</f>
        <v>2</v>
      </c>
      <c r="E9" s="10">
        <f>COUNTIF(Resp3[3.03],B9)</f>
        <v>2</v>
      </c>
      <c r="F9" s="25">
        <f t="shared" si="0"/>
        <v>2.74</v>
      </c>
      <c r="G9" s="25">
        <f t="shared" si="1"/>
        <v>2.74</v>
      </c>
    </row>
    <row r="10" spans="1:7">
      <c r="B10" s="9" t="s">
        <v>22</v>
      </c>
      <c r="C10" s="10">
        <f>COUNTIFS(Resp3[Vínculo],"tecnico",Resp3[3.03],B10)</f>
        <v>3</v>
      </c>
      <c r="D10" s="10">
        <f>COUNTIFS(Resp3[Vínculo],"docente",Resp3[3.03],B10)</f>
        <v>10</v>
      </c>
      <c r="E10" s="10">
        <f>COUNTIF(Resp3[3.03],B10)</f>
        <v>13</v>
      </c>
      <c r="F10" s="25">
        <f t="shared" si="0"/>
        <v>17.809999999999999</v>
      </c>
      <c r="G10" s="25">
        <f t="shared" si="1"/>
        <v>17.808</v>
      </c>
    </row>
    <row r="11" spans="1:7">
      <c r="B11" s="9" t="s">
        <v>13</v>
      </c>
      <c r="C11" s="10">
        <f>COUNTIFS(Resp3[Vínculo],"tecnico",Resp3[3.03],B11)</f>
        <v>5</v>
      </c>
      <c r="D11" s="10">
        <f>COUNTIFS(Resp3[Vínculo],"docente",Resp3[3.03],B11)</f>
        <v>16</v>
      </c>
      <c r="E11" s="10">
        <f>COUNTIF(Resp3[3.03],B11)</f>
        <v>21</v>
      </c>
      <c r="F11" s="25">
        <f t="shared" si="0"/>
        <v>28.77</v>
      </c>
      <c r="G11" s="25">
        <f t="shared" si="1"/>
        <v>28.766999999999999</v>
      </c>
    </row>
    <row r="12" spans="1:7">
      <c r="B12" s="26" t="s">
        <v>18</v>
      </c>
      <c r="C12" s="10">
        <f>COUNTIFS(Resp3[Vínculo],"tecnico",Resp3[3.03],B12)</f>
        <v>4</v>
      </c>
      <c r="D12" s="10">
        <f>COUNTIFS(Resp3[Vínculo],"docente",Resp3[3.03],B12)</f>
        <v>10</v>
      </c>
      <c r="E12" s="10">
        <f>COUNTIF(Resp3[3.03],B12)</f>
        <v>14</v>
      </c>
      <c r="F12" s="102">
        <f t="shared" si="0"/>
        <v>19.18</v>
      </c>
      <c r="G12" s="25">
        <f t="shared" si="1"/>
        <v>19.178000000000001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23.529</v>
      </c>
      <c r="F20" s="15"/>
      <c r="G20" s="10"/>
    </row>
    <row r="21" spans="2:7">
      <c r="B21" s="31" t="s">
        <v>22</v>
      </c>
      <c r="C21" s="31" t="s">
        <v>90</v>
      </c>
      <c r="D21" s="15">
        <f>C10</f>
        <v>3</v>
      </c>
      <c r="E21" s="44">
        <f>ROUND(D21/SUM(D$19:D$22)*100,3)</f>
        <v>17.646999999999998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9</v>
      </c>
      <c r="E22" s="45">
        <f>ROUND(D22/SUM(D$19:D$22)*100,3)</f>
        <v>52.941000000000003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8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12</v>
      </c>
      <c r="E27" s="44">
        <f>ROUND(D27/SUM(D$26:D$29)*100,3)</f>
        <v>21.428999999999998</v>
      </c>
    </row>
    <row r="28" spans="2:7">
      <c r="B28" s="31" t="s">
        <v>22</v>
      </c>
      <c r="C28" s="31" t="s">
        <v>90</v>
      </c>
      <c r="D28" s="15">
        <f>SUM(D10)</f>
        <v>10</v>
      </c>
      <c r="E28" s="44">
        <f>ROUND(D28/SUM(D$26:D$29)*100,3)</f>
        <v>17.856999999999999</v>
      </c>
    </row>
    <row r="29" spans="2:7">
      <c r="B29" s="32" t="s">
        <v>96</v>
      </c>
      <c r="C29" s="32" t="s">
        <v>95</v>
      </c>
      <c r="D29" s="33">
        <f>SUM(D11:D12)</f>
        <v>26</v>
      </c>
      <c r="E29" s="45">
        <f>ROUND(D29/SUM(D$26:D$29)*100,3)</f>
        <v>46.429000000000002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COUNTIFS(Resp3[Vínculo],"tecnico",Resp3[3.04],B7)</f>
        <v>0</v>
      </c>
      <c r="D7" s="10">
        <f>COUNTIFS(Resp3[Vínculo],"docente",Resp3[3.04],B7)</f>
        <v>11</v>
      </c>
      <c r="E7" s="10">
        <f>COUNTIF(Resp3[3.04],B7)</f>
        <v>11</v>
      </c>
      <c r="F7" s="25">
        <f t="shared" ref="F7:F13" si="0">ROUND($E7/$E$13*100,2)</f>
        <v>15.07</v>
      </c>
      <c r="G7" s="25">
        <f>ROUND($E7/SUM($E$7:$E$12)*100,3)</f>
        <v>15.068</v>
      </c>
    </row>
    <row r="8" spans="1:7">
      <c r="B8" s="9" t="s">
        <v>21</v>
      </c>
      <c r="C8" s="10">
        <f>COUNTIFS(Resp3[Vínculo],"tecnico",Resp3[3.04],B8)</f>
        <v>1</v>
      </c>
      <c r="D8" s="10">
        <f>COUNTIFS(Resp3[Vínculo],"docente",Resp3[3.04],B8)</f>
        <v>5</v>
      </c>
      <c r="E8" s="10">
        <f>COUNTIF(Resp3[3.04],B8)</f>
        <v>6</v>
      </c>
      <c r="F8" s="25">
        <f t="shared" si="0"/>
        <v>8.2200000000000006</v>
      </c>
      <c r="G8" s="25">
        <f t="shared" ref="G8:G12" si="1">ROUND($E8/SUM($E$7:$E$12)*100,3)</f>
        <v>8.2189999999999994</v>
      </c>
    </row>
    <row r="9" spans="1:7">
      <c r="B9" s="9" t="s">
        <v>23</v>
      </c>
      <c r="C9" s="10">
        <f>COUNTIFS(Resp3[Vínculo],"tecnico",Resp3[3.04],B9)</f>
        <v>0</v>
      </c>
      <c r="D9" s="10">
        <f>COUNTIFS(Resp3[Vínculo],"docente",Resp3[3.04],B9)</f>
        <v>5</v>
      </c>
      <c r="E9" s="10">
        <f>COUNTIF(Resp3[3.04],B9)</f>
        <v>5</v>
      </c>
      <c r="F9" s="25">
        <f t="shared" si="0"/>
        <v>6.85</v>
      </c>
      <c r="G9" s="25">
        <f t="shared" si="1"/>
        <v>6.8490000000000002</v>
      </c>
    </row>
    <row r="10" spans="1:7">
      <c r="B10" s="9" t="s">
        <v>22</v>
      </c>
      <c r="C10" s="10">
        <f>COUNTIFS(Resp3[Vínculo],"tecnico",Resp3[3.04],B10)</f>
        <v>3</v>
      </c>
      <c r="D10" s="10">
        <f>COUNTIFS(Resp3[Vínculo],"docente",Resp3[3.04],B10)</f>
        <v>14</v>
      </c>
      <c r="E10" s="10">
        <f>COUNTIF(Resp3[3.04],B10)</f>
        <v>17</v>
      </c>
      <c r="F10" s="25">
        <f t="shared" si="0"/>
        <v>23.29</v>
      </c>
      <c r="G10" s="25">
        <f t="shared" si="1"/>
        <v>23.288</v>
      </c>
    </row>
    <row r="11" spans="1:7">
      <c r="B11" s="9" t="s">
        <v>13</v>
      </c>
      <c r="C11" s="10">
        <f>COUNTIFS(Resp3[Vínculo],"tecnico",Resp3[3.04],B11)</f>
        <v>10</v>
      </c>
      <c r="D11" s="10">
        <f>COUNTIFS(Resp3[Vínculo],"docente",Resp3[3.04],B11)</f>
        <v>14</v>
      </c>
      <c r="E11" s="10">
        <f>COUNTIF(Resp3[3.04],B11)</f>
        <v>24</v>
      </c>
      <c r="F11" s="25">
        <f t="shared" si="0"/>
        <v>32.880000000000003</v>
      </c>
      <c r="G11" s="25">
        <f t="shared" si="1"/>
        <v>32.877000000000002</v>
      </c>
    </row>
    <row r="12" spans="1:7">
      <c r="B12" s="26" t="s">
        <v>18</v>
      </c>
      <c r="C12" s="10">
        <f>COUNTIFS(Resp3[Vínculo],"tecnico",Resp3[3.04],B12)</f>
        <v>3</v>
      </c>
      <c r="D12" s="10">
        <f>COUNTIFS(Resp3[Vínculo],"docente",Resp3[3.04],B12)</f>
        <v>7</v>
      </c>
      <c r="E12" s="10">
        <f>COUNTIF(Resp3[3.04],B12)</f>
        <v>10</v>
      </c>
      <c r="F12" s="102">
        <f t="shared" si="0"/>
        <v>13.7</v>
      </c>
      <c r="G12" s="25">
        <f t="shared" si="1"/>
        <v>13.699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0</v>
      </c>
      <c r="E20" s="44">
        <f>ROUND(D20/SUM(D$19:D$22)*100,3)</f>
        <v>0</v>
      </c>
    </row>
    <row r="21" spans="2:7">
      <c r="B21" s="31" t="s">
        <v>22</v>
      </c>
      <c r="C21" s="31" t="s">
        <v>90</v>
      </c>
      <c r="D21" s="15">
        <f>C10</f>
        <v>3</v>
      </c>
      <c r="E21" s="44">
        <f>ROUND(D21/SUM(D$19:D$22)*100,3)</f>
        <v>17.646999999999998</v>
      </c>
    </row>
    <row r="22" spans="2:7">
      <c r="B22" s="32" t="s">
        <v>96</v>
      </c>
      <c r="C22" s="32" t="s">
        <v>95</v>
      </c>
      <c r="D22" s="33">
        <f>SUM(C11:C12)</f>
        <v>13</v>
      </c>
      <c r="E22" s="45">
        <f>ROUND(D22/SUM(D$19:D$22)*100,3)</f>
        <v>76.471000000000004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10</v>
      </c>
      <c r="E26" s="44">
        <f>ROUND(D26/SUM(D$26:D$29)*100,3)</f>
        <v>17.856999999999999</v>
      </c>
    </row>
    <row r="27" spans="2:7">
      <c r="B27" s="30" t="s">
        <v>181</v>
      </c>
      <c r="C27" s="30" t="s">
        <v>78</v>
      </c>
      <c r="D27" s="15">
        <f>D7</f>
        <v>11</v>
      </c>
      <c r="E27" s="44">
        <f>ROUND(D27/SUM(D$26:D$29)*100,3)</f>
        <v>19.643000000000001</v>
      </c>
    </row>
    <row r="28" spans="2:7">
      <c r="B28" s="31" t="s">
        <v>22</v>
      </c>
      <c r="C28" s="31" t="s">
        <v>90</v>
      </c>
      <c r="D28" s="15">
        <f>SUM(D10)</f>
        <v>14</v>
      </c>
      <c r="E28" s="44">
        <f>ROUND(D28/SUM(D$26:D$29)*100,3)</f>
        <v>25</v>
      </c>
    </row>
    <row r="29" spans="2:7">
      <c r="B29" s="32" t="s">
        <v>96</v>
      </c>
      <c r="C29" s="32" t="s">
        <v>95</v>
      </c>
      <c r="D29" s="33">
        <f>SUM(D11:D12)</f>
        <v>21</v>
      </c>
      <c r="E29" s="45">
        <f>ROUND(D29/SUM(D$26:D$29)*100,3)</f>
        <v>37.5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COUNTIFS(Resp3[Vínculo],"tecnico",Resp3[3.05],B7)</f>
        <v>0</v>
      </c>
      <c r="D7" s="10">
        <f>COUNTIFS(Resp3[Vínculo],"docente",Resp3[3.05],B7)</f>
        <v>11</v>
      </c>
      <c r="E7" s="10">
        <f>COUNTIF(Resp3[3.05],B7)</f>
        <v>11</v>
      </c>
      <c r="F7" s="25">
        <f t="shared" ref="F7:F13" si="0">ROUND($E7/$E$13*100,2)</f>
        <v>15.07</v>
      </c>
      <c r="G7" s="25">
        <f>ROUND($E7/SUM($E$7:$E$12)*100,3)</f>
        <v>15.068</v>
      </c>
    </row>
    <row r="8" spans="1:7">
      <c r="B8" s="9" t="s">
        <v>21</v>
      </c>
      <c r="C8" s="10">
        <f>COUNTIFS(Resp3[Vínculo],"tecnico",Resp3[3.05],B8)</f>
        <v>1</v>
      </c>
      <c r="D8" s="10">
        <f>COUNTIFS(Resp3[Vínculo],"docente",Resp3[3.05],B8)</f>
        <v>2</v>
      </c>
      <c r="E8" s="10">
        <f>COUNTIF(Resp3[3.05],B8)</f>
        <v>3</v>
      </c>
      <c r="F8" s="25">
        <f t="shared" si="0"/>
        <v>4.1100000000000003</v>
      </c>
      <c r="G8" s="25">
        <f t="shared" ref="G8:G12" si="1">ROUND($E8/SUM($E$7:$E$12)*100,3)</f>
        <v>4.1100000000000003</v>
      </c>
    </row>
    <row r="9" spans="1:7">
      <c r="B9" s="9" t="s">
        <v>23</v>
      </c>
      <c r="C9" s="10">
        <f>COUNTIFS(Resp3[Vínculo],"tecnico",Resp3[3.05],B9)</f>
        <v>0</v>
      </c>
      <c r="D9" s="10">
        <f>COUNTIFS(Resp3[Vínculo],"docente",Resp3[3.05],B9)</f>
        <v>4</v>
      </c>
      <c r="E9" s="10">
        <f>COUNTIF(Resp3[3.05],B9)</f>
        <v>4</v>
      </c>
      <c r="F9" s="25">
        <f t="shared" si="0"/>
        <v>5.48</v>
      </c>
      <c r="G9" s="25">
        <f t="shared" si="1"/>
        <v>5.4790000000000001</v>
      </c>
    </row>
    <row r="10" spans="1:7">
      <c r="B10" s="9" t="s">
        <v>22</v>
      </c>
      <c r="C10" s="10">
        <f>COUNTIFS(Resp3[Vínculo],"tecnico",Resp3[3.05],B10)</f>
        <v>2</v>
      </c>
      <c r="D10" s="10">
        <f>COUNTIFS(Resp3[Vínculo],"docente",Resp3[3.05],B10)</f>
        <v>12</v>
      </c>
      <c r="E10" s="10">
        <f>COUNTIF(Resp3[3.05],B10)</f>
        <v>14</v>
      </c>
      <c r="F10" s="25">
        <f t="shared" si="0"/>
        <v>19.18</v>
      </c>
      <c r="G10" s="25">
        <f t="shared" si="1"/>
        <v>19.178000000000001</v>
      </c>
    </row>
    <row r="11" spans="1:7">
      <c r="B11" s="9" t="s">
        <v>13</v>
      </c>
      <c r="C11" s="10">
        <f>COUNTIFS(Resp3[Vínculo],"tecnico",Resp3[3.05],B11)</f>
        <v>12</v>
      </c>
      <c r="D11" s="10">
        <f>COUNTIFS(Resp3[Vínculo],"docente",Resp3[3.05],B11)</f>
        <v>18</v>
      </c>
      <c r="E11" s="10">
        <f>COUNTIF(Resp3[3.05],B11)</f>
        <v>30</v>
      </c>
      <c r="F11" s="25">
        <f t="shared" si="0"/>
        <v>41.1</v>
      </c>
      <c r="G11" s="25">
        <f t="shared" si="1"/>
        <v>41.095999999999997</v>
      </c>
    </row>
    <row r="12" spans="1:7">
      <c r="B12" s="26" t="s">
        <v>18</v>
      </c>
      <c r="C12" s="10">
        <f>COUNTIFS(Resp3[Vínculo],"tecnico",Resp3[3.05],B12)</f>
        <v>2</v>
      </c>
      <c r="D12" s="10">
        <f>COUNTIFS(Resp3[Vínculo],"docente",Resp3[3.05],B12)</f>
        <v>9</v>
      </c>
      <c r="E12" s="10">
        <f>COUNTIF(Resp3[3.05],B12)</f>
        <v>11</v>
      </c>
      <c r="F12" s="102">
        <f t="shared" si="0"/>
        <v>15.07</v>
      </c>
      <c r="G12" s="25">
        <f t="shared" si="1"/>
        <v>15.068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0</v>
      </c>
      <c r="E20" s="44">
        <f>ROUND(D20/SUM(D$19:D$22)*100,3)</f>
        <v>0</v>
      </c>
    </row>
    <row r="21" spans="2:7">
      <c r="B21" s="31" t="s">
        <v>22</v>
      </c>
      <c r="C21" s="31" t="s">
        <v>90</v>
      </c>
      <c r="D21" s="15">
        <f>C10</f>
        <v>2</v>
      </c>
      <c r="E21" s="44">
        <f>ROUND(D21/SUM(D$19:D$22)*100,3)</f>
        <v>11.765000000000001</v>
      </c>
    </row>
    <row r="22" spans="2:7">
      <c r="B22" s="32" t="s">
        <v>96</v>
      </c>
      <c r="C22" s="32" t="s">
        <v>95</v>
      </c>
      <c r="D22" s="33">
        <f>SUM(C11:C12)</f>
        <v>14</v>
      </c>
      <c r="E22" s="45">
        <f>ROUND(D22/SUM(D$19:D$22)*100,3)</f>
        <v>82.352999999999994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6</v>
      </c>
      <c r="E26" s="44">
        <f>ROUND(D26/SUM(D$26:D$29)*100,3)</f>
        <v>10.714</v>
      </c>
    </row>
    <row r="27" spans="2:7">
      <c r="B27" s="30" t="s">
        <v>181</v>
      </c>
      <c r="C27" s="30" t="s">
        <v>78</v>
      </c>
      <c r="D27" s="15">
        <f>D7</f>
        <v>11</v>
      </c>
      <c r="E27" s="44">
        <f>ROUND(D27/SUM(D$26:D$29)*100,3)</f>
        <v>19.643000000000001</v>
      </c>
    </row>
    <row r="28" spans="2:7">
      <c r="B28" s="31" t="s">
        <v>22</v>
      </c>
      <c r="C28" s="31" t="s">
        <v>90</v>
      </c>
      <c r="D28" s="15">
        <f>SUM(D10)</f>
        <v>12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27</v>
      </c>
      <c r="E29" s="45">
        <f>ROUND(D29/SUM(D$26:D$29)*100,3)</f>
        <v>48.213999999999999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COUNTIFS(Resp3[Vínculo],"tecnico",Resp3[3.06],B7)</f>
        <v>0</v>
      </c>
      <c r="D7" s="10">
        <f>COUNTIFS(Resp3[Vínculo],"docente",Resp3[3.06],B7)</f>
        <v>12</v>
      </c>
      <c r="E7" s="10">
        <f>COUNTIF(Resp3[3.06],B7)</f>
        <v>12</v>
      </c>
      <c r="F7" s="25">
        <f t="shared" ref="F7:F13" si="0">ROUND($E7/$E$13*100,2)</f>
        <v>16.440000000000001</v>
      </c>
      <c r="G7" s="25">
        <f>ROUND($E7/SUM($E$7:$E$12)*100,3)</f>
        <v>16.437999999999999</v>
      </c>
    </row>
    <row r="8" spans="1:7">
      <c r="B8" s="9" t="s">
        <v>21</v>
      </c>
      <c r="C8" s="10">
        <f>COUNTIFS(Resp3[Vínculo],"tecnico",Resp3[3.06],B8)</f>
        <v>1</v>
      </c>
      <c r="D8" s="10">
        <f>COUNTIFS(Resp3[Vínculo],"docente",Resp3[3.06],B8)</f>
        <v>3</v>
      </c>
      <c r="E8" s="10">
        <f>COUNTIF(Resp3[3.06],B8)</f>
        <v>4</v>
      </c>
      <c r="F8" s="25">
        <f t="shared" si="0"/>
        <v>5.48</v>
      </c>
      <c r="G8" s="25">
        <f t="shared" ref="G8:G12" si="1">ROUND($E8/SUM($E$7:$E$12)*100,3)</f>
        <v>5.4790000000000001</v>
      </c>
    </row>
    <row r="9" spans="1:7">
      <c r="B9" s="9" t="s">
        <v>23</v>
      </c>
      <c r="C9" s="10">
        <f>COUNTIFS(Resp3[Vínculo],"tecnico",Resp3[3.06],B9)</f>
        <v>0</v>
      </c>
      <c r="D9" s="10">
        <f>COUNTIFS(Resp3[Vínculo],"docente",Resp3[3.06],B9)</f>
        <v>4</v>
      </c>
      <c r="E9" s="10">
        <f>COUNTIF(Resp3[3.06],B9)</f>
        <v>4</v>
      </c>
      <c r="F9" s="25">
        <f t="shared" si="0"/>
        <v>5.48</v>
      </c>
      <c r="G9" s="25">
        <f t="shared" si="1"/>
        <v>5.4790000000000001</v>
      </c>
    </row>
    <row r="10" spans="1:7">
      <c r="B10" s="9" t="s">
        <v>22</v>
      </c>
      <c r="C10" s="10">
        <f>COUNTIFS(Resp3[Vínculo],"tecnico",Resp3[3.06],B10)</f>
        <v>1</v>
      </c>
      <c r="D10" s="10">
        <f>COUNTIFS(Resp3[Vínculo],"docente",Resp3[3.06],B10)</f>
        <v>8</v>
      </c>
      <c r="E10" s="10">
        <f>COUNTIF(Resp3[3.06],B10)</f>
        <v>9</v>
      </c>
      <c r="F10" s="25">
        <f t="shared" si="0"/>
        <v>12.33</v>
      </c>
      <c r="G10" s="25">
        <f t="shared" si="1"/>
        <v>12.329000000000001</v>
      </c>
    </row>
    <row r="11" spans="1:7">
      <c r="B11" s="9" t="s">
        <v>13</v>
      </c>
      <c r="C11" s="10">
        <f>COUNTIFS(Resp3[Vínculo],"tecnico",Resp3[3.06],B11)</f>
        <v>8</v>
      </c>
      <c r="D11" s="10">
        <f>COUNTIFS(Resp3[Vínculo],"docente",Resp3[3.06],B11)</f>
        <v>18</v>
      </c>
      <c r="E11" s="10">
        <f>COUNTIF(Resp3[3.06],B11)</f>
        <v>26</v>
      </c>
      <c r="F11" s="25">
        <f t="shared" si="0"/>
        <v>35.619999999999997</v>
      </c>
      <c r="G11" s="25">
        <f t="shared" si="1"/>
        <v>35.616</v>
      </c>
    </row>
    <row r="12" spans="1:7">
      <c r="B12" s="26" t="s">
        <v>18</v>
      </c>
      <c r="C12" s="10">
        <f>COUNTIFS(Resp3[Vínculo],"tecnico",Resp3[3.06],B12)</f>
        <v>7</v>
      </c>
      <c r="D12" s="10">
        <f>COUNTIFS(Resp3[Vínculo],"docente",Resp3[3.06],B12)</f>
        <v>11</v>
      </c>
      <c r="E12" s="10">
        <f>COUNTIF(Resp3[3.06],B12)</f>
        <v>18</v>
      </c>
      <c r="F12" s="102">
        <f t="shared" si="0"/>
        <v>24.66</v>
      </c>
      <c r="G12" s="25">
        <f t="shared" si="1"/>
        <v>24.658000000000001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0</v>
      </c>
      <c r="E20" s="44">
        <f>ROUND(D20/SUM(D$19:D$22)*100,3)</f>
        <v>0</v>
      </c>
    </row>
    <row r="21" spans="2:7">
      <c r="B21" s="31" t="s">
        <v>22</v>
      </c>
      <c r="C21" s="31" t="s">
        <v>90</v>
      </c>
      <c r="D21" s="15">
        <f>C10</f>
        <v>1</v>
      </c>
      <c r="E21" s="44">
        <f>ROUND(D21/SUM(D$19:D$22)*100,3)</f>
        <v>5.8819999999999997</v>
      </c>
    </row>
    <row r="22" spans="2:7">
      <c r="B22" s="32" t="s">
        <v>96</v>
      </c>
      <c r="C22" s="32" t="s">
        <v>95</v>
      </c>
      <c r="D22" s="33">
        <f>SUM(C11:C12)</f>
        <v>15</v>
      </c>
      <c r="E22" s="45">
        <f>ROUND(D22/SUM(D$19:D$22)*100,3)</f>
        <v>88.234999999999999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12.5</v>
      </c>
    </row>
    <row r="27" spans="2:7">
      <c r="B27" s="30" t="s">
        <v>181</v>
      </c>
      <c r="C27" s="30" t="s">
        <v>78</v>
      </c>
      <c r="D27" s="15">
        <f>D7</f>
        <v>12</v>
      </c>
      <c r="E27" s="44">
        <f>ROUND(D27/SUM(D$26:D$29)*100,3)</f>
        <v>21.428999999999998</v>
      </c>
    </row>
    <row r="28" spans="2:7">
      <c r="B28" s="31" t="s">
        <v>22</v>
      </c>
      <c r="C28" s="31" t="s">
        <v>90</v>
      </c>
      <c r="D28" s="15">
        <f>SUM(D10)</f>
        <v>8</v>
      </c>
      <c r="E28" s="44">
        <f>ROUND(D28/SUM(D$26:D$29)*100,3)</f>
        <v>14.286</v>
      </c>
    </row>
    <row r="29" spans="2:7">
      <c r="B29" s="32" t="s">
        <v>96</v>
      </c>
      <c r="C29" s="32" t="s">
        <v>95</v>
      </c>
      <c r="D29" s="33">
        <f>SUM(D11:D12)</f>
        <v>29</v>
      </c>
      <c r="E29" s="45">
        <f>ROUND(D29/SUM(D$26:D$29)*100,3)</f>
        <v>51.786000000000001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COUNTIFS(Resp3[Vínculo],"tecnico",Resp3[3.07],B7)</f>
        <v>3</v>
      </c>
      <c r="D7" s="10">
        <f>COUNTIFS(Resp3[Vínculo],"docente",Resp3[3.07],B7)</f>
        <v>24</v>
      </c>
      <c r="E7" s="10">
        <f>COUNTIF(Resp3[3.07],B7)</f>
        <v>27</v>
      </c>
      <c r="F7" s="25">
        <f t="shared" ref="F7:F13" si="0">ROUND($E7/$E$13*100,2)</f>
        <v>36.99</v>
      </c>
      <c r="G7" s="25">
        <f>ROUND($E7/SUM($E$7:$E$12)*100,3)</f>
        <v>36.985999999999997</v>
      </c>
    </row>
    <row r="8" spans="1:7">
      <c r="B8" s="9" t="s">
        <v>21</v>
      </c>
      <c r="C8" s="10">
        <f>COUNTIFS(Resp3[Vínculo],"tecnico",Resp3[3.07],B8)</f>
        <v>1</v>
      </c>
      <c r="D8" s="10">
        <f>COUNTIFS(Resp3[Vínculo],"docente",Resp3[3.07],B8)</f>
        <v>1</v>
      </c>
      <c r="E8" s="10">
        <f>COUNTIF(Resp3[3.07],B8)</f>
        <v>2</v>
      </c>
      <c r="F8" s="25">
        <f t="shared" si="0"/>
        <v>2.74</v>
      </c>
      <c r="G8" s="25">
        <f t="shared" ref="G8:G12" si="1">ROUND($E8/SUM($E$7:$E$12)*100,3)</f>
        <v>2.74</v>
      </c>
    </row>
    <row r="9" spans="1:7">
      <c r="B9" s="9" t="s">
        <v>23</v>
      </c>
      <c r="C9" s="10">
        <f>COUNTIFS(Resp3[Vínculo],"tecnico",Resp3[3.07],B9)</f>
        <v>0</v>
      </c>
      <c r="D9" s="10">
        <f>COUNTIFS(Resp3[Vínculo],"docente",Resp3[3.07],B9)</f>
        <v>3</v>
      </c>
      <c r="E9" s="10">
        <f>COUNTIF(Resp3[3.07],B9)</f>
        <v>3</v>
      </c>
      <c r="F9" s="25">
        <f t="shared" si="0"/>
        <v>4.1100000000000003</v>
      </c>
      <c r="G9" s="25">
        <f t="shared" si="1"/>
        <v>4.1100000000000003</v>
      </c>
    </row>
    <row r="10" spans="1:7">
      <c r="B10" s="9" t="s">
        <v>22</v>
      </c>
      <c r="C10" s="10">
        <f>COUNTIFS(Resp3[Vínculo],"tecnico",Resp3[3.07],B10)</f>
        <v>3</v>
      </c>
      <c r="D10" s="10">
        <f>COUNTIFS(Resp3[Vínculo],"docente",Resp3[3.07],B10)</f>
        <v>9</v>
      </c>
      <c r="E10" s="10">
        <f>COUNTIF(Resp3[3.07],B10)</f>
        <v>12</v>
      </c>
      <c r="F10" s="25">
        <f t="shared" si="0"/>
        <v>16.440000000000001</v>
      </c>
      <c r="G10" s="25">
        <f t="shared" si="1"/>
        <v>16.437999999999999</v>
      </c>
    </row>
    <row r="11" spans="1:7">
      <c r="B11" s="9" t="s">
        <v>13</v>
      </c>
      <c r="C11" s="10">
        <f>COUNTIFS(Resp3[Vínculo],"tecnico",Resp3[3.07],B11)</f>
        <v>6</v>
      </c>
      <c r="D11" s="10">
        <f>COUNTIFS(Resp3[Vínculo],"docente",Resp3[3.07],B11)</f>
        <v>14</v>
      </c>
      <c r="E11" s="10">
        <f>COUNTIF(Resp3[3.07],B11)</f>
        <v>20</v>
      </c>
      <c r="F11" s="25">
        <f t="shared" si="0"/>
        <v>27.4</v>
      </c>
      <c r="G11" s="25">
        <f t="shared" si="1"/>
        <v>27.396999999999998</v>
      </c>
    </row>
    <row r="12" spans="1:7">
      <c r="B12" s="26" t="s">
        <v>18</v>
      </c>
      <c r="C12" s="10">
        <f>COUNTIFS(Resp3[Vínculo],"tecnico",Resp3[3.07],B12)</f>
        <v>4</v>
      </c>
      <c r="D12" s="10">
        <f>COUNTIFS(Resp3[Vínculo],"docente",Resp3[3.07],B12)</f>
        <v>5</v>
      </c>
      <c r="E12" s="10">
        <f>COUNTIF(Resp3[3.07],B12)</f>
        <v>9</v>
      </c>
      <c r="F12" s="102">
        <f t="shared" si="0"/>
        <v>12.33</v>
      </c>
      <c r="G12" s="25">
        <f t="shared" si="1"/>
        <v>12.329000000000001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17.646999999999998</v>
      </c>
    </row>
    <row r="21" spans="2:7">
      <c r="B21" s="31" t="s">
        <v>22</v>
      </c>
      <c r="C21" s="31" t="s">
        <v>90</v>
      </c>
      <c r="D21" s="15">
        <f>C10</f>
        <v>3</v>
      </c>
      <c r="E21" s="44">
        <f>ROUND(D21/SUM(D$19:D$22)*100,3)</f>
        <v>17.646999999999998</v>
      </c>
    </row>
    <row r="22" spans="2:7">
      <c r="B22" s="32" t="s">
        <v>96</v>
      </c>
      <c r="C22" s="32" t="s">
        <v>95</v>
      </c>
      <c r="D22" s="33">
        <f>SUM(C11:C12)</f>
        <v>10</v>
      </c>
      <c r="E22" s="45">
        <f>ROUND(D22/SUM(D$19:D$22)*100,3)</f>
        <v>58.823999999999998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4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24</v>
      </c>
      <c r="E27" s="44">
        <f>ROUND(D27/SUM(D$26:D$29)*100,3)</f>
        <v>42.856999999999999</v>
      </c>
    </row>
    <row r="28" spans="2:7">
      <c r="B28" s="31" t="s">
        <v>22</v>
      </c>
      <c r="C28" s="31" t="s">
        <v>90</v>
      </c>
      <c r="D28" s="15">
        <f>SUM(D10)</f>
        <v>9</v>
      </c>
      <c r="E28" s="44">
        <f>ROUND(D28/SUM(D$26:D$29)*100,3)</f>
        <v>16.071000000000002</v>
      </c>
    </row>
    <row r="29" spans="2:7">
      <c r="B29" s="32" t="s">
        <v>96</v>
      </c>
      <c r="C29" s="32" t="s">
        <v>95</v>
      </c>
      <c r="D29" s="33">
        <f>SUM(D11:D12)</f>
        <v>19</v>
      </c>
      <c r="E29" s="45">
        <f>ROUND(D29/SUM(D$26:D$29)*100,3)</f>
        <v>33.929000000000002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zoomScale="90" zoomScaleNormal="90" workbookViewId="0">
      <selection activeCell="B2" sqref="B2:B74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8</v>
      </c>
      <c r="B2" s="79" t="s">
        <v>9</v>
      </c>
      <c r="C2" s="79" t="s">
        <v>13</v>
      </c>
      <c r="D2" s="79" t="s">
        <v>13</v>
      </c>
      <c r="E2" s="79" t="s">
        <v>13</v>
      </c>
      <c r="F2" s="79" t="s">
        <v>13</v>
      </c>
      <c r="G2" s="79" t="s">
        <v>18</v>
      </c>
      <c r="H2" s="79" t="s">
        <v>13</v>
      </c>
      <c r="I2" s="79" t="s">
        <v>13</v>
      </c>
      <c r="J2" s="79" t="s">
        <v>18</v>
      </c>
      <c r="K2" s="79" t="s">
        <v>13</v>
      </c>
      <c r="L2" s="79" t="s">
        <v>13</v>
      </c>
    </row>
    <row r="3" spans="1:12">
      <c r="A3" s="79" t="s">
        <v>8</v>
      </c>
      <c r="B3" s="79" t="s">
        <v>9</v>
      </c>
      <c r="C3" s="79" t="s">
        <v>13</v>
      </c>
      <c r="D3" s="79" t="s">
        <v>13</v>
      </c>
      <c r="E3" s="79" t="s">
        <v>13</v>
      </c>
      <c r="F3" s="79" t="s">
        <v>22</v>
      </c>
      <c r="G3" s="79" t="s">
        <v>13</v>
      </c>
      <c r="H3" s="79" t="s">
        <v>18</v>
      </c>
      <c r="I3" s="79" t="s">
        <v>13</v>
      </c>
      <c r="J3" s="79" t="s">
        <v>18</v>
      </c>
      <c r="K3" s="79" t="s">
        <v>18</v>
      </c>
      <c r="L3" s="79" t="s">
        <v>18</v>
      </c>
    </row>
    <row r="4" spans="1:12">
      <c r="A4" s="79" t="s">
        <v>19</v>
      </c>
      <c r="B4" s="79" t="s">
        <v>9</v>
      </c>
      <c r="C4" s="79" t="s">
        <v>13</v>
      </c>
      <c r="D4" s="79" t="s">
        <v>13</v>
      </c>
      <c r="E4" s="79" t="s">
        <v>18</v>
      </c>
      <c r="F4" s="79" t="s">
        <v>18</v>
      </c>
      <c r="G4" s="79" t="s">
        <v>18</v>
      </c>
      <c r="H4" s="79" t="s">
        <v>18</v>
      </c>
      <c r="I4" s="79" t="s">
        <v>18</v>
      </c>
      <c r="J4" s="79" t="s">
        <v>18</v>
      </c>
      <c r="K4" s="79" t="s">
        <v>18</v>
      </c>
      <c r="L4" s="79" t="s">
        <v>18</v>
      </c>
    </row>
    <row r="5" spans="1:12">
      <c r="A5" s="79" t="s">
        <v>19</v>
      </c>
      <c r="B5" s="79" t="s">
        <v>9</v>
      </c>
      <c r="C5" s="79" t="s">
        <v>13</v>
      </c>
      <c r="D5" s="79" t="s">
        <v>13</v>
      </c>
      <c r="E5" s="79" t="s">
        <v>13</v>
      </c>
      <c r="F5" s="79" t="s">
        <v>13</v>
      </c>
      <c r="G5" s="79" t="s">
        <v>13</v>
      </c>
      <c r="H5" s="79" t="s">
        <v>18</v>
      </c>
      <c r="I5" s="79" t="s">
        <v>13</v>
      </c>
      <c r="J5" s="79" t="s">
        <v>13</v>
      </c>
      <c r="K5" s="79" t="s">
        <v>13</v>
      </c>
      <c r="L5" s="79" t="s">
        <v>13</v>
      </c>
    </row>
    <row r="6" spans="1:12">
      <c r="A6" s="79" t="s">
        <v>19</v>
      </c>
      <c r="B6" s="79" t="s">
        <v>9</v>
      </c>
      <c r="C6" s="79" t="s">
        <v>13</v>
      </c>
      <c r="D6" s="79" t="s">
        <v>13</v>
      </c>
      <c r="E6" s="79" t="s">
        <v>18</v>
      </c>
      <c r="F6" s="79" t="s">
        <v>18</v>
      </c>
      <c r="G6" s="79" t="s">
        <v>13</v>
      </c>
      <c r="H6" s="79" t="s">
        <v>18</v>
      </c>
      <c r="I6" s="79" t="s">
        <v>13</v>
      </c>
      <c r="J6" s="79" t="s">
        <v>13</v>
      </c>
      <c r="K6" s="79" t="s">
        <v>13</v>
      </c>
      <c r="L6" s="79" t="s">
        <v>13</v>
      </c>
    </row>
    <row r="7" spans="1:12">
      <c r="A7" s="79" t="s">
        <v>8</v>
      </c>
      <c r="B7" s="79" t="s">
        <v>9</v>
      </c>
      <c r="C7" s="79" t="s">
        <v>13</v>
      </c>
      <c r="D7" s="79" t="s">
        <v>13</v>
      </c>
      <c r="E7" s="79" t="s">
        <v>13</v>
      </c>
      <c r="F7" s="79" t="s">
        <v>13</v>
      </c>
      <c r="G7" s="79" t="s">
        <v>13</v>
      </c>
      <c r="H7" s="79" t="s">
        <v>13</v>
      </c>
      <c r="I7" s="79" t="s">
        <v>13</v>
      </c>
      <c r="J7" s="79" t="s">
        <v>13</v>
      </c>
      <c r="K7" s="79" t="s">
        <v>13</v>
      </c>
      <c r="L7" s="79" t="s">
        <v>13</v>
      </c>
    </row>
    <row r="8" spans="1:12">
      <c r="A8" s="79" t="s">
        <v>8</v>
      </c>
      <c r="B8" s="79" t="s">
        <v>9</v>
      </c>
      <c r="C8" s="79" t="s">
        <v>13</v>
      </c>
      <c r="D8" s="79" t="s">
        <v>13</v>
      </c>
      <c r="E8" s="79" t="s">
        <v>18</v>
      </c>
      <c r="F8" s="79" t="s">
        <v>13</v>
      </c>
      <c r="G8" s="79" t="s">
        <v>18</v>
      </c>
      <c r="H8" s="79" t="s">
        <v>18</v>
      </c>
      <c r="I8" s="79" t="s">
        <v>18</v>
      </c>
      <c r="J8" s="79" t="s">
        <v>13</v>
      </c>
      <c r="K8" s="79" t="s">
        <v>18</v>
      </c>
      <c r="L8" s="79" t="s">
        <v>18</v>
      </c>
    </row>
    <row r="9" spans="1:12">
      <c r="A9" s="79" t="s">
        <v>19</v>
      </c>
      <c r="B9" s="79" t="s">
        <v>9</v>
      </c>
      <c r="C9" s="79" t="s">
        <v>13</v>
      </c>
      <c r="D9" s="79" t="s">
        <v>13</v>
      </c>
      <c r="E9" s="79" t="s">
        <v>13</v>
      </c>
      <c r="F9" s="79" t="s">
        <v>22</v>
      </c>
      <c r="G9" s="79" t="s">
        <v>13</v>
      </c>
      <c r="H9" s="79" t="s">
        <v>18</v>
      </c>
      <c r="I9" s="79" t="s">
        <v>18</v>
      </c>
      <c r="J9" s="79" t="s">
        <v>18</v>
      </c>
      <c r="K9" s="79" t="s">
        <v>18</v>
      </c>
      <c r="L9" s="79" t="s">
        <v>18</v>
      </c>
    </row>
    <row r="10" spans="1:12">
      <c r="A10" s="79" t="s">
        <v>8</v>
      </c>
      <c r="B10" s="79" t="s">
        <v>9</v>
      </c>
      <c r="C10" s="79" t="s">
        <v>13</v>
      </c>
      <c r="D10" s="79" t="s">
        <v>13</v>
      </c>
      <c r="E10" s="79" t="s">
        <v>13</v>
      </c>
      <c r="F10" s="79" t="s">
        <v>13</v>
      </c>
      <c r="G10" s="79" t="s">
        <v>13</v>
      </c>
      <c r="H10" s="79" t="s">
        <v>13</v>
      </c>
      <c r="I10" s="79" t="s">
        <v>20</v>
      </c>
      <c r="J10" s="79" t="s">
        <v>18</v>
      </c>
      <c r="K10" s="79" t="s">
        <v>18</v>
      </c>
      <c r="L10" s="79" t="s">
        <v>13</v>
      </c>
    </row>
    <row r="11" spans="1:12">
      <c r="A11" s="79" t="s">
        <v>8</v>
      </c>
      <c r="B11" s="79" t="s">
        <v>9</v>
      </c>
      <c r="C11" s="79" t="s">
        <v>13</v>
      </c>
      <c r="D11" s="79" t="s">
        <v>13</v>
      </c>
      <c r="E11" s="79" t="s">
        <v>13</v>
      </c>
      <c r="F11" s="79" t="s">
        <v>13</v>
      </c>
      <c r="G11" s="79" t="s">
        <v>18</v>
      </c>
      <c r="H11" s="79" t="s">
        <v>13</v>
      </c>
      <c r="I11" s="79" t="s">
        <v>20</v>
      </c>
      <c r="J11" s="79" t="s">
        <v>13</v>
      </c>
      <c r="K11" s="79" t="s">
        <v>13</v>
      </c>
      <c r="L11" s="79" t="s">
        <v>13</v>
      </c>
    </row>
    <row r="12" spans="1:12">
      <c r="A12" s="79" t="s">
        <v>19</v>
      </c>
      <c r="B12" s="79" t="s">
        <v>9</v>
      </c>
      <c r="C12" s="79" t="s">
        <v>13</v>
      </c>
      <c r="D12" s="79" t="s">
        <v>13</v>
      </c>
      <c r="E12" s="79" t="s">
        <v>13</v>
      </c>
      <c r="F12" s="79" t="s">
        <v>13</v>
      </c>
      <c r="G12" s="79" t="s">
        <v>13</v>
      </c>
      <c r="H12" s="79" t="s">
        <v>13</v>
      </c>
      <c r="I12" s="79" t="s">
        <v>13</v>
      </c>
      <c r="J12" s="79" t="s">
        <v>13</v>
      </c>
      <c r="K12" s="79" t="s">
        <v>13</v>
      </c>
      <c r="L12" s="79" t="s">
        <v>13</v>
      </c>
    </row>
    <row r="13" spans="1:12">
      <c r="A13" s="79" t="s">
        <v>8</v>
      </c>
      <c r="B13" s="79" t="s">
        <v>9</v>
      </c>
      <c r="C13" s="79" t="s">
        <v>13</v>
      </c>
      <c r="D13" s="79" t="s">
        <v>22</v>
      </c>
      <c r="E13" s="79" t="s">
        <v>18</v>
      </c>
      <c r="F13" s="79" t="s">
        <v>22</v>
      </c>
      <c r="G13" s="79" t="s">
        <v>18</v>
      </c>
      <c r="H13" s="79" t="s">
        <v>18</v>
      </c>
      <c r="I13" s="79" t="s">
        <v>13</v>
      </c>
      <c r="J13" s="79" t="s">
        <v>18</v>
      </c>
      <c r="K13" s="79" t="s">
        <v>18</v>
      </c>
      <c r="L13" s="79" t="s">
        <v>18</v>
      </c>
    </row>
    <row r="14" spans="1:12">
      <c r="A14" s="79" t="s">
        <v>19</v>
      </c>
      <c r="B14" s="79" t="s">
        <v>9</v>
      </c>
      <c r="C14" s="79" t="s">
        <v>13</v>
      </c>
      <c r="D14" s="79" t="s">
        <v>18</v>
      </c>
      <c r="E14" s="79" t="s">
        <v>22</v>
      </c>
      <c r="F14" s="79" t="s">
        <v>13</v>
      </c>
      <c r="G14" s="79" t="s">
        <v>13</v>
      </c>
      <c r="H14" s="79" t="s">
        <v>22</v>
      </c>
      <c r="I14" s="79" t="s">
        <v>22</v>
      </c>
      <c r="J14" s="79" t="s">
        <v>13</v>
      </c>
      <c r="K14" s="79" t="s">
        <v>13</v>
      </c>
      <c r="L14" s="79" t="s">
        <v>22</v>
      </c>
    </row>
    <row r="15" spans="1:12">
      <c r="A15" s="79" t="s">
        <v>19</v>
      </c>
      <c r="B15" s="79" t="s">
        <v>9</v>
      </c>
      <c r="C15" s="79" t="s">
        <v>13</v>
      </c>
      <c r="D15" s="79" t="s">
        <v>13</v>
      </c>
      <c r="E15" s="79" t="s">
        <v>13</v>
      </c>
      <c r="F15" s="79" t="s">
        <v>13</v>
      </c>
      <c r="G15" s="79" t="s">
        <v>13</v>
      </c>
      <c r="H15" s="79" t="s">
        <v>13</v>
      </c>
      <c r="I15" s="79" t="s">
        <v>13</v>
      </c>
      <c r="J15" s="79" t="s">
        <v>20</v>
      </c>
      <c r="K15" s="79" t="s">
        <v>22</v>
      </c>
      <c r="L15" s="79" t="s">
        <v>20</v>
      </c>
    </row>
    <row r="16" spans="1:12">
      <c r="A16" s="79" t="s">
        <v>19</v>
      </c>
      <c r="B16" s="79" t="s">
        <v>9</v>
      </c>
      <c r="C16" s="79" t="s">
        <v>13</v>
      </c>
      <c r="D16" s="79" t="s">
        <v>13</v>
      </c>
      <c r="E16" s="79" t="s">
        <v>20</v>
      </c>
      <c r="F16" s="79" t="s">
        <v>13</v>
      </c>
      <c r="G16" s="79" t="s">
        <v>13</v>
      </c>
      <c r="H16" s="79" t="s">
        <v>13</v>
      </c>
      <c r="I16" s="79" t="s">
        <v>13</v>
      </c>
      <c r="J16" s="79" t="s">
        <v>22</v>
      </c>
      <c r="K16" s="79" t="s">
        <v>22</v>
      </c>
      <c r="L16" s="79" t="s">
        <v>13</v>
      </c>
    </row>
    <row r="17" spans="1:12">
      <c r="A17" s="79" t="s">
        <v>8</v>
      </c>
      <c r="B17" s="79" t="s">
        <v>9</v>
      </c>
      <c r="C17" s="79" t="s">
        <v>13</v>
      </c>
      <c r="D17" s="79" t="s">
        <v>18</v>
      </c>
      <c r="E17" s="79" t="s">
        <v>18</v>
      </c>
      <c r="F17" s="79" t="s">
        <v>18</v>
      </c>
      <c r="G17" s="79" t="s">
        <v>18</v>
      </c>
      <c r="H17" s="79" t="s">
        <v>18</v>
      </c>
      <c r="I17" s="79" t="s">
        <v>18</v>
      </c>
      <c r="J17" s="79" t="s">
        <v>18</v>
      </c>
      <c r="K17" s="79" t="s">
        <v>18</v>
      </c>
      <c r="L17" s="79" t="s">
        <v>18</v>
      </c>
    </row>
    <row r="18" spans="1:12">
      <c r="A18" s="79" t="s">
        <v>8</v>
      </c>
      <c r="B18" s="79" t="s">
        <v>9</v>
      </c>
      <c r="C18" s="79" t="s">
        <v>13</v>
      </c>
      <c r="D18" s="79" t="s">
        <v>18</v>
      </c>
      <c r="E18" s="79" t="s">
        <v>18</v>
      </c>
      <c r="F18" s="79" t="s">
        <v>18</v>
      </c>
      <c r="G18" s="79" t="s">
        <v>22</v>
      </c>
      <c r="H18" s="79" t="s">
        <v>18</v>
      </c>
      <c r="I18" s="79" t="s">
        <v>20</v>
      </c>
      <c r="J18" s="79" t="s">
        <v>18</v>
      </c>
      <c r="K18" s="79" t="s">
        <v>18</v>
      </c>
      <c r="L18" s="79" t="s">
        <v>18</v>
      </c>
    </row>
    <row r="19" spans="1:12">
      <c r="A19" s="79" t="s">
        <v>8</v>
      </c>
      <c r="B19" s="79" t="s">
        <v>9</v>
      </c>
      <c r="C19" s="79" t="s">
        <v>13</v>
      </c>
      <c r="D19" s="79" t="s">
        <v>13</v>
      </c>
      <c r="E19" s="79" t="s">
        <v>13</v>
      </c>
      <c r="F19" s="79" t="s">
        <v>13</v>
      </c>
      <c r="G19" s="79" t="s">
        <v>13</v>
      </c>
      <c r="H19" s="79" t="s">
        <v>18</v>
      </c>
      <c r="I19" s="79" t="s">
        <v>18</v>
      </c>
      <c r="J19" s="79" t="s">
        <v>13</v>
      </c>
      <c r="K19" s="79" t="s">
        <v>13</v>
      </c>
      <c r="L19" s="79" t="s">
        <v>13</v>
      </c>
    </row>
    <row r="20" spans="1:12">
      <c r="A20" s="79" t="s">
        <v>19</v>
      </c>
      <c r="B20" s="79" t="s">
        <v>9</v>
      </c>
      <c r="C20" s="79" t="s">
        <v>13</v>
      </c>
      <c r="D20" s="79" t="s">
        <v>13</v>
      </c>
      <c r="E20" s="79" t="s">
        <v>22</v>
      </c>
      <c r="F20" s="79" t="s">
        <v>13</v>
      </c>
      <c r="G20" s="79" t="s">
        <v>13</v>
      </c>
      <c r="H20" s="79" t="s">
        <v>13</v>
      </c>
      <c r="I20" s="79" t="s">
        <v>22</v>
      </c>
      <c r="J20" s="79" t="s">
        <v>13</v>
      </c>
      <c r="K20" s="79" t="s">
        <v>13</v>
      </c>
      <c r="L20" s="79" t="s">
        <v>22</v>
      </c>
    </row>
    <row r="21" spans="1:12">
      <c r="A21" s="79" t="s">
        <v>8</v>
      </c>
      <c r="B21" s="79" t="s">
        <v>9</v>
      </c>
      <c r="C21" s="79" t="s">
        <v>13</v>
      </c>
      <c r="D21" s="79" t="s">
        <v>13</v>
      </c>
      <c r="E21" s="79" t="s">
        <v>18</v>
      </c>
      <c r="F21" s="79" t="s">
        <v>18</v>
      </c>
      <c r="G21" s="79" t="s">
        <v>13</v>
      </c>
      <c r="H21" s="79" t="s">
        <v>13</v>
      </c>
      <c r="I21" s="79" t="s">
        <v>13</v>
      </c>
      <c r="J21" s="79" t="s">
        <v>13</v>
      </c>
      <c r="K21" s="79" t="s">
        <v>18</v>
      </c>
      <c r="L21" s="79" t="s">
        <v>13</v>
      </c>
    </row>
    <row r="22" spans="1:12">
      <c r="A22" s="79" t="s">
        <v>8</v>
      </c>
      <c r="B22" s="79" t="s">
        <v>9</v>
      </c>
      <c r="C22" s="79" t="s">
        <v>13</v>
      </c>
      <c r="D22" s="79" t="s">
        <v>22</v>
      </c>
      <c r="E22" s="79" t="s">
        <v>20</v>
      </c>
      <c r="F22" s="79" t="s">
        <v>22</v>
      </c>
      <c r="G22" s="79" t="s">
        <v>22</v>
      </c>
      <c r="H22" s="79" t="s">
        <v>18</v>
      </c>
      <c r="I22" s="79" t="s">
        <v>20</v>
      </c>
      <c r="J22" s="79" t="s">
        <v>13</v>
      </c>
      <c r="K22" s="79" t="s">
        <v>13</v>
      </c>
      <c r="L22" s="79" t="s">
        <v>13</v>
      </c>
    </row>
    <row r="23" spans="1:12">
      <c r="A23" s="79" t="s">
        <v>19</v>
      </c>
      <c r="B23" s="79" t="s">
        <v>9</v>
      </c>
      <c r="C23" s="79" t="s">
        <v>13</v>
      </c>
      <c r="D23" s="79" t="s">
        <v>13</v>
      </c>
      <c r="E23" s="79" t="s">
        <v>13</v>
      </c>
      <c r="F23" s="79" t="s">
        <v>13</v>
      </c>
      <c r="G23" s="79" t="s">
        <v>13</v>
      </c>
      <c r="H23" s="79" t="s">
        <v>18</v>
      </c>
      <c r="I23" s="79" t="s">
        <v>18</v>
      </c>
      <c r="J23" s="79" t="s">
        <v>18</v>
      </c>
      <c r="K23" s="79" t="s">
        <v>13</v>
      </c>
      <c r="L23" s="79" t="s">
        <v>13</v>
      </c>
    </row>
    <row r="24" spans="1:12">
      <c r="A24" s="79" t="s">
        <v>8</v>
      </c>
      <c r="B24" s="79" t="s">
        <v>9</v>
      </c>
      <c r="C24" s="79" t="s">
        <v>13</v>
      </c>
      <c r="D24" s="79" t="s">
        <v>18</v>
      </c>
      <c r="E24" s="79" t="s">
        <v>18</v>
      </c>
      <c r="F24" s="79" t="s">
        <v>18</v>
      </c>
      <c r="G24" s="79" t="s">
        <v>18</v>
      </c>
      <c r="H24" s="79" t="s">
        <v>18</v>
      </c>
      <c r="I24" s="79" t="s">
        <v>18</v>
      </c>
      <c r="J24" s="79" t="s">
        <v>18</v>
      </c>
      <c r="K24" s="79" t="s">
        <v>18</v>
      </c>
      <c r="L24" s="79" t="s">
        <v>18</v>
      </c>
    </row>
    <row r="25" spans="1:12">
      <c r="A25" s="79" t="s">
        <v>8</v>
      </c>
      <c r="B25" s="79" t="s">
        <v>9</v>
      </c>
      <c r="C25" s="79" t="s">
        <v>18</v>
      </c>
      <c r="D25" s="79" t="s">
        <v>13</v>
      </c>
      <c r="E25" s="79" t="s">
        <v>13</v>
      </c>
      <c r="F25" s="79" t="s">
        <v>13</v>
      </c>
      <c r="G25" s="79" t="s">
        <v>13</v>
      </c>
      <c r="H25" s="79" t="s">
        <v>18</v>
      </c>
      <c r="I25" s="79" t="s">
        <v>18</v>
      </c>
      <c r="J25" s="79" t="s">
        <v>18</v>
      </c>
      <c r="K25" s="79" t="s">
        <v>18</v>
      </c>
      <c r="L25" s="79" t="s">
        <v>18</v>
      </c>
    </row>
    <row r="26" spans="1:12">
      <c r="A26" s="79" t="s">
        <v>8</v>
      </c>
      <c r="B26" s="79" t="s">
        <v>9</v>
      </c>
      <c r="C26" s="79" t="s">
        <v>18</v>
      </c>
      <c r="D26" s="79" t="s">
        <v>20</v>
      </c>
      <c r="E26" s="79" t="s">
        <v>18</v>
      </c>
      <c r="F26" s="79" t="s">
        <v>18</v>
      </c>
      <c r="G26" s="79" t="s">
        <v>13</v>
      </c>
      <c r="H26" s="79" t="s">
        <v>18</v>
      </c>
      <c r="I26" s="79" t="s">
        <v>13</v>
      </c>
      <c r="J26" s="79" t="s">
        <v>18</v>
      </c>
      <c r="K26" s="79" t="s">
        <v>18</v>
      </c>
      <c r="L26" s="79" t="s">
        <v>18</v>
      </c>
    </row>
    <row r="27" spans="1:12">
      <c r="A27" s="79" t="s">
        <v>19</v>
      </c>
      <c r="B27" s="79" t="s">
        <v>9</v>
      </c>
      <c r="C27" s="79" t="s">
        <v>18</v>
      </c>
      <c r="D27" s="79" t="s">
        <v>18</v>
      </c>
      <c r="E27" s="79" t="s">
        <v>18</v>
      </c>
      <c r="F27" s="79" t="s">
        <v>18</v>
      </c>
      <c r="G27" s="79" t="s">
        <v>18</v>
      </c>
      <c r="H27" s="79" t="s">
        <v>18</v>
      </c>
      <c r="I27" s="79" t="s">
        <v>18</v>
      </c>
      <c r="J27" s="79" t="s">
        <v>18</v>
      </c>
      <c r="K27" s="79" t="s">
        <v>18</v>
      </c>
      <c r="L27" s="79" t="s">
        <v>18</v>
      </c>
    </row>
    <row r="28" spans="1:12">
      <c r="A28" s="79" t="s">
        <v>19</v>
      </c>
      <c r="B28" s="79" t="s">
        <v>9</v>
      </c>
      <c r="C28" s="79" t="s">
        <v>20</v>
      </c>
      <c r="D28" s="79" t="s">
        <v>20</v>
      </c>
      <c r="E28" s="79" t="s">
        <v>20</v>
      </c>
      <c r="F28" s="79" t="s">
        <v>13</v>
      </c>
      <c r="G28" s="79" t="s">
        <v>13</v>
      </c>
      <c r="H28" s="79" t="s">
        <v>13</v>
      </c>
      <c r="I28" s="79" t="s">
        <v>20</v>
      </c>
      <c r="J28" s="79" t="s">
        <v>13</v>
      </c>
      <c r="K28" s="79" t="s">
        <v>13</v>
      </c>
      <c r="L28" s="79" t="s">
        <v>13</v>
      </c>
    </row>
    <row r="29" spans="1:12">
      <c r="A29" s="79" t="s">
        <v>8</v>
      </c>
      <c r="B29" s="79" t="s">
        <v>9</v>
      </c>
      <c r="C29" s="79" t="s">
        <v>20</v>
      </c>
      <c r="D29" s="79" t="s">
        <v>13</v>
      </c>
      <c r="E29" s="79" t="s">
        <v>20</v>
      </c>
      <c r="F29" s="79" t="s">
        <v>13</v>
      </c>
      <c r="G29" s="79" t="s">
        <v>20</v>
      </c>
      <c r="H29" s="79" t="s">
        <v>22</v>
      </c>
      <c r="I29" s="79" t="s">
        <v>22</v>
      </c>
      <c r="J29" s="79" t="s">
        <v>18</v>
      </c>
      <c r="K29" s="79" t="s">
        <v>18</v>
      </c>
      <c r="L29" s="79" t="s">
        <v>18</v>
      </c>
    </row>
    <row r="30" spans="1:12">
      <c r="A30" s="79" t="s">
        <v>8</v>
      </c>
      <c r="B30" s="79" t="s">
        <v>9</v>
      </c>
      <c r="C30" s="79" t="s">
        <v>20</v>
      </c>
      <c r="D30" s="79" t="s">
        <v>13</v>
      </c>
      <c r="E30" s="79" t="s">
        <v>13</v>
      </c>
      <c r="F30" s="79" t="s">
        <v>22</v>
      </c>
      <c r="G30" s="79" t="s">
        <v>13</v>
      </c>
      <c r="H30" s="79" t="s">
        <v>13</v>
      </c>
      <c r="I30" s="79" t="s">
        <v>22</v>
      </c>
      <c r="J30" s="79" t="s">
        <v>13</v>
      </c>
      <c r="K30" s="79" t="s">
        <v>18</v>
      </c>
      <c r="L30" s="79" t="s">
        <v>23</v>
      </c>
    </row>
    <row r="31" spans="1:12">
      <c r="A31" s="79" t="s">
        <v>8</v>
      </c>
      <c r="B31" s="79" t="s">
        <v>9</v>
      </c>
      <c r="C31" s="79" t="s">
        <v>20</v>
      </c>
      <c r="D31" s="79" t="s">
        <v>20</v>
      </c>
      <c r="E31" s="79" t="s">
        <v>20</v>
      </c>
      <c r="F31" s="79" t="s">
        <v>20</v>
      </c>
      <c r="G31" s="79" t="s">
        <v>22</v>
      </c>
      <c r="H31" s="79" t="s">
        <v>20</v>
      </c>
      <c r="I31" s="79" t="s">
        <v>20</v>
      </c>
      <c r="J31" s="79" t="s">
        <v>22</v>
      </c>
      <c r="K31" s="79" t="s">
        <v>22</v>
      </c>
      <c r="L31" s="79" t="s">
        <v>22</v>
      </c>
    </row>
    <row r="32" spans="1:12">
      <c r="A32" s="79" t="s">
        <v>8</v>
      </c>
      <c r="B32" s="79" t="s">
        <v>9</v>
      </c>
      <c r="C32" s="79" t="s">
        <v>20</v>
      </c>
      <c r="D32" s="79" t="s">
        <v>20</v>
      </c>
      <c r="E32" s="79" t="s">
        <v>21</v>
      </c>
      <c r="F32" s="79" t="s">
        <v>21</v>
      </c>
      <c r="G32" s="79" t="s">
        <v>13</v>
      </c>
      <c r="H32" s="79" t="s">
        <v>20</v>
      </c>
      <c r="I32" s="79" t="s">
        <v>20</v>
      </c>
      <c r="J32" s="79" t="s">
        <v>22</v>
      </c>
      <c r="K32" s="79" t="s">
        <v>22</v>
      </c>
      <c r="L32" s="79" t="s">
        <v>20</v>
      </c>
    </row>
    <row r="33" spans="1:12">
      <c r="A33" s="79" t="s">
        <v>8</v>
      </c>
      <c r="B33" s="79" t="s">
        <v>9</v>
      </c>
      <c r="C33" s="79" t="s">
        <v>20</v>
      </c>
      <c r="D33" s="79" t="s">
        <v>20</v>
      </c>
      <c r="E33" s="79" t="s">
        <v>22</v>
      </c>
      <c r="F33" s="79" t="s">
        <v>22</v>
      </c>
      <c r="G33" s="79" t="s">
        <v>22</v>
      </c>
      <c r="H33" s="79" t="s">
        <v>22</v>
      </c>
      <c r="I33" s="79" t="s">
        <v>20</v>
      </c>
      <c r="J33" s="79" t="s">
        <v>22</v>
      </c>
      <c r="K33" s="79" t="s">
        <v>22</v>
      </c>
      <c r="L33" s="79" t="s">
        <v>22</v>
      </c>
    </row>
    <row r="34" spans="1:12">
      <c r="A34" s="79" t="s">
        <v>8</v>
      </c>
      <c r="B34" s="79" t="s">
        <v>9</v>
      </c>
      <c r="C34" s="79" t="s">
        <v>20</v>
      </c>
      <c r="D34" s="79" t="s">
        <v>20</v>
      </c>
      <c r="E34" s="79" t="s">
        <v>20</v>
      </c>
      <c r="F34" s="79" t="s">
        <v>20</v>
      </c>
      <c r="G34" s="79" t="s">
        <v>20</v>
      </c>
      <c r="H34" s="79" t="s">
        <v>20</v>
      </c>
      <c r="I34" s="79" t="s">
        <v>20</v>
      </c>
      <c r="J34" s="79" t="s">
        <v>13</v>
      </c>
      <c r="K34" s="79" t="s">
        <v>13</v>
      </c>
      <c r="L34" s="79" t="s">
        <v>20</v>
      </c>
    </row>
    <row r="35" spans="1:12">
      <c r="A35" s="79" t="s">
        <v>8</v>
      </c>
      <c r="B35" s="79" t="s">
        <v>9</v>
      </c>
      <c r="C35" s="79" t="s">
        <v>20</v>
      </c>
      <c r="D35" s="79" t="s">
        <v>22</v>
      </c>
      <c r="E35" s="79" t="s">
        <v>20</v>
      </c>
      <c r="F35" s="79" t="s">
        <v>20</v>
      </c>
      <c r="G35" s="79" t="s">
        <v>20</v>
      </c>
      <c r="H35" s="79" t="s">
        <v>20</v>
      </c>
      <c r="I35" s="79" t="s">
        <v>20</v>
      </c>
      <c r="J35" s="79" t="s">
        <v>20</v>
      </c>
      <c r="K35" s="79" t="s">
        <v>20</v>
      </c>
      <c r="L35" s="79" t="s">
        <v>20</v>
      </c>
    </row>
    <row r="36" spans="1:12">
      <c r="A36" s="79" t="s">
        <v>8</v>
      </c>
      <c r="B36" s="79" t="s">
        <v>9</v>
      </c>
      <c r="C36" s="79" t="s">
        <v>20</v>
      </c>
      <c r="D36" s="79" t="s">
        <v>20</v>
      </c>
      <c r="E36" s="79" t="s">
        <v>13</v>
      </c>
      <c r="F36" s="79" t="s">
        <v>13</v>
      </c>
      <c r="G36" s="79" t="s">
        <v>13</v>
      </c>
      <c r="H36" s="79" t="s">
        <v>13</v>
      </c>
      <c r="I36" s="79" t="s">
        <v>13</v>
      </c>
      <c r="J36" s="79" t="s">
        <v>20</v>
      </c>
      <c r="K36" s="79" t="s">
        <v>20</v>
      </c>
      <c r="L36" s="79" t="s">
        <v>20</v>
      </c>
    </row>
    <row r="37" spans="1:12">
      <c r="A37" s="79" t="s">
        <v>8</v>
      </c>
      <c r="B37" s="79" t="s">
        <v>9</v>
      </c>
      <c r="C37" s="79" t="s">
        <v>20</v>
      </c>
      <c r="D37" s="79" t="s">
        <v>20</v>
      </c>
      <c r="E37" s="79" t="s">
        <v>20</v>
      </c>
      <c r="F37" s="79" t="s">
        <v>20</v>
      </c>
      <c r="G37" s="79" t="s">
        <v>20</v>
      </c>
      <c r="H37" s="79" t="s">
        <v>20</v>
      </c>
      <c r="I37" s="79" t="s">
        <v>20</v>
      </c>
      <c r="J37" s="79" t="s">
        <v>20</v>
      </c>
      <c r="K37" s="79" t="s">
        <v>20</v>
      </c>
      <c r="L37" s="79" t="s">
        <v>20</v>
      </c>
    </row>
    <row r="38" spans="1:12">
      <c r="A38" s="79" t="s">
        <v>8</v>
      </c>
      <c r="B38" s="79" t="s">
        <v>9</v>
      </c>
      <c r="C38" s="79" t="s">
        <v>20</v>
      </c>
      <c r="D38" s="79" t="s">
        <v>20</v>
      </c>
      <c r="E38" s="79" t="s">
        <v>20</v>
      </c>
      <c r="F38" s="79" t="s">
        <v>20</v>
      </c>
      <c r="G38" s="79" t="s">
        <v>20</v>
      </c>
      <c r="H38" s="79" t="s">
        <v>20</v>
      </c>
      <c r="I38" s="79" t="s">
        <v>20</v>
      </c>
      <c r="J38" s="79" t="s">
        <v>22</v>
      </c>
      <c r="K38" s="79" t="s">
        <v>21</v>
      </c>
      <c r="L38" s="79" t="s">
        <v>20</v>
      </c>
    </row>
    <row r="39" spans="1:12">
      <c r="A39" s="79" t="s">
        <v>19</v>
      </c>
      <c r="B39" s="79" t="s">
        <v>9</v>
      </c>
      <c r="C39" s="79" t="s">
        <v>20</v>
      </c>
      <c r="D39" s="79" t="s">
        <v>18</v>
      </c>
      <c r="E39" s="79" t="s">
        <v>18</v>
      </c>
      <c r="F39" s="79" t="s">
        <v>13</v>
      </c>
      <c r="G39" s="79" t="s">
        <v>13</v>
      </c>
      <c r="H39" s="79" t="s">
        <v>18</v>
      </c>
      <c r="I39" s="79" t="s">
        <v>20</v>
      </c>
      <c r="J39" s="79" t="s">
        <v>18</v>
      </c>
      <c r="K39" s="79" t="s">
        <v>20</v>
      </c>
      <c r="L39" s="79" t="s">
        <v>13</v>
      </c>
    </row>
    <row r="40" spans="1:12">
      <c r="A40" s="79" t="s">
        <v>8</v>
      </c>
      <c r="B40" s="79" t="s">
        <v>9</v>
      </c>
      <c r="C40" s="79" t="s">
        <v>20</v>
      </c>
      <c r="D40" s="79" t="s">
        <v>20</v>
      </c>
      <c r="E40" s="79" t="s">
        <v>20</v>
      </c>
      <c r="F40" s="79" t="s">
        <v>20</v>
      </c>
      <c r="G40" s="79" t="s">
        <v>20</v>
      </c>
      <c r="H40" s="79" t="s">
        <v>20</v>
      </c>
      <c r="I40" s="79" t="s">
        <v>20</v>
      </c>
      <c r="J40" s="79" t="s">
        <v>18</v>
      </c>
      <c r="K40" s="79" t="s">
        <v>18</v>
      </c>
      <c r="L40" s="79" t="s">
        <v>18</v>
      </c>
    </row>
    <row r="41" spans="1:12">
      <c r="A41" s="79" t="s">
        <v>8</v>
      </c>
      <c r="B41" s="79" t="s">
        <v>9</v>
      </c>
      <c r="C41" s="79" t="s">
        <v>20</v>
      </c>
      <c r="D41" s="79" t="s">
        <v>20</v>
      </c>
      <c r="E41" s="79" t="s">
        <v>22</v>
      </c>
      <c r="F41" s="79" t="s">
        <v>13</v>
      </c>
      <c r="G41" s="79" t="s">
        <v>20</v>
      </c>
      <c r="H41" s="79" t="s">
        <v>13</v>
      </c>
      <c r="I41" s="79" t="s">
        <v>20</v>
      </c>
      <c r="J41" s="79" t="s">
        <v>13</v>
      </c>
      <c r="K41" s="79" t="s">
        <v>13</v>
      </c>
      <c r="L41" s="79" t="s">
        <v>13</v>
      </c>
    </row>
    <row r="42" spans="1:12">
      <c r="A42" s="79" t="s">
        <v>19</v>
      </c>
      <c r="B42" s="79" t="s">
        <v>9</v>
      </c>
      <c r="C42" s="79" t="s">
        <v>20</v>
      </c>
      <c r="D42" s="79" t="s">
        <v>20</v>
      </c>
      <c r="E42" s="79" t="s">
        <v>20</v>
      </c>
      <c r="F42" s="79" t="s">
        <v>13</v>
      </c>
      <c r="G42" s="79" t="s">
        <v>13</v>
      </c>
      <c r="H42" s="79" t="s">
        <v>13</v>
      </c>
      <c r="I42" s="79" t="s">
        <v>13</v>
      </c>
      <c r="J42" s="79" t="s">
        <v>13</v>
      </c>
      <c r="K42" s="79" t="s">
        <v>13</v>
      </c>
      <c r="L42" s="79" t="s">
        <v>13</v>
      </c>
    </row>
    <row r="43" spans="1:12">
      <c r="A43" s="79" t="s">
        <v>8</v>
      </c>
      <c r="B43" s="79" t="s">
        <v>9</v>
      </c>
      <c r="C43" s="79" t="s">
        <v>20</v>
      </c>
      <c r="D43" s="79" t="s">
        <v>20</v>
      </c>
      <c r="E43" s="79" t="s">
        <v>22</v>
      </c>
      <c r="F43" s="79" t="s">
        <v>22</v>
      </c>
      <c r="G43" s="79" t="s">
        <v>22</v>
      </c>
      <c r="H43" s="79" t="s">
        <v>22</v>
      </c>
      <c r="I43" s="79" t="s">
        <v>13</v>
      </c>
      <c r="J43" s="79" t="s">
        <v>13</v>
      </c>
      <c r="K43" s="79" t="s">
        <v>18</v>
      </c>
      <c r="L43" s="79" t="s">
        <v>13</v>
      </c>
    </row>
    <row r="44" spans="1:12">
      <c r="A44" s="79" t="s">
        <v>8</v>
      </c>
      <c r="B44" s="79" t="s">
        <v>9</v>
      </c>
      <c r="C44" s="79" t="s">
        <v>20</v>
      </c>
      <c r="D44" s="79" t="s">
        <v>20</v>
      </c>
      <c r="E44" s="79" t="s">
        <v>20</v>
      </c>
      <c r="F44" s="79" t="s">
        <v>20</v>
      </c>
      <c r="G44" s="79" t="s">
        <v>20</v>
      </c>
      <c r="H44" s="79" t="s">
        <v>20</v>
      </c>
      <c r="I44" s="79" t="s">
        <v>20</v>
      </c>
      <c r="J44" s="79" t="s">
        <v>18</v>
      </c>
      <c r="K44" s="79" t="s">
        <v>18</v>
      </c>
      <c r="L44" s="79" t="s">
        <v>18</v>
      </c>
    </row>
    <row r="45" spans="1:12">
      <c r="A45" s="79" t="s">
        <v>8</v>
      </c>
      <c r="B45" s="79" t="s">
        <v>9</v>
      </c>
      <c r="C45" s="79" t="s">
        <v>20</v>
      </c>
      <c r="D45" s="79" t="s">
        <v>18</v>
      </c>
      <c r="E45" s="79" t="s">
        <v>18</v>
      </c>
      <c r="F45" s="79" t="s">
        <v>18</v>
      </c>
      <c r="G45" s="79" t="s">
        <v>18</v>
      </c>
      <c r="H45" s="79" t="s">
        <v>18</v>
      </c>
      <c r="I45" s="79" t="s">
        <v>20</v>
      </c>
      <c r="J45" s="79" t="s">
        <v>18</v>
      </c>
      <c r="K45" s="79" t="s">
        <v>18</v>
      </c>
      <c r="L45" s="79" t="s">
        <v>18</v>
      </c>
    </row>
    <row r="46" spans="1:12">
      <c r="A46" s="79" t="s">
        <v>8</v>
      </c>
      <c r="B46" s="79" t="s">
        <v>9</v>
      </c>
      <c r="C46" s="79" t="s">
        <v>20</v>
      </c>
      <c r="D46" s="79" t="s">
        <v>13</v>
      </c>
      <c r="E46" s="79" t="s">
        <v>13</v>
      </c>
      <c r="F46" s="79" t="s">
        <v>22</v>
      </c>
      <c r="G46" s="79" t="s">
        <v>13</v>
      </c>
      <c r="H46" s="79" t="s">
        <v>22</v>
      </c>
      <c r="I46" s="79" t="s">
        <v>13</v>
      </c>
      <c r="J46" s="79" t="s">
        <v>13</v>
      </c>
      <c r="K46" s="79" t="s">
        <v>18</v>
      </c>
      <c r="L46" s="79" t="s">
        <v>18</v>
      </c>
    </row>
    <row r="47" spans="1:12">
      <c r="A47" s="79" t="s">
        <v>8</v>
      </c>
      <c r="B47" s="79" t="s">
        <v>9</v>
      </c>
      <c r="C47" s="79" t="s">
        <v>20</v>
      </c>
      <c r="D47" s="79" t="s">
        <v>20</v>
      </c>
      <c r="E47" s="79" t="s">
        <v>20</v>
      </c>
      <c r="F47" s="79" t="s">
        <v>20</v>
      </c>
      <c r="G47" s="79" t="s">
        <v>20</v>
      </c>
      <c r="H47" s="79" t="s">
        <v>20</v>
      </c>
      <c r="I47" s="79" t="s">
        <v>20</v>
      </c>
      <c r="J47" s="79" t="s">
        <v>20</v>
      </c>
      <c r="K47" s="79" t="s">
        <v>13</v>
      </c>
      <c r="L47" s="79" t="s">
        <v>20</v>
      </c>
    </row>
    <row r="48" spans="1:12">
      <c r="A48" s="79" t="s">
        <v>8</v>
      </c>
      <c r="B48" s="79" t="s">
        <v>9</v>
      </c>
      <c r="C48" s="79" t="s">
        <v>20</v>
      </c>
      <c r="D48" s="79" t="s">
        <v>20</v>
      </c>
      <c r="E48" s="79" t="s">
        <v>21</v>
      </c>
      <c r="F48" s="79" t="s">
        <v>20</v>
      </c>
      <c r="G48" s="79" t="s">
        <v>21</v>
      </c>
      <c r="H48" s="79" t="s">
        <v>21</v>
      </c>
      <c r="I48" s="79" t="s">
        <v>20</v>
      </c>
      <c r="J48" s="79" t="s">
        <v>20</v>
      </c>
      <c r="K48" s="79" t="s">
        <v>20</v>
      </c>
      <c r="L48" s="79" t="s">
        <v>20</v>
      </c>
    </row>
    <row r="49" spans="1:12">
      <c r="A49" s="79" t="s">
        <v>8</v>
      </c>
      <c r="B49" s="79" t="s">
        <v>9</v>
      </c>
      <c r="C49" s="79" t="s">
        <v>20</v>
      </c>
      <c r="D49" s="79" t="s">
        <v>20</v>
      </c>
      <c r="E49" s="79" t="s">
        <v>20</v>
      </c>
      <c r="F49" s="79" t="s">
        <v>20</v>
      </c>
      <c r="G49" s="79" t="s">
        <v>20</v>
      </c>
      <c r="H49" s="79" t="s">
        <v>20</v>
      </c>
      <c r="I49" s="79" t="s">
        <v>20</v>
      </c>
      <c r="J49" s="79" t="s">
        <v>13</v>
      </c>
      <c r="K49" s="79" t="s">
        <v>13</v>
      </c>
      <c r="L49" s="79" t="s">
        <v>22</v>
      </c>
    </row>
    <row r="50" spans="1:12">
      <c r="A50" s="79" t="s">
        <v>8</v>
      </c>
      <c r="B50" s="79" t="s">
        <v>9</v>
      </c>
      <c r="C50" s="79" t="s">
        <v>20</v>
      </c>
      <c r="D50" s="79" t="s">
        <v>20</v>
      </c>
      <c r="E50" s="79" t="s">
        <v>18</v>
      </c>
      <c r="F50" s="79" t="s">
        <v>13</v>
      </c>
      <c r="G50" s="79" t="s">
        <v>18</v>
      </c>
      <c r="H50" s="79" t="s">
        <v>13</v>
      </c>
      <c r="I50" s="79" t="s">
        <v>22</v>
      </c>
      <c r="J50" s="79" t="s">
        <v>13</v>
      </c>
      <c r="K50" s="79" t="s">
        <v>13</v>
      </c>
      <c r="L50" s="79" t="s">
        <v>13</v>
      </c>
    </row>
    <row r="51" spans="1:12">
      <c r="A51" s="79" t="s">
        <v>8</v>
      </c>
      <c r="B51" s="79" t="s">
        <v>9</v>
      </c>
      <c r="C51" s="79" t="s">
        <v>20</v>
      </c>
      <c r="D51" s="79" t="s">
        <v>20</v>
      </c>
      <c r="E51" s="79" t="s">
        <v>13</v>
      </c>
      <c r="F51" s="79" t="s">
        <v>22</v>
      </c>
      <c r="G51" s="79" t="s">
        <v>13</v>
      </c>
      <c r="H51" s="79" t="s">
        <v>13</v>
      </c>
      <c r="I51" s="79" t="s">
        <v>20</v>
      </c>
      <c r="J51" s="79" t="s">
        <v>20</v>
      </c>
      <c r="K51" s="79" t="s">
        <v>13</v>
      </c>
      <c r="L51" s="79" t="s">
        <v>20</v>
      </c>
    </row>
    <row r="52" spans="1:12">
      <c r="A52" s="79" t="s">
        <v>19</v>
      </c>
      <c r="B52" s="79" t="s">
        <v>9</v>
      </c>
      <c r="C52" s="79" t="s">
        <v>21</v>
      </c>
      <c r="D52" s="79" t="s">
        <v>20</v>
      </c>
      <c r="E52" s="79" t="s">
        <v>21</v>
      </c>
      <c r="F52" s="79" t="s">
        <v>21</v>
      </c>
      <c r="G52" s="79" t="s">
        <v>21</v>
      </c>
      <c r="H52" s="79" t="s">
        <v>21</v>
      </c>
      <c r="I52" s="79" t="s">
        <v>21</v>
      </c>
      <c r="J52" s="79" t="s">
        <v>21</v>
      </c>
      <c r="K52" s="79" t="s">
        <v>21</v>
      </c>
      <c r="L52" s="79" t="s">
        <v>21</v>
      </c>
    </row>
    <row r="53" spans="1:12">
      <c r="A53" s="79" t="s">
        <v>8</v>
      </c>
      <c r="B53" s="79" t="s">
        <v>9</v>
      </c>
      <c r="C53" s="79" t="s">
        <v>21</v>
      </c>
      <c r="D53" s="79" t="s">
        <v>23</v>
      </c>
      <c r="E53" s="79" t="s">
        <v>21</v>
      </c>
      <c r="F53" s="79" t="s">
        <v>23</v>
      </c>
      <c r="G53" s="79" t="s">
        <v>22</v>
      </c>
      <c r="H53" s="79" t="s">
        <v>22</v>
      </c>
      <c r="I53" s="79" t="s">
        <v>23</v>
      </c>
      <c r="J53" s="79" t="s">
        <v>23</v>
      </c>
      <c r="K53" s="79" t="s">
        <v>23</v>
      </c>
      <c r="L53" s="79" t="s">
        <v>23</v>
      </c>
    </row>
    <row r="54" spans="1:12">
      <c r="A54" s="79" t="s">
        <v>8</v>
      </c>
      <c r="B54" s="79" t="s">
        <v>9</v>
      </c>
      <c r="C54" s="79" t="s">
        <v>21</v>
      </c>
      <c r="D54" s="79" t="s">
        <v>23</v>
      </c>
      <c r="E54" s="79" t="s">
        <v>21</v>
      </c>
      <c r="F54" s="79" t="s">
        <v>21</v>
      </c>
      <c r="G54" s="79" t="s">
        <v>13</v>
      </c>
      <c r="H54" s="79" t="s">
        <v>13</v>
      </c>
      <c r="I54" s="79" t="s">
        <v>22</v>
      </c>
      <c r="J54" s="79" t="s">
        <v>18</v>
      </c>
      <c r="K54" s="79" t="s">
        <v>18</v>
      </c>
      <c r="L54" s="79" t="s">
        <v>18</v>
      </c>
    </row>
    <row r="55" spans="1:12">
      <c r="A55" s="79" t="s">
        <v>8</v>
      </c>
      <c r="B55" s="79" t="s">
        <v>9</v>
      </c>
      <c r="C55" s="79" t="s">
        <v>21</v>
      </c>
      <c r="D55" s="79" t="s">
        <v>21</v>
      </c>
      <c r="E55" s="79" t="s">
        <v>21</v>
      </c>
      <c r="F55" s="79" t="s">
        <v>21</v>
      </c>
      <c r="G55" s="79" t="s">
        <v>22</v>
      </c>
      <c r="H55" s="79" t="s">
        <v>21</v>
      </c>
      <c r="I55" s="79" t="s">
        <v>20</v>
      </c>
      <c r="J55" s="79" t="s">
        <v>21</v>
      </c>
      <c r="K55" s="79" t="s">
        <v>21</v>
      </c>
      <c r="L55" s="79" t="s">
        <v>21</v>
      </c>
    </row>
    <row r="56" spans="1:12">
      <c r="A56" s="79" t="s">
        <v>8</v>
      </c>
      <c r="B56" s="79" t="s">
        <v>9</v>
      </c>
      <c r="C56" s="79" t="s">
        <v>21</v>
      </c>
      <c r="D56" s="79" t="s">
        <v>20</v>
      </c>
      <c r="E56" s="79" t="s">
        <v>21</v>
      </c>
      <c r="F56" s="79" t="s">
        <v>21</v>
      </c>
      <c r="G56" s="79" t="s">
        <v>23</v>
      </c>
      <c r="H56" s="79" t="s">
        <v>21</v>
      </c>
      <c r="I56" s="79" t="s">
        <v>20</v>
      </c>
      <c r="J56" s="79" t="s">
        <v>21</v>
      </c>
      <c r="K56" s="79" t="s">
        <v>21</v>
      </c>
      <c r="L56" s="79" t="s">
        <v>21</v>
      </c>
    </row>
    <row r="57" spans="1:12">
      <c r="A57" s="79" t="s">
        <v>8</v>
      </c>
      <c r="B57" s="79" t="s">
        <v>9</v>
      </c>
      <c r="C57" s="79" t="s">
        <v>22</v>
      </c>
      <c r="D57" s="79" t="s">
        <v>13</v>
      </c>
      <c r="E57" s="79" t="s">
        <v>13</v>
      </c>
      <c r="F57" s="79" t="s">
        <v>13</v>
      </c>
      <c r="G57" s="79" t="s">
        <v>22</v>
      </c>
      <c r="H57" s="79" t="s">
        <v>13</v>
      </c>
      <c r="I57" s="79" t="s">
        <v>13</v>
      </c>
      <c r="J57" s="79" t="s">
        <v>13</v>
      </c>
      <c r="K57" s="79" t="s">
        <v>13</v>
      </c>
      <c r="L57" s="79" t="s">
        <v>13</v>
      </c>
    </row>
    <row r="58" spans="1:12">
      <c r="A58" s="79" t="s">
        <v>8</v>
      </c>
      <c r="B58" s="79" t="s">
        <v>9</v>
      </c>
      <c r="C58" s="79" t="s">
        <v>22</v>
      </c>
      <c r="D58" s="79" t="s">
        <v>13</v>
      </c>
      <c r="E58" s="79" t="s">
        <v>13</v>
      </c>
      <c r="F58" s="79" t="s">
        <v>13</v>
      </c>
      <c r="G58" s="79" t="s">
        <v>13</v>
      </c>
      <c r="H58" s="79" t="s">
        <v>13</v>
      </c>
      <c r="I58" s="79" t="s">
        <v>22</v>
      </c>
      <c r="J58" s="79" t="s">
        <v>13</v>
      </c>
      <c r="K58" s="79" t="s">
        <v>13</v>
      </c>
      <c r="L58" s="79" t="s">
        <v>13</v>
      </c>
    </row>
    <row r="59" spans="1:12">
      <c r="A59" s="79" t="s">
        <v>8</v>
      </c>
      <c r="B59" s="79" t="s">
        <v>9</v>
      </c>
      <c r="C59" s="79" t="s">
        <v>22</v>
      </c>
      <c r="D59" s="79" t="s">
        <v>23</v>
      </c>
      <c r="E59" s="79" t="s">
        <v>22</v>
      </c>
      <c r="F59" s="79" t="s">
        <v>22</v>
      </c>
      <c r="G59" s="79" t="s">
        <v>13</v>
      </c>
      <c r="H59" s="79" t="s">
        <v>13</v>
      </c>
      <c r="I59" s="79" t="s">
        <v>13</v>
      </c>
      <c r="J59" s="79" t="s">
        <v>13</v>
      </c>
      <c r="K59" s="79" t="s">
        <v>22</v>
      </c>
      <c r="L59" s="79" t="s">
        <v>13</v>
      </c>
    </row>
    <row r="60" spans="1:12">
      <c r="A60" s="79" t="s">
        <v>19</v>
      </c>
      <c r="B60" s="79" t="s">
        <v>9</v>
      </c>
      <c r="C60" s="79" t="s">
        <v>22</v>
      </c>
      <c r="D60" s="79" t="s">
        <v>22</v>
      </c>
      <c r="E60" s="79" t="s">
        <v>20</v>
      </c>
      <c r="F60" s="79" t="s">
        <v>22</v>
      </c>
      <c r="G60" s="79" t="s">
        <v>22</v>
      </c>
      <c r="H60" s="79" t="s">
        <v>13</v>
      </c>
      <c r="I60" s="79" t="s">
        <v>22</v>
      </c>
      <c r="J60" s="79" t="s">
        <v>18</v>
      </c>
      <c r="K60" s="79" t="s">
        <v>18</v>
      </c>
      <c r="L60" s="79" t="s">
        <v>18</v>
      </c>
    </row>
    <row r="61" spans="1:12">
      <c r="A61" s="79" t="s">
        <v>8</v>
      </c>
      <c r="B61" s="79" t="s">
        <v>9</v>
      </c>
      <c r="C61" s="79" t="s">
        <v>22</v>
      </c>
      <c r="D61" s="79" t="s">
        <v>13</v>
      </c>
      <c r="E61" s="79" t="s">
        <v>22</v>
      </c>
      <c r="F61" s="79" t="s">
        <v>22</v>
      </c>
      <c r="G61" s="79" t="s">
        <v>22</v>
      </c>
      <c r="H61" s="79" t="s">
        <v>22</v>
      </c>
      <c r="I61" s="79" t="s">
        <v>13</v>
      </c>
      <c r="J61" s="79" t="s">
        <v>13</v>
      </c>
      <c r="K61" s="79" t="s">
        <v>13</v>
      </c>
      <c r="L61" s="79" t="s">
        <v>13</v>
      </c>
    </row>
    <row r="62" spans="1:12">
      <c r="A62" s="79" t="s">
        <v>8</v>
      </c>
      <c r="B62" s="79" t="s">
        <v>9</v>
      </c>
      <c r="C62" s="79" t="s">
        <v>22</v>
      </c>
      <c r="D62" s="79" t="s">
        <v>22</v>
      </c>
      <c r="E62" s="79" t="s">
        <v>22</v>
      </c>
      <c r="F62" s="79" t="s">
        <v>22</v>
      </c>
      <c r="G62" s="79" t="s">
        <v>23</v>
      </c>
      <c r="H62" s="79" t="s">
        <v>23</v>
      </c>
      <c r="I62" s="79" t="s">
        <v>22</v>
      </c>
      <c r="J62" s="79" t="s">
        <v>22</v>
      </c>
      <c r="K62" s="79" t="s">
        <v>23</v>
      </c>
      <c r="L62" s="79" t="s">
        <v>22</v>
      </c>
    </row>
    <row r="63" spans="1:12">
      <c r="A63" s="79" t="s">
        <v>8</v>
      </c>
      <c r="B63" s="79" t="s">
        <v>9</v>
      </c>
      <c r="C63" s="79" t="s">
        <v>22</v>
      </c>
      <c r="D63" s="79" t="s">
        <v>22</v>
      </c>
      <c r="E63" s="79" t="s">
        <v>13</v>
      </c>
      <c r="F63" s="79" t="s">
        <v>22</v>
      </c>
      <c r="G63" s="79" t="s">
        <v>13</v>
      </c>
      <c r="H63" s="79" t="s">
        <v>13</v>
      </c>
      <c r="I63" s="79" t="s">
        <v>13</v>
      </c>
      <c r="J63" s="79" t="s">
        <v>13</v>
      </c>
      <c r="K63" s="79" t="s">
        <v>13</v>
      </c>
      <c r="L63" s="79" t="s">
        <v>13</v>
      </c>
    </row>
    <row r="64" spans="1:12">
      <c r="A64" s="79" t="s">
        <v>8</v>
      </c>
      <c r="B64" s="79" t="s">
        <v>9</v>
      </c>
      <c r="C64" s="79" t="s">
        <v>22</v>
      </c>
      <c r="D64" s="79" t="s">
        <v>13</v>
      </c>
      <c r="E64" s="79" t="s">
        <v>22</v>
      </c>
      <c r="F64" s="79" t="s">
        <v>13</v>
      </c>
      <c r="G64" s="79" t="s">
        <v>13</v>
      </c>
      <c r="H64" s="79" t="s">
        <v>22</v>
      </c>
      <c r="I64" s="79" t="s">
        <v>22</v>
      </c>
      <c r="J64" s="79" t="s">
        <v>13</v>
      </c>
      <c r="K64" s="79" t="s">
        <v>22</v>
      </c>
      <c r="L64" s="79" t="s">
        <v>13</v>
      </c>
    </row>
    <row r="65" spans="1:12">
      <c r="A65" s="79" t="s">
        <v>8</v>
      </c>
      <c r="B65" s="79" t="s">
        <v>9</v>
      </c>
      <c r="C65" s="79" t="s">
        <v>22</v>
      </c>
      <c r="D65" s="79" t="s">
        <v>22</v>
      </c>
      <c r="E65" s="79" t="s">
        <v>22</v>
      </c>
      <c r="F65" s="79" t="s">
        <v>22</v>
      </c>
      <c r="G65" s="79" t="s">
        <v>22</v>
      </c>
      <c r="H65" s="79" t="s">
        <v>22</v>
      </c>
      <c r="I65" s="79" t="s">
        <v>22</v>
      </c>
      <c r="J65" s="79" t="s">
        <v>22</v>
      </c>
      <c r="K65" s="79" t="s">
        <v>22</v>
      </c>
      <c r="L65" s="79" t="s">
        <v>22</v>
      </c>
    </row>
    <row r="66" spans="1:12">
      <c r="A66" s="79" t="s">
        <v>8</v>
      </c>
      <c r="B66" s="79" t="s">
        <v>9</v>
      </c>
      <c r="C66" s="79" t="s">
        <v>22</v>
      </c>
      <c r="D66" s="79" t="s">
        <v>22</v>
      </c>
      <c r="E66" s="79" t="s">
        <v>13</v>
      </c>
      <c r="F66" s="79" t="s">
        <v>22</v>
      </c>
      <c r="G66" s="79" t="s">
        <v>22</v>
      </c>
      <c r="H66" s="79" t="s">
        <v>20</v>
      </c>
      <c r="I66" s="79" t="s">
        <v>20</v>
      </c>
      <c r="J66" s="79" t="s">
        <v>20</v>
      </c>
      <c r="K66" s="79" t="s">
        <v>20</v>
      </c>
      <c r="L66" s="79" t="s">
        <v>20</v>
      </c>
    </row>
    <row r="67" spans="1:12">
      <c r="A67" s="79" t="s">
        <v>8</v>
      </c>
      <c r="B67" s="79" t="s">
        <v>9</v>
      </c>
      <c r="C67" s="79" t="s">
        <v>23</v>
      </c>
      <c r="D67" s="79" t="s">
        <v>22</v>
      </c>
      <c r="E67" s="79" t="s">
        <v>18</v>
      </c>
      <c r="F67" s="79" t="s">
        <v>18</v>
      </c>
      <c r="G67" s="79" t="s">
        <v>18</v>
      </c>
      <c r="H67" s="79" t="s">
        <v>13</v>
      </c>
      <c r="I67" s="79" t="s">
        <v>13</v>
      </c>
      <c r="J67" s="79" t="s">
        <v>13</v>
      </c>
      <c r="K67" s="79" t="s">
        <v>22</v>
      </c>
      <c r="L67" s="79" t="s">
        <v>22</v>
      </c>
    </row>
    <row r="68" spans="1:12">
      <c r="A68" s="79" t="s">
        <v>8</v>
      </c>
      <c r="B68" s="79" t="s">
        <v>9</v>
      </c>
      <c r="C68" s="79" t="s">
        <v>23</v>
      </c>
      <c r="D68" s="79" t="s">
        <v>23</v>
      </c>
      <c r="E68" s="79" t="s">
        <v>23</v>
      </c>
      <c r="F68" s="79" t="s">
        <v>23</v>
      </c>
      <c r="G68" s="79" t="s">
        <v>23</v>
      </c>
      <c r="H68" s="79" t="s">
        <v>23</v>
      </c>
      <c r="I68" s="79" t="s">
        <v>23</v>
      </c>
      <c r="J68" s="79" t="s">
        <v>20</v>
      </c>
      <c r="K68" s="79" t="s">
        <v>21</v>
      </c>
      <c r="L68" s="79" t="s">
        <v>20</v>
      </c>
    </row>
    <row r="69" spans="1:12">
      <c r="A69" s="79" t="s">
        <v>8</v>
      </c>
      <c r="B69" s="79" t="s">
        <v>9</v>
      </c>
      <c r="C69" s="79" t="s">
        <v>23</v>
      </c>
      <c r="D69" s="79" t="s">
        <v>22</v>
      </c>
      <c r="E69" s="79" t="s">
        <v>22</v>
      </c>
      <c r="F69" s="79" t="s">
        <v>23</v>
      </c>
      <c r="G69" s="79" t="s">
        <v>13</v>
      </c>
      <c r="H69" s="79" t="s">
        <v>23</v>
      </c>
      <c r="I69" s="79" t="s">
        <v>21</v>
      </c>
      <c r="J69" s="79" t="s">
        <v>22</v>
      </c>
      <c r="K69" s="79" t="s">
        <v>22</v>
      </c>
      <c r="L69" s="79" t="s">
        <v>23</v>
      </c>
    </row>
    <row r="70" spans="1:12">
      <c r="A70" s="79" t="s">
        <v>8</v>
      </c>
      <c r="B70" s="79" t="s">
        <v>9</v>
      </c>
      <c r="C70" s="79" t="s">
        <v>23</v>
      </c>
      <c r="D70" s="79" t="s">
        <v>22</v>
      </c>
      <c r="E70" s="79" t="s">
        <v>22</v>
      </c>
      <c r="F70" s="79" t="s">
        <v>23</v>
      </c>
      <c r="G70" s="79" t="s">
        <v>22</v>
      </c>
      <c r="H70" s="79" t="s">
        <v>13</v>
      </c>
      <c r="I70" s="79" t="s">
        <v>22</v>
      </c>
      <c r="J70" s="79" t="s">
        <v>13</v>
      </c>
      <c r="K70" s="79" t="s">
        <v>13</v>
      </c>
      <c r="L70" s="79" t="s">
        <v>13</v>
      </c>
    </row>
    <row r="71" spans="1:12">
      <c r="A71" s="79" t="s">
        <v>8</v>
      </c>
      <c r="B71" s="79" t="s">
        <v>9</v>
      </c>
      <c r="C71" s="79" t="s">
        <v>23</v>
      </c>
      <c r="D71" s="79" t="s">
        <v>20</v>
      </c>
      <c r="E71" s="79" t="s">
        <v>20</v>
      </c>
      <c r="F71" s="79" t="s">
        <v>20</v>
      </c>
      <c r="G71" s="79" t="s">
        <v>20</v>
      </c>
      <c r="H71" s="79" t="s">
        <v>20</v>
      </c>
      <c r="I71" s="79" t="s">
        <v>20</v>
      </c>
      <c r="J71" s="79" t="s">
        <v>20</v>
      </c>
      <c r="K71" s="79" t="s">
        <v>20</v>
      </c>
      <c r="L71" s="79" t="s">
        <v>20</v>
      </c>
    </row>
    <row r="72" spans="1:12">
      <c r="A72" s="79" t="s">
        <v>19</v>
      </c>
      <c r="B72" s="79" t="s">
        <v>9</v>
      </c>
      <c r="C72" s="79" t="s">
        <v>23</v>
      </c>
      <c r="D72" s="79" t="s">
        <v>13</v>
      </c>
      <c r="E72" s="79" t="s">
        <v>22</v>
      </c>
      <c r="F72" s="79" t="s">
        <v>22</v>
      </c>
      <c r="G72" s="79" t="s">
        <v>22</v>
      </c>
      <c r="H72" s="79" t="s">
        <v>13</v>
      </c>
      <c r="I72" s="79" t="s">
        <v>20</v>
      </c>
      <c r="J72" s="79" t="s">
        <v>13</v>
      </c>
      <c r="K72" s="79" t="s">
        <v>13</v>
      </c>
      <c r="L72" s="79" t="s">
        <v>22</v>
      </c>
    </row>
    <row r="73" spans="1:12">
      <c r="A73" s="79" t="s">
        <v>8</v>
      </c>
      <c r="B73" s="79" t="s">
        <v>9</v>
      </c>
      <c r="C73" s="79" t="s">
        <v>23</v>
      </c>
      <c r="D73" s="79" t="s">
        <v>23</v>
      </c>
      <c r="E73" s="79" t="s">
        <v>13</v>
      </c>
      <c r="F73" s="79" t="s">
        <v>23</v>
      </c>
      <c r="G73" s="79" t="s">
        <v>23</v>
      </c>
      <c r="H73" s="79" t="s">
        <v>13</v>
      </c>
      <c r="I73" s="79" t="s">
        <v>20</v>
      </c>
      <c r="J73" s="79" t="s">
        <v>18</v>
      </c>
      <c r="K73" s="79" t="s">
        <v>18</v>
      </c>
      <c r="L73" s="79" t="s">
        <v>18</v>
      </c>
    </row>
    <row r="74" spans="1:12">
      <c r="A74" s="79" t="s">
        <v>8</v>
      </c>
      <c r="B74" s="79" t="s">
        <v>9</v>
      </c>
      <c r="C74" s="79" t="s">
        <v>23</v>
      </c>
      <c r="D74" s="79" t="s">
        <v>21</v>
      </c>
      <c r="E74" s="79" t="s">
        <v>23</v>
      </c>
      <c r="F74" s="79" t="s">
        <v>21</v>
      </c>
      <c r="G74" s="79" t="s">
        <v>21</v>
      </c>
      <c r="H74" s="79" t="s">
        <v>23</v>
      </c>
      <c r="I74" s="79" t="s">
        <v>23</v>
      </c>
      <c r="J74" s="79" t="s">
        <v>22</v>
      </c>
      <c r="K74" s="79" t="s">
        <v>22</v>
      </c>
      <c r="L74" s="79" t="s">
        <v>23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COUNTIFS(Resp3[Vínculo],"tecnico",Resp3[3.08],B7)</f>
        <v>1</v>
      </c>
      <c r="D7" s="10">
        <f>COUNTIFS(Resp3[Vínculo],"docente",Resp3[3.08],B7)</f>
        <v>9</v>
      </c>
      <c r="E7" s="10">
        <f>COUNTIF(Resp3[3.08],B7)</f>
        <v>10</v>
      </c>
      <c r="F7" s="25">
        <f t="shared" ref="F7:F13" si="0">ROUND($E7/$E$13*100,2)</f>
        <v>13.7</v>
      </c>
      <c r="G7" s="25">
        <f>ROUND($E7/SUM($E$7:$E$12)*100,3)</f>
        <v>13.699</v>
      </c>
    </row>
    <row r="8" spans="1:7">
      <c r="B8" s="9" t="s">
        <v>21</v>
      </c>
      <c r="C8" s="10">
        <f>COUNTIFS(Resp3[Vínculo],"tecnico",Resp3[3.08],B8)</f>
        <v>1</v>
      </c>
      <c r="D8" s="10">
        <f>COUNTIFS(Resp3[Vínculo],"docente",Resp3[3.08],B8)</f>
        <v>2</v>
      </c>
      <c r="E8" s="10">
        <f>COUNTIF(Resp3[3.08],B8)</f>
        <v>3</v>
      </c>
      <c r="F8" s="25">
        <f t="shared" si="0"/>
        <v>4.1100000000000003</v>
      </c>
      <c r="G8" s="25">
        <f t="shared" ref="G8:G12" si="1">ROUND($E8/SUM($E$7:$E$12)*100,3)</f>
        <v>4.1100000000000003</v>
      </c>
    </row>
    <row r="9" spans="1:7">
      <c r="B9" s="9" t="s">
        <v>23</v>
      </c>
      <c r="C9" s="10">
        <f>COUNTIFS(Resp3[Vínculo],"tecnico",Resp3[3.08],B9)</f>
        <v>0</v>
      </c>
      <c r="D9" s="10">
        <f>COUNTIFS(Resp3[Vínculo],"docente",Resp3[3.08],B9)</f>
        <v>1</v>
      </c>
      <c r="E9" s="10">
        <f>COUNTIF(Resp3[3.08],B9)</f>
        <v>1</v>
      </c>
      <c r="F9" s="25">
        <f t="shared" si="0"/>
        <v>1.37</v>
      </c>
      <c r="G9" s="25">
        <f t="shared" si="1"/>
        <v>1.37</v>
      </c>
    </row>
    <row r="10" spans="1:7">
      <c r="B10" s="9" t="s">
        <v>22</v>
      </c>
      <c r="C10" s="10">
        <f>COUNTIFS(Resp3[Vínculo],"tecnico",Resp3[3.08],B10)</f>
        <v>1</v>
      </c>
      <c r="D10" s="10">
        <f>COUNTIFS(Resp3[Vínculo],"docente",Resp3[3.08],B10)</f>
        <v>8</v>
      </c>
      <c r="E10" s="10">
        <f>COUNTIF(Resp3[3.08],B10)</f>
        <v>9</v>
      </c>
      <c r="F10" s="25">
        <f t="shared" si="0"/>
        <v>12.33</v>
      </c>
      <c r="G10" s="25">
        <f t="shared" si="1"/>
        <v>12.329000000000001</v>
      </c>
    </row>
    <row r="11" spans="1:7">
      <c r="B11" s="9" t="s">
        <v>13</v>
      </c>
      <c r="C11" s="10">
        <f>COUNTIFS(Resp3[Vínculo],"tecnico",Resp3[3.08],B11)</f>
        <v>8</v>
      </c>
      <c r="D11" s="10">
        <f>COUNTIFS(Resp3[Vínculo],"docente",Resp3[3.08],B11)</f>
        <v>21</v>
      </c>
      <c r="E11" s="10">
        <f>COUNTIF(Resp3[3.08],B11)</f>
        <v>29</v>
      </c>
      <c r="F11" s="25">
        <f t="shared" si="0"/>
        <v>39.729999999999997</v>
      </c>
      <c r="G11" s="25">
        <f t="shared" si="1"/>
        <v>39.725999999999999</v>
      </c>
    </row>
    <row r="12" spans="1:7">
      <c r="B12" s="26" t="s">
        <v>18</v>
      </c>
      <c r="C12" s="10">
        <f>COUNTIFS(Resp3[Vínculo],"tecnico",Resp3[3.08],B12)</f>
        <v>6</v>
      </c>
      <c r="D12" s="10">
        <f>COUNTIFS(Resp3[Vínculo],"docente",Resp3[3.08],B12)</f>
        <v>15</v>
      </c>
      <c r="E12" s="10">
        <f>COUNTIF(Resp3[3.08],B12)</f>
        <v>21</v>
      </c>
      <c r="F12" s="102">
        <f t="shared" si="0"/>
        <v>28.77</v>
      </c>
      <c r="G12" s="25">
        <f t="shared" si="1"/>
        <v>28.766999999999999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5.8819999999999997</v>
      </c>
    </row>
    <row r="21" spans="2:7">
      <c r="B21" s="31" t="s">
        <v>22</v>
      </c>
      <c r="C21" s="31" t="s">
        <v>90</v>
      </c>
      <c r="D21" s="15">
        <f>C10</f>
        <v>1</v>
      </c>
      <c r="E21" s="44">
        <f>ROUND(D21/SUM(D$19:D$22)*100,3)</f>
        <v>5.8819999999999997</v>
      </c>
    </row>
    <row r="22" spans="2:7">
      <c r="B22" s="32" t="s">
        <v>96</v>
      </c>
      <c r="C22" s="32" t="s">
        <v>95</v>
      </c>
      <c r="D22" s="33">
        <f>SUM(C11:C12)</f>
        <v>14</v>
      </c>
      <c r="E22" s="45">
        <f>ROUND(D22/SUM(D$19:D$22)*100,3)</f>
        <v>82.352999999999994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5.3570000000000002</v>
      </c>
    </row>
    <row r="27" spans="2:7">
      <c r="B27" s="30" t="s">
        <v>181</v>
      </c>
      <c r="C27" s="30" t="s">
        <v>78</v>
      </c>
      <c r="D27" s="15">
        <f>D7</f>
        <v>9</v>
      </c>
      <c r="E27" s="44">
        <f>ROUND(D27/SUM(D$26:D$29)*100,3)</f>
        <v>16.071000000000002</v>
      </c>
    </row>
    <row r="28" spans="2:7">
      <c r="B28" s="31" t="s">
        <v>22</v>
      </c>
      <c r="C28" s="31" t="s">
        <v>90</v>
      </c>
      <c r="D28" s="15">
        <f>SUM(D10)</f>
        <v>8</v>
      </c>
      <c r="E28" s="44">
        <f>ROUND(D28/SUM(D$26:D$29)*100,3)</f>
        <v>14.286</v>
      </c>
    </row>
    <row r="29" spans="2:7">
      <c r="B29" s="32" t="s">
        <v>96</v>
      </c>
      <c r="C29" s="32" t="s">
        <v>95</v>
      </c>
      <c r="D29" s="33">
        <f>SUM(D11:D12)</f>
        <v>36</v>
      </c>
      <c r="E29" s="45">
        <f>ROUND(D29/SUM(D$26:D$29)*100,3)</f>
        <v>64.286000000000001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COUNTIFS(Resp3[Vínculo],"tecnico",Resp3[3.09],B7)</f>
        <v>1</v>
      </c>
      <c r="D7" s="10">
        <f>COUNTIFS(Resp3[Vínculo],"docente",Resp3[3.09],B7)</f>
        <v>6</v>
      </c>
      <c r="E7" s="10">
        <f>COUNTIF(Resp3[3.09],B7)</f>
        <v>7</v>
      </c>
      <c r="F7" s="25">
        <f t="shared" ref="F7:F13" si="0">ROUND($E7/$E$13*100,2)</f>
        <v>9.59</v>
      </c>
      <c r="G7" s="25">
        <f>ROUND($E7/SUM($E$7:$E$12)*100,3)</f>
        <v>9.5890000000000004</v>
      </c>
    </row>
    <row r="8" spans="1:7">
      <c r="B8" s="9" t="s">
        <v>21</v>
      </c>
      <c r="C8" s="10">
        <f>COUNTIFS(Resp3[Vínculo],"tecnico",Resp3[3.09],B8)</f>
        <v>1</v>
      </c>
      <c r="D8" s="10">
        <f>COUNTIFS(Resp3[Vínculo],"docente",Resp3[3.09],B8)</f>
        <v>4</v>
      </c>
      <c r="E8" s="10">
        <f>COUNTIF(Resp3[3.09],B8)</f>
        <v>5</v>
      </c>
      <c r="F8" s="25">
        <f t="shared" si="0"/>
        <v>6.85</v>
      </c>
      <c r="G8" s="25">
        <f t="shared" ref="G8:G12" si="1">ROUND($E8/SUM($E$7:$E$12)*100,3)</f>
        <v>6.8490000000000002</v>
      </c>
    </row>
    <row r="9" spans="1:7">
      <c r="B9" s="9" t="s">
        <v>23</v>
      </c>
      <c r="C9" s="10">
        <f>COUNTIFS(Resp3[Vínculo],"tecnico",Resp3[3.09],B9)</f>
        <v>0</v>
      </c>
      <c r="D9" s="10">
        <f>COUNTIFS(Resp3[Vínculo],"docente",Resp3[3.09],B9)</f>
        <v>2</v>
      </c>
      <c r="E9" s="10">
        <f>COUNTIF(Resp3[3.09],B9)</f>
        <v>2</v>
      </c>
      <c r="F9" s="25">
        <f t="shared" si="0"/>
        <v>2.74</v>
      </c>
      <c r="G9" s="25">
        <f t="shared" si="1"/>
        <v>2.74</v>
      </c>
    </row>
    <row r="10" spans="1:7">
      <c r="B10" s="9" t="s">
        <v>22</v>
      </c>
      <c r="C10" s="10">
        <f>COUNTIFS(Resp3[Vínculo],"tecnico",Resp3[3.09],B10)</f>
        <v>2</v>
      </c>
      <c r="D10" s="10">
        <f>COUNTIFS(Resp3[Vínculo],"docente",Resp3[3.09],B10)</f>
        <v>9</v>
      </c>
      <c r="E10" s="10">
        <f>COUNTIF(Resp3[3.09],B10)</f>
        <v>11</v>
      </c>
      <c r="F10" s="25">
        <f t="shared" si="0"/>
        <v>15.07</v>
      </c>
      <c r="G10" s="25">
        <f t="shared" si="1"/>
        <v>15.068</v>
      </c>
    </row>
    <row r="11" spans="1:7">
      <c r="B11" s="9" t="s">
        <v>13</v>
      </c>
      <c r="C11" s="10">
        <f>COUNTIFS(Resp3[Vínculo],"tecnico",Resp3[3.09],B11)</f>
        <v>9</v>
      </c>
      <c r="D11" s="10">
        <f>COUNTIFS(Resp3[Vínculo],"docente",Resp3[3.09],B11)</f>
        <v>16</v>
      </c>
      <c r="E11" s="10">
        <f>COUNTIF(Resp3[3.09],B11)</f>
        <v>25</v>
      </c>
      <c r="F11" s="25">
        <f t="shared" si="0"/>
        <v>34.25</v>
      </c>
      <c r="G11" s="25">
        <f t="shared" si="1"/>
        <v>34.247</v>
      </c>
    </row>
    <row r="12" spans="1:7">
      <c r="B12" s="26" t="s">
        <v>18</v>
      </c>
      <c r="C12" s="10">
        <f>COUNTIFS(Resp3[Vínculo],"tecnico",Resp3[3.09],B12)</f>
        <v>4</v>
      </c>
      <c r="D12" s="10">
        <f>COUNTIFS(Resp3[Vínculo],"docente",Resp3[3.09],B12)</f>
        <v>19</v>
      </c>
      <c r="E12" s="10">
        <f>COUNTIF(Resp3[3.09],B12)</f>
        <v>23</v>
      </c>
      <c r="F12" s="102">
        <f t="shared" si="0"/>
        <v>31.51</v>
      </c>
      <c r="G12" s="25">
        <f t="shared" si="1"/>
        <v>31.507000000000001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5.8819999999999997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10">
        <f>ROUND(D20/SUM(D$19:D$22)*100,3)</f>
        <v>5.8819999999999997</v>
      </c>
    </row>
    <row r="21" spans="2:7">
      <c r="B21" s="31" t="s">
        <v>22</v>
      </c>
      <c r="C21" s="31" t="s">
        <v>90</v>
      </c>
      <c r="D21" s="15">
        <f>C10</f>
        <v>2</v>
      </c>
      <c r="E21" s="10">
        <f>ROUND(D21/SUM(D$19:D$22)*100,3)</f>
        <v>11.765000000000001</v>
      </c>
    </row>
    <row r="22" spans="2:7">
      <c r="B22" s="32" t="s">
        <v>96</v>
      </c>
      <c r="C22" s="32" t="s">
        <v>95</v>
      </c>
      <c r="D22" s="33">
        <f>SUM(C11:C12)</f>
        <v>13</v>
      </c>
      <c r="E22" s="34">
        <f>ROUND(D22/SUM(D$19:D$22)*100,3)</f>
        <v>76.471000000000004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6</v>
      </c>
      <c r="E26" s="44">
        <f>ROUND(D26/SUM(D$26:D$29)*100,3)</f>
        <v>10.714</v>
      </c>
    </row>
    <row r="27" spans="2:7">
      <c r="B27" s="30" t="s">
        <v>181</v>
      </c>
      <c r="C27" s="30" t="s">
        <v>78</v>
      </c>
      <c r="D27" s="15">
        <f>D7</f>
        <v>6</v>
      </c>
      <c r="E27" s="44">
        <f>ROUND(D27/SUM(D$26:D$29)*100,3)</f>
        <v>10.714</v>
      </c>
    </row>
    <row r="28" spans="2:7">
      <c r="B28" s="31" t="s">
        <v>22</v>
      </c>
      <c r="C28" s="31" t="s">
        <v>90</v>
      </c>
      <c r="D28" s="15">
        <f>SUM(D10)</f>
        <v>9</v>
      </c>
      <c r="E28" s="44">
        <f>ROUND(D28/SUM(D$26:D$29)*100,3)</f>
        <v>16.071000000000002</v>
      </c>
    </row>
    <row r="29" spans="2:7">
      <c r="B29" s="32" t="s">
        <v>96</v>
      </c>
      <c r="C29" s="32" t="s">
        <v>95</v>
      </c>
      <c r="D29" s="33">
        <f>SUM(D11:D12)</f>
        <v>35</v>
      </c>
      <c r="E29" s="45">
        <f>ROUND(D29/SUM(D$26:D$29)*100,3)</f>
        <v>62.5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COUNTIFS(Resp3[Vínculo],"tecnico",Resp3[3.10],B7)</f>
        <v>1</v>
      </c>
      <c r="D7" s="10">
        <f>COUNTIFS(Resp3[Vínculo],"docente",Resp3[3.10],B7)</f>
        <v>12</v>
      </c>
      <c r="E7" s="10">
        <f>COUNTIF(Resp3[3.10],B7)</f>
        <v>13</v>
      </c>
      <c r="F7" s="25">
        <f t="shared" ref="F7:F13" si="0">ROUND($E7/$E$13*100,2)</f>
        <v>17.809999999999999</v>
      </c>
      <c r="G7" s="25">
        <f>ROUND($E7/SUM($E$7:$E$12)*100,3)</f>
        <v>17.808</v>
      </c>
    </row>
    <row r="8" spans="1:7">
      <c r="B8" s="9" t="s">
        <v>21</v>
      </c>
      <c r="C8" s="10">
        <f>COUNTIFS(Resp3[Vínculo],"tecnico",Resp3[3.10],B8)</f>
        <v>1</v>
      </c>
      <c r="D8" s="10">
        <f>COUNTIFS(Resp3[Vínculo],"docente",Resp3[3.10],B8)</f>
        <v>2</v>
      </c>
      <c r="E8" s="10">
        <f>COUNTIF(Resp3[3.10],B8)</f>
        <v>3</v>
      </c>
      <c r="F8" s="25">
        <f t="shared" si="0"/>
        <v>4.1100000000000003</v>
      </c>
      <c r="G8" s="25">
        <f t="shared" ref="G8:G12" si="1">ROUND($E8/SUM($E$7:$E$12)*100,3)</f>
        <v>4.1100000000000003</v>
      </c>
    </row>
    <row r="9" spans="1:7">
      <c r="B9" s="9" t="s">
        <v>23</v>
      </c>
      <c r="C9" s="10">
        <f>COUNTIFS(Resp3[Vínculo],"tecnico",Resp3[3.10],B9)</f>
        <v>0</v>
      </c>
      <c r="D9" s="10">
        <f>COUNTIFS(Resp3[Vínculo],"docente",Resp3[3.10],B9)</f>
        <v>4</v>
      </c>
      <c r="E9" s="10">
        <f>COUNTIF(Resp3[3.10],B9)</f>
        <v>4</v>
      </c>
      <c r="F9" s="25">
        <f t="shared" si="0"/>
        <v>5.48</v>
      </c>
      <c r="G9" s="25">
        <f t="shared" si="1"/>
        <v>5.4790000000000001</v>
      </c>
    </row>
    <row r="10" spans="1:7">
      <c r="B10" s="9" t="s">
        <v>22</v>
      </c>
      <c r="C10" s="10">
        <f>COUNTIFS(Resp3[Vínculo],"tecnico",Resp3[3.10],B10)</f>
        <v>3</v>
      </c>
      <c r="D10" s="10">
        <f>COUNTIFS(Resp3[Vínculo],"docente",Resp3[3.10],B10)</f>
        <v>6</v>
      </c>
      <c r="E10" s="10">
        <f>COUNTIF(Resp3[3.10],B10)</f>
        <v>9</v>
      </c>
      <c r="F10" s="25">
        <f t="shared" si="0"/>
        <v>12.33</v>
      </c>
      <c r="G10" s="25">
        <f t="shared" si="1"/>
        <v>12.329000000000001</v>
      </c>
    </row>
    <row r="11" spans="1:7">
      <c r="B11" s="9" t="s">
        <v>13</v>
      </c>
      <c r="C11" s="10">
        <f>COUNTIFS(Resp3[Vínculo],"tecnico",Resp3[3.10],B11)</f>
        <v>8</v>
      </c>
      <c r="D11" s="10">
        <f>COUNTIFS(Resp3[Vínculo],"docente",Resp3[3.10],B11)</f>
        <v>17</v>
      </c>
      <c r="E11" s="10">
        <f>COUNTIF(Resp3[3.10],B11)</f>
        <v>25</v>
      </c>
      <c r="F11" s="25">
        <f t="shared" si="0"/>
        <v>34.25</v>
      </c>
      <c r="G11" s="25">
        <f t="shared" si="1"/>
        <v>34.247</v>
      </c>
    </row>
    <row r="12" spans="1:7">
      <c r="B12" s="26" t="s">
        <v>18</v>
      </c>
      <c r="C12" s="10">
        <f>COUNTIFS(Resp3[Vínculo],"tecnico",Resp3[3.10],B12)</f>
        <v>4</v>
      </c>
      <c r="D12" s="10">
        <f>COUNTIFS(Resp3[Vínculo],"docente",Resp3[3.10],B12)</f>
        <v>15</v>
      </c>
      <c r="E12" s="10">
        <f>COUNTIF(Resp3[3.10],B12)</f>
        <v>19</v>
      </c>
      <c r="F12" s="102">
        <f t="shared" si="0"/>
        <v>26.03</v>
      </c>
      <c r="G12" s="25">
        <f t="shared" si="1"/>
        <v>26.027000000000001</v>
      </c>
    </row>
    <row r="13" spans="1:7">
      <c r="B13" s="27" t="s">
        <v>167</v>
      </c>
      <c r="C13" s="11">
        <f>SUM(C6:C12)</f>
        <v>17</v>
      </c>
      <c r="D13" s="11">
        <f>SUM(D6:D12)</f>
        <v>56</v>
      </c>
      <c r="E13" s="11">
        <f>SUM(C13:D13)</f>
        <v>73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5.8819999999999997</v>
      </c>
    </row>
    <row r="20" spans="2:5">
      <c r="B20" s="30" t="s">
        <v>181</v>
      </c>
      <c r="C20" s="30" t="s">
        <v>78</v>
      </c>
      <c r="D20" s="15">
        <f>C7</f>
        <v>1</v>
      </c>
      <c r="E20" s="10">
        <f>ROUND(D20/SUM(D$19:D$22)*100,3)</f>
        <v>5.8819999999999997</v>
      </c>
    </row>
    <row r="21" spans="2:5">
      <c r="B21" s="31" t="s">
        <v>22</v>
      </c>
      <c r="C21" s="31" t="s">
        <v>90</v>
      </c>
      <c r="D21" s="15">
        <f>C10</f>
        <v>3</v>
      </c>
      <c r="E21" s="10">
        <f>ROUND(D21/SUM(D$19:D$22)*100,3)</f>
        <v>17.646999999999998</v>
      </c>
    </row>
    <row r="22" spans="2:5">
      <c r="B22" s="32" t="s">
        <v>96</v>
      </c>
      <c r="C22" s="32" t="s">
        <v>95</v>
      </c>
      <c r="D22" s="33">
        <f>SUM(C11:C12)</f>
        <v>12</v>
      </c>
      <c r="E22" s="34">
        <f>ROUND(D22/SUM(D$19:D$22)*100,3)</f>
        <v>70.587999999999994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6</v>
      </c>
      <c r="E26" s="44">
        <f>ROUND(D26/SUM(D$26:D$29)*100,3)</f>
        <v>10.714</v>
      </c>
    </row>
    <row r="27" spans="2:5">
      <c r="B27" s="30" t="s">
        <v>181</v>
      </c>
      <c r="C27" s="30" t="s">
        <v>78</v>
      </c>
      <c r="D27" s="15">
        <f>D7</f>
        <v>12</v>
      </c>
      <c r="E27" s="44">
        <f>ROUND(D27/SUM(D$26:D$29)*100,3)</f>
        <v>21.428999999999998</v>
      </c>
    </row>
    <row r="28" spans="2:5">
      <c r="B28" s="31" t="s">
        <v>22</v>
      </c>
      <c r="C28" s="31" t="s">
        <v>90</v>
      </c>
      <c r="D28" s="15">
        <f>SUM(D10)</f>
        <v>6</v>
      </c>
      <c r="E28" s="44">
        <f>ROUND(D28/SUM(D$26:D$29)*100,3)</f>
        <v>10.714</v>
      </c>
    </row>
    <row r="29" spans="2:5">
      <c r="B29" s="32" t="s">
        <v>96</v>
      </c>
      <c r="C29" s="32" t="s">
        <v>95</v>
      </c>
      <c r="D29" s="33">
        <f>SUM(D11:D12)</f>
        <v>32</v>
      </c>
      <c r="E29" s="45">
        <f>ROUND(D29/SUM(D$26:D$29)*100,3)</f>
        <v>57.143000000000001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C27" zoomScaleNormal="100" workbookViewId="0">
      <selection activeCell="A36" sqref="A36:XFD63"/>
    </sheetView>
  </sheetViews>
  <sheetFormatPr defaultRowHeight="15"/>
  <cols>
    <col min="1" max="1" width="19.7109375" style="54" customWidth="1"/>
    <col min="2" max="2" width="30.7109375" style="54" customWidth="1"/>
    <col min="3" max="3" width="27.1406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19</v>
      </c>
      <c r="B26" s="87">
        <f>COUNTIF(Resp2[Vínculo],A26)</f>
        <v>18</v>
      </c>
      <c r="C26" s="87">
        <f>COUNTIF(Resp3[Vínculo],A26)</f>
        <v>17</v>
      </c>
      <c r="D26" s="87">
        <v>38</v>
      </c>
      <c r="E26" s="88">
        <f>ROUND(B26/$D26*100,3)</f>
        <v>47.368000000000002</v>
      </c>
      <c r="F26" s="88">
        <f>ROUND(C26/$D26*100,3)</f>
        <v>44.737000000000002</v>
      </c>
    </row>
    <row r="27" spans="1:15">
      <c r="A27" s="86" t="s">
        <v>8</v>
      </c>
      <c r="B27" s="87">
        <f>COUNTIF(Resp2[Vínculo],A27)</f>
        <v>56</v>
      </c>
      <c r="C27" s="87">
        <f>COUNTIF(Resp3[Vínculo],A27)</f>
        <v>56</v>
      </c>
      <c r="D27" s="87">
        <v>143</v>
      </c>
      <c r="E27" s="88">
        <f t="shared" ref="E27:E28" si="0">ROUND(B27/$D27*100,3)</f>
        <v>39.161000000000001</v>
      </c>
      <c r="F27" s="88">
        <f t="shared" ref="F27:F28" si="1">ROUND(C27/$D27*100,3)</f>
        <v>39.161000000000001</v>
      </c>
    </row>
    <row r="28" spans="1:15">
      <c r="A28" s="89" t="s">
        <v>65</v>
      </c>
      <c r="B28" s="87">
        <f>SUM(B26:B27)</f>
        <v>74</v>
      </c>
      <c r="C28" s="87">
        <f>SUM(C26:C27)</f>
        <v>73</v>
      </c>
      <c r="D28" s="87">
        <f>SUM(D26:D27)</f>
        <v>181</v>
      </c>
      <c r="E28" s="88">
        <f t="shared" si="0"/>
        <v>40.884</v>
      </c>
      <c r="F28" s="88">
        <f t="shared" si="1"/>
        <v>40.331000000000003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22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1706</v>
      </c>
      <c r="D6" s="9">
        <f>1724-SUM(D7:D11)</f>
        <v>1673</v>
      </c>
      <c r="E6" s="10">
        <f>1724-SUM(E7:E11)</f>
        <v>1655</v>
      </c>
      <c r="F6" s="25">
        <f>ROUND($E6/1724*100,2)</f>
        <v>96</v>
      </c>
    </row>
    <row r="7" spans="1:7">
      <c r="B7" s="9" t="s">
        <v>20</v>
      </c>
      <c r="C7" s="10">
        <f>COUNTIFS(Resp2[Vínculo],"tecnico",Resp2[2.06],B7)</f>
        <v>4</v>
      </c>
      <c r="D7" s="10">
        <f>COUNTIFS(Resp2[Vínculo],"docente",Resp2[2.06],B7)</f>
        <v>5</v>
      </c>
      <c r="E7" s="10">
        <f>COUNTIF(Resp2[2.06],B7)</f>
        <v>9</v>
      </c>
      <c r="F7" s="25">
        <f>ROUND($E7/1724*100,2)</f>
        <v>0.52</v>
      </c>
      <c r="G7" s="25">
        <f>ROUND($E7/SUM($E$7:$E$11)*100,3)</f>
        <v>13.042999999999999</v>
      </c>
    </row>
    <row r="8" spans="1:7">
      <c r="B8" s="9" t="s">
        <v>21</v>
      </c>
      <c r="C8" s="10">
        <f>COUNTIFS(Resp2[Vínculo],"tecnico",Resp2[2.06],B8)</f>
        <v>0</v>
      </c>
      <c r="D8" s="10">
        <f>COUNTIFS(Resp2[Vínculo],"docente",Resp2[2.06],B8)</f>
        <v>3</v>
      </c>
      <c r="E8" s="10">
        <f>COUNTIF(Resp2[2.06],B8)</f>
        <v>3</v>
      </c>
      <c r="F8" s="25">
        <f t="shared" ref="F8:F12" si="0">ROUND($E8/1724*100,2)</f>
        <v>0.17</v>
      </c>
      <c r="G8" s="25">
        <f t="shared" ref="G8:G11" si="1">ROUND($E8/SUM($E$7:$E$11)*100,3)</f>
        <v>4.3479999999999999</v>
      </c>
    </row>
    <row r="9" spans="1:7">
      <c r="B9" s="9" t="s">
        <v>22</v>
      </c>
      <c r="C9" s="10">
        <f>COUNTIFS(Resp2[Vínculo],"tecnico",Resp2[2.06],B9)</f>
        <v>8</v>
      </c>
      <c r="D9" s="10">
        <f>COUNTIFS(Resp2[Vínculo],"docente",Resp2[2.06],B9)</f>
        <v>17</v>
      </c>
      <c r="E9" s="10">
        <f>COUNTIF(Resp2[2.06],B9)</f>
        <v>25</v>
      </c>
      <c r="F9" s="25">
        <f t="shared" si="0"/>
        <v>1.45</v>
      </c>
      <c r="G9" s="25">
        <f t="shared" si="1"/>
        <v>36.231999999999999</v>
      </c>
    </row>
    <row r="10" spans="1:7">
      <c r="B10" s="9" t="s">
        <v>13</v>
      </c>
      <c r="C10" s="10">
        <f>COUNTIFS(Resp2[Vínculo],"tecnico",Resp2[2.06],B10)</f>
        <v>4</v>
      </c>
      <c r="D10" s="10">
        <f>COUNTIFS(Resp2[Vínculo],"docente",Resp2[2.06],B10)</f>
        <v>20</v>
      </c>
      <c r="E10" s="10">
        <f>COUNTIF(Resp2[2.06],B10)</f>
        <v>24</v>
      </c>
      <c r="F10" s="25">
        <f t="shared" si="0"/>
        <v>1.39</v>
      </c>
      <c r="G10" s="25">
        <f t="shared" si="1"/>
        <v>34.783000000000001</v>
      </c>
    </row>
    <row r="11" spans="1:7">
      <c r="B11" s="26" t="s">
        <v>18</v>
      </c>
      <c r="C11" s="10">
        <f>COUNTIFS(Resp2[Vínculo],"tecnico",Resp2[2.06],B11)</f>
        <v>2</v>
      </c>
      <c r="D11" s="10">
        <f>COUNTIFS(Resp2[Vínculo],"docente",Resp2[2.06],B11)</f>
        <v>6</v>
      </c>
      <c r="E11" s="10">
        <f>COUNTIF(Resp2[2.06],B11)</f>
        <v>8</v>
      </c>
      <c r="F11" s="25">
        <f t="shared" si="0"/>
        <v>0.46</v>
      </c>
      <c r="G11" s="25">
        <f t="shared" si="1"/>
        <v>11.593999999999999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1454</v>
      </c>
      <c r="D6" s="9">
        <f>1470-SUM(D7:D11)</f>
        <v>1421</v>
      </c>
      <c r="E6" s="10">
        <f>1470-SUM(E7:E11)</f>
        <v>1405</v>
      </c>
      <c r="F6" s="25">
        <f>ROUND($E6/1470*100,2)</f>
        <v>95.58</v>
      </c>
    </row>
    <row r="7" spans="1:7">
      <c r="B7" s="9" t="s">
        <v>20</v>
      </c>
      <c r="C7" s="10">
        <f>COUNTIFS(Resp3[Vínculo],"tecnico",Resp3[3.01],B7)</f>
        <v>3</v>
      </c>
      <c r="D7" s="10">
        <f>COUNTIFS(Resp3[Vínculo],"docente",Resp3[3.01],B7)</f>
        <v>21</v>
      </c>
      <c r="E7" s="10">
        <f>COUNTIF(Resp3[3.01],B7)</f>
        <v>24</v>
      </c>
      <c r="F7" s="25">
        <f t="shared" ref="F7:F12" si="0">ROUND($E7/1470*100,2)</f>
        <v>1.63</v>
      </c>
      <c r="G7" s="25">
        <f>ROUND($E7/SUM($E$7:$E$11)*100,3)</f>
        <v>36.923000000000002</v>
      </c>
    </row>
    <row r="8" spans="1:7">
      <c r="B8" s="9" t="s">
        <v>21</v>
      </c>
      <c r="C8" s="10">
        <f>COUNTIFS(Resp3[Vínculo],"tecnico",Resp3[3.01],B8)</f>
        <v>1</v>
      </c>
      <c r="D8" s="10">
        <f>COUNTIFS(Resp3[Vínculo],"docente",Resp3[3.01],B8)</f>
        <v>4</v>
      </c>
      <c r="E8" s="10">
        <f>COUNTIF(Resp3[3.01],B8)</f>
        <v>5</v>
      </c>
      <c r="F8" s="25">
        <f t="shared" si="0"/>
        <v>0.34</v>
      </c>
      <c r="G8" s="25">
        <f t="shared" ref="G8:G11" si="1">ROUND($E8/SUM($E$7:$E$11)*100,3)</f>
        <v>7.6920000000000002</v>
      </c>
    </row>
    <row r="9" spans="1:7">
      <c r="B9" s="9" t="s">
        <v>22</v>
      </c>
      <c r="C9" s="10">
        <f>COUNTIFS(Resp3[Vínculo],"tecnico",Resp3[3.01],B9)</f>
        <v>1</v>
      </c>
      <c r="D9" s="10">
        <f>COUNTIFS(Resp3[Vínculo],"docente",Resp3[3.01],B9)</f>
        <v>9</v>
      </c>
      <c r="E9" s="10">
        <f>COUNTIF(Resp3[3.01],B9)</f>
        <v>10</v>
      </c>
      <c r="F9" s="25">
        <f t="shared" si="0"/>
        <v>0.68</v>
      </c>
      <c r="G9" s="25">
        <f t="shared" si="1"/>
        <v>15.385</v>
      </c>
    </row>
    <row r="10" spans="1:7">
      <c r="B10" s="9" t="s">
        <v>13</v>
      </c>
      <c r="C10" s="10">
        <f>COUNTIFS(Resp3[Vínculo],"tecnico",Resp3[3.01],B10)</f>
        <v>10</v>
      </c>
      <c r="D10" s="10">
        <f>COUNTIFS(Resp3[Vínculo],"docente",Resp3[3.01],B10)</f>
        <v>13</v>
      </c>
      <c r="E10" s="10">
        <f>COUNTIF(Resp3[3.01],B10)</f>
        <v>23</v>
      </c>
      <c r="F10" s="25">
        <f t="shared" si="0"/>
        <v>1.56</v>
      </c>
      <c r="G10" s="25">
        <f t="shared" si="1"/>
        <v>35.384999999999998</v>
      </c>
    </row>
    <row r="11" spans="1:7">
      <c r="B11" s="26" t="s">
        <v>18</v>
      </c>
      <c r="C11" s="10">
        <f>COUNTIFS(Resp3[Vínculo],"tecnico",Resp3[3.01],B11)</f>
        <v>1</v>
      </c>
      <c r="D11" s="10">
        <f>COUNTIFS(Resp3[Vínculo],"docente",Resp3[3.01],B11)</f>
        <v>2</v>
      </c>
      <c r="E11" s="10">
        <f>COUNTIF(Resp3[3.01],B11)</f>
        <v>3</v>
      </c>
      <c r="F11" s="25">
        <f t="shared" si="0"/>
        <v>0.2</v>
      </c>
      <c r="G11" s="25">
        <f t="shared" si="1"/>
        <v>4.6150000000000002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99.999999999999986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0" zoomScale="90" zoomScaleNormal="90" workbookViewId="0">
      <selection activeCell="D38" sqref="D38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9</v>
      </c>
      <c r="D7" s="18">
        <f>COUNTIFS(Resp2[Vínculo],"docente",Resp2[2.01],C17)</f>
        <v>18</v>
      </c>
      <c r="E7" s="13">
        <f>COUNTIF(Resp2[2.01],C17)</f>
        <v>27</v>
      </c>
      <c r="F7" s="14">
        <f>ROUND($E7/$E$10*100,2)</f>
        <v>36.49</v>
      </c>
      <c r="G7" s="13">
        <f>ROUND($E7/SUM($E$7:$E$9)*100,2)</f>
        <v>36.49</v>
      </c>
    </row>
    <row r="8" spans="1:8" ht="15" customHeight="1">
      <c r="B8" s="18" t="s">
        <v>84</v>
      </c>
      <c r="C8" s="18">
        <f>COUNTIFS(Resp2[Vínculo],"tecnico",Resp2[2.01],C18)</f>
        <v>6</v>
      </c>
      <c r="D8" s="18">
        <f>COUNTIFS(Resp2[Vínculo],"docente",Resp2[2.01],C18)</f>
        <v>14</v>
      </c>
      <c r="E8" s="13">
        <f>COUNTIF(Resp2[2.01],C18)</f>
        <v>20</v>
      </c>
      <c r="F8" s="14">
        <f t="shared" ref="F8:F10" si="0">ROUND($E8/$E$10*100,2)</f>
        <v>27.03</v>
      </c>
      <c r="G8" s="13">
        <f>ROUND($E8/SUM($E$7:$E$9)*100,2)</f>
        <v>27.03</v>
      </c>
    </row>
    <row r="9" spans="1:8" ht="15" customHeight="1">
      <c r="B9" s="18" t="s">
        <v>94</v>
      </c>
      <c r="C9" s="18">
        <f>COUNTIFS(Resp2[Vínculo],"tecnico",Resp2[2.01],C19)</f>
        <v>3</v>
      </c>
      <c r="D9" s="95">
        <f>COUNTIFS(Resp2[Vínculo],"docente",Resp2[2.01],C19)</f>
        <v>24</v>
      </c>
      <c r="E9" s="96">
        <f>COUNTIF(Resp2[2.01],C19)</f>
        <v>27</v>
      </c>
      <c r="F9" s="97">
        <f t="shared" si="0"/>
        <v>36.49</v>
      </c>
      <c r="G9" s="96">
        <f>ROUND($E9/SUM($E$7:$E$9)*100,2)</f>
        <v>36.49</v>
      </c>
    </row>
    <row r="10" spans="1:8" ht="15" customHeight="1">
      <c r="B10" s="11" t="s">
        <v>167</v>
      </c>
      <c r="C10" s="11">
        <f>SUM(C6:C9)</f>
        <v>18</v>
      </c>
      <c r="D10" s="9">
        <f>SUM(D6:D9)</f>
        <v>56</v>
      </c>
      <c r="E10" s="15">
        <f>SUM(C10:D10)</f>
        <v>74</v>
      </c>
      <c r="F10" s="104">
        <f t="shared" si="0"/>
        <v>100</v>
      </c>
      <c r="G10" s="103">
        <f>SUM(G7:G9)</f>
        <v>100.01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10</v>
      </c>
    </row>
    <row r="18" spans="1:5" ht="15" customHeight="1">
      <c r="B18" t="s">
        <v>84</v>
      </c>
      <c r="C18" s="21" t="s">
        <v>17</v>
      </c>
    </row>
    <row r="19" spans="1:5">
      <c r="B19" t="s">
        <v>94</v>
      </c>
      <c r="C19" s="21" t="s">
        <v>14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3</v>
      </c>
      <c r="E25" s="44">
        <f>ROUND(D25/SUM(D$25:D$28)*100,3)</f>
        <v>16.667000000000002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6</v>
      </c>
      <c r="E27" s="44">
        <f t="shared" ref="E27:E28" si="1">ROUND(D27/SUM(D$25:D$28)*100,3)</f>
        <v>33.332999999999998</v>
      </c>
    </row>
    <row r="28" spans="1:5">
      <c r="B28" s="52" t="s">
        <v>83</v>
      </c>
      <c r="C28" s="52" t="s">
        <v>95</v>
      </c>
      <c r="D28" s="33">
        <f>C7</f>
        <v>9</v>
      </c>
      <c r="E28" s="45">
        <f t="shared" si="1"/>
        <v>50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24</v>
      </c>
      <c r="E34" s="44">
        <f>ROUND(D34/SUM(D$34:D$37)*100,3)</f>
        <v>42.856999999999999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14</v>
      </c>
      <c r="E36" s="44">
        <f t="shared" ref="E36:E37" si="2">ROUND(D36/SUM(D$34:D$37)*100,3)</f>
        <v>25</v>
      </c>
    </row>
    <row r="37" spans="1:5">
      <c r="B37" s="52" t="s">
        <v>83</v>
      </c>
      <c r="C37" s="52" t="s">
        <v>95</v>
      </c>
      <c r="D37" s="33">
        <f>D7</f>
        <v>18</v>
      </c>
      <c r="E37" s="45">
        <f t="shared" si="2"/>
        <v>32.143000000000001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9</v>
      </c>
      <c r="D7" s="17">
        <f>COUNTIFS(Resp2[Vínculo],"docente",Resp2[2.02],C17)</f>
        <v>35</v>
      </c>
      <c r="E7" s="15">
        <f>COUNTIF(Resp2[2.02],C17)</f>
        <v>44</v>
      </c>
      <c r="F7" s="10">
        <f>ROUND($E7/$E$9*100,2)</f>
        <v>59.46</v>
      </c>
      <c r="G7" s="9">
        <f>ROUND($E7/SUM($E$7:$E$8)*100,2)</f>
        <v>59.46</v>
      </c>
    </row>
    <row r="8" spans="1:7">
      <c r="B8" s="17" t="s">
        <v>84</v>
      </c>
      <c r="C8" s="17">
        <f>COUNTIFS(Resp2[Vínculo],"tecnico",Resp2[2.02],C18)</f>
        <v>9</v>
      </c>
      <c r="D8" s="98">
        <f>COUNTIFS(Resp2[Vínculo],"docente",Resp2[2.02],C18)</f>
        <v>21</v>
      </c>
      <c r="E8" s="99">
        <f>COUNTIF(Resp2[2.02],C18)</f>
        <v>30</v>
      </c>
      <c r="F8" s="100">
        <f>ROUND($E8/$E$9*100,2)</f>
        <v>40.54</v>
      </c>
      <c r="G8" s="101">
        <f>ROUND($E8/SUM($E$7:$E$8)*100,2)</f>
        <v>40.54</v>
      </c>
    </row>
    <row r="9" spans="1:7">
      <c r="B9" s="11" t="s">
        <v>167</v>
      </c>
      <c r="C9" s="11">
        <f>SUM(C6:C8)</f>
        <v>18</v>
      </c>
      <c r="D9" s="9">
        <f>SUM(D6:D8)</f>
        <v>56</v>
      </c>
      <c r="E9" s="9">
        <f>SUM(C9:D9)</f>
        <v>74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15</v>
      </c>
    </row>
    <row r="18" spans="1:5">
      <c r="B18" t="s">
        <v>84</v>
      </c>
      <c r="C18" s="24" t="s">
        <v>11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9</v>
      </c>
      <c r="E22" s="44">
        <f>ROUND(D22/SUM(D$22:D$25)*100,3)</f>
        <v>50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9</v>
      </c>
      <c r="E25" s="45">
        <f>ROUND(D25/SUM(D$22:D$25)*100,3)</f>
        <v>50</v>
      </c>
    </row>
    <row r="26" spans="1:5">
      <c r="A26" s="130"/>
      <c r="D26">
        <f>SUM(D22:D25)</f>
        <v>18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35</v>
      </c>
      <c r="E29" s="44">
        <f>ROUND(D29/SUM(D$29:D$32)*100,3)</f>
        <v>62.5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21</v>
      </c>
      <c r="E32" s="45">
        <f>ROUND(D32/SUM(D$29:D$32)*100,3)</f>
        <v>37.5</v>
      </c>
    </row>
    <row r="33" spans="4:4">
      <c r="D33">
        <f>SUM(D29:D32)</f>
        <v>56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10</v>
      </c>
      <c r="D7" s="10">
        <f>COUNTIFS(Resp2[Vínculo],"docente",Resp2[2.03],B7)</f>
        <v>28</v>
      </c>
      <c r="E7" s="9">
        <f>COUNTIF(Resp2[2.03],B7)</f>
        <v>38</v>
      </c>
      <c r="F7" s="10">
        <f t="shared" ref="F7:F9" si="0">ROUND($E7/$E$9*100,2)</f>
        <v>51.35</v>
      </c>
      <c r="G7" s="10">
        <f>ROUND($E7/SUM($E$7:$E$8)*100,2)</f>
        <v>51.35</v>
      </c>
    </row>
    <row r="8" spans="1:7">
      <c r="B8" s="9" t="s">
        <v>16</v>
      </c>
      <c r="C8" s="10">
        <f>COUNTIFS(Resp2[Vínculo],"tecnico",Resp2[2.03],B8)</f>
        <v>8</v>
      </c>
      <c r="D8" s="10">
        <f>COUNTIFS(Resp2[Vínculo],"docente",Resp2[2.03],B8)</f>
        <v>28</v>
      </c>
      <c r="E8" s="9">
        <f>COUNTIF(Resp2[2.03],B8)</f>
        <v>36</v>
      </c>
      <c r="F8" s="100">
        <f>ROUND($E8/$E$9*100,2)</f>
        <v>48.65</v>
      </c>
      <c r="G8" s="100">
        <f>ROUND($E8/SUM($E$7:$E$8)*100,2)</f>
        <v>48.65</v>
      </c>
    </row>
    <row r="9" spans="1:7">
      <c r="B9" s="11" t="s">
        <v>167</v>
      </c>
      <c r="C9" s="11">
        <f>SUM(C6:C8)</f>
        <v>18</v>
      </c>
      <c r="D9" s="11">
        <f>SUM(D6:D8)</f>
        <v>56</v>
      </c>
      <c r="E9" s="11">
        <f>SUM(C9:D9)</f>
        <v>74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2022-01-14T17:15:18Z</dcterms:modified>
  <cp:category/>
  <cp:contentStatus/>
</cp:coreProperties>
</file>