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7" documentId="11_AB451C95AC58D686E8F4E82D9AEE302A16BE26E1" xr6:coauthVersionLast="47" xr6:coauthVersionMax="47" xr10:uidLastSave="{4726DF1C-D4BF-4E63-98BA-DA7F5A1226A5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6" s="1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8" i="16"/>
  <c r="F12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7" i="16" l="1"/>
  <c r="F11" i="16"/>
  <c r="E6" i="16"/>
  <c r="F6" i="16" s="1"/>
  <c r="F9" i="16"/>
  <c r="F10" i="16"/>
  <c r="F13" i="14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<sst xmlns="http://schemas.openxmlformats.org/spreadsheetml/2006/main" count="1272" uniqueCount="180">
  <si>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</si>
  <si>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</si>
  <si>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</si>
  <si>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</si>
  <si>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</si>
  <si>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</si>
  <si>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</si>
  <si>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</si>
  <si>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</si>
  <si>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PROGRAD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</si>
  <si>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</si>
  <si>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</si>
  <si>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</si>
  <si>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Bom</t>
  </si>
  <si>
    <t>Excelente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</si>
  <si>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</si>
  <si>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</si>
  <si>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Não</t>
  </si>
  <si>
    <t>Regular</t>
  </si>
  <si>
    <t>Ruim</t>
  </si>
  <si>
    <t>Na minha unidade, participamos efetivamente da elaboração do planejamento interno, mas não utilizamos os resultados da Autoavaliação</t>
  </si>
  <si>
    <t>Não sei responder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</si>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</sst>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1697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904896"/>
        <c:axId val="51906432"/>
      </c:barChart>
      <c:catAx>
        <c:axId val="519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06432"/>
        <c:crosses val="autoZero"/>
        <c:auto val="1"/>
        <c:lblAlgn val="ctr"/>
        <c:lblOffset val="100"/>
        <c:noMultiLvlLbl val="0"/>
      </c:catAx>
      <c:valAx>
        <c:axId val="519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0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451648"/>
        <c:axId val="101453184"/>
      </c:barChart>
      <c:catAx>
        <c:axId val="1014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53184"/>
        <c:crosses val="autoZero"/>
        <c:auto val="1"/>
        <c:lblAlgn val="ctr"/>
        <c:lblOffset val="100"/>
        <c:noMultiLvlLbl val="0"/>
      </c:catAx>
      <c:valAx>
        <c:axId val="1014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13.333</c:v>
                </c:pt>
                <c:pt idx="1">
                  <c:v>10</c:v>
                </c:pt>
                <c:pt idx="2">
                  <c:v>20</c:v>
                </c:pt>
                <c:pt idx="3">
                  <c:v>56.667000000000002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10</c:v>
                </c:pt>
                <c:pt idx="1">
                  <c:v>3.3330000000000002</c:v>
                </c:pt>
                <c:pt idx="2">
                  <c:v>26.667000000000002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11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928384"/>
        <c:axId val="102929920"/>
      </c:barChart>
      <c:catAx>
        <c:axId val="1029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29920"/>
        <c:crosses val="autoZero"/>
        <c:auto val="1"/>
        <c:lblAlgn val="ctr"/>
        <c:lblOffset val="100"/>
        <c:noMultiLvlLbl val="0"/>
      </c:catAx>
      <c:valAx>
        <c:axId val="1029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45280"/>
        <c:axId val="100546816"/>
      </c:barChart>
      <c:catAx>
        <c:axId val="1005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46816"/>
        <c:crosses val="autoZero"/>
        <c:auto val="1"/>
        <c:lblAlgn val="ctr"/>
        <c:lblOffset val="100"/>
        <c:noMultiLvlLbl val="0"/>
      </c:catAx>
      <c:valAx>
        <c:axId val="1005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16.667000000000002</c:v>
                </c:pt>
                <c:pt idx="2">
                  <c:v>23.332999999999998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288832"/>
        <c:axId val="103290368"/>
      </c:barChart>
      <c:catAx>
        <c:axId val="1032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90368"/>
        <c:crosses val="autoZero"/>
        <c:auto val="1"/>
        <c:lblAlgn val="ctr"/>
        <c:lblOffset val="100"/>
        <c:noMultiLvlLbl val="0"/>
      </c:catAx>
      <c:valAx>
        <c:axId val="10329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8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16.667000000000002</c:v>
                </c:pt>
                <c:pt idx="2">
                  <c:v>13.333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714368"/>
        <c:axId val="102732544"/>
      </c:barChart>
      <c:catAx>
        <c:axId val="1027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32544"/>
        <c:crosses val="autoZero"/>
        <c:auto val="1"/>
        <c:lblAlgn val="ctr"/>
        <c:lblOffset val="100"/>
        <c:noMultiLvlLbl val="0"/>
      </c:catAx>
      <c:valAx>
        <c:axId val="10273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1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23.332999999999998</c:v>
                </c:pt>
                <c:pt idx="2">
                  <c:v>13.333</c:v>
                </c:pt>
                <c:pt idx="3">
                  <c:v>63.332999999999998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1440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0178688"/>
        <c:axId val="90180224"/>
      </c:barChart>
      <c:catAx>
        <c:axId val="901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0224"/>
        <c:crosses val="autoZero"/>
        <c:auto val="1"/>
        <c:lblAlgn val="ctr"/>
        <c:lblOffset val="100"/>
        <c:noMultiLvlLbl val="0"/>
      </c:catAx>
      <c:valAx>
        <c:axId val="9018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7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882752"/>
        <c:axId val="107888640"/>
      </c:barChart>
      <c:catAx>
        <c:axId val="1078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88640"/>
        <c:crosses val="autoZero"/>
        <c:auto val="1"/>
        <c:lblAlgn val="ctr"/>
        <c:lblOffset val="100"/>
        <c:noMultiLvlLbl val="0"/>
      </c:catAx>
      <c:valAx>
        <c:axId val="10788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8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3.3330000000000002</c:v>
                </c:pt>
                <c:pt idx="1">
                  <c:v>20</c:v>
                </c:pt>
                <c:pt idx="2">
                  <c:v>13.333</c:v>
                </c:pt>
                <c:pt idx="3">
                  <c:v>63.332999999999998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037632"/>
        <c:axId val="108039168"/>
      </c:barChart>
      <c:catAx>
        <c:axId val="1080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39168"/>
        <c:crosses val="autoZero"/>
        <c:auto val="1"/>
        <c:lblAlgn val="ctr"/>
        <c:lblOffset val="100"/>
        <c:noMultiLvlLbl val="0"/>
      </c:catAx>
      <c:valAx>
        <c:axId val="1080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3.3330000000000002</c:v>
                </c:pt>
                <c:pt idx="1">
                  <c:v>10</c:v>
                </c:pt>
                <c:pt idx="2">
                  <c:v>13.333</c:v>
                </c:pt>
                <c:pt idx="3">
                  <c:v>73.332999999999998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490944"/>
        <c:axId val="109492480"/>
      </c:barChart>
      <c:catAx>
        <c:axId val="1094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92480"/>
        <c:crosses val="autoZero"/>
        <c:auto val="1"/>
        <c:lblAlgn val="ctr"/>
        <c:lblOffset val="100"/>
        <c:noMultiLvlLbl val="0"/>
      </c:catAx>
      <c:valAx>
        <c:axId val="1094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9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191552"/>
        <c:axId val="109193088"/>
      </c:barChart>
      <c:catAx>
        <c:axId val="10919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3088"/>
        <c:crosses val="autoZero"/>
        <c:auto val="1"/>
        <c:lblAlgn val="ctr"/>
        <c:lblOffset val="100"/>
        <c:noMultiLvlLbl val="0"/>
      </c:catAx>
      <c:valAx>
        <c:axId val="10919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3.3330000000000002</c:v>
                </c:pt>
                <c:pt idx="1">
                  <c:v>20</c:v>
                </c:pt>
                <c:pt idx="2">
                  <c:v>10</c:v>
                </c:pt>
                <c:pt idx="3">
                  <c:v>66.667000000000002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374848"/>
        <c:axId val="112067712"/>
      </c:barChart>
      <c:catAx>
        <c:axId val="10937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7712"/>
        <c:crosses val="autoZero"/>
        <c:auto val="1"/>
        <c:lblAlgn val="ctr"/>
        <c:lblOffset val="100"/>
        <c:noMultiLvlLbl val="0"/>
      </c:catAx>
      <c:valAx>
        <c:axId val="1120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7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3.3330000000000002</c:v>
                </c:pt>
                <c:pt idx="2">
                  <c:v>13.333</c:v>
                </c:pt>
                <c:pt idx="3">
                  <c:v>83.332999999999998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682368"/>
        <c:axId val="98683904"/>
      </c:barChart>
      <c:catAx>
        <c:axId val="986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83904"/>
        <c:crosses val="autoZero"/>
        <c:auto val="1"/>
        <c:lblAlgn val="ctr"/>
        <c:lblOffset val="100"/>
        <c:noMultiLvlLbl val="0"/>
      </c:catAx>
      <c:valAx>
        <c:axId val="986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229376"/>
        <c:axId val="112239360"/>
      </c:barChart>
      <c:catAx>
        <c:axId val="11222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39360"/>
        <c:crosses val="autoZero"/>
        <c:auto val="1"/>
        <c:lblAlgn val="ctr"/>
        <c:lblOffset val="100"/>
        <c:noMultiLvlLbl val="0"/>
      </c:catAx>
      <c:valAx>
        <c:axId val="11223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2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3.3330000000000002</c:v>
                </c:pt>
                <c:pt idx="2">
                  <c:v>6.6669999999999998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00448"/>
        <c:axId val="113410432"/>
      </c:barChart>
      <c:catAx>
        <c:axId val="1134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10432"/>
        <c:crosses val="autoZero"/>
        <c:auto val="1"/>
        <c:lblAlgn val="ctr"/>
        <c:lblOffset val="100"/>
        <c:noMultiLvlLbl val="0"/>
      </c:catAx>
      <c:valAx>
        <c:axId val="1134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6.6669999999999998</c:v>
                </c:pt>
                <c:pt idx="2">
                  <c:v>16.667000000000002</c:v>
                </c:pt>
                <c:pt idx="3">
                  <c:v>76.667000000000002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6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20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125504"/>
        <c:axId val="99131392"/>
      </c:barChart>
      <c:catAx>
        <c:axId val="99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31392"/>
        <c:crosses val="autoZero"/>
        <c:auto val="1"/>
        <c:lblAlgn val="ctr"/>
        <c:lblOffset val="100"/>
        <c:noMultiLvlLbl val="0"/>
      </c:catAx>
      <c:valAx>
        <c:axId val="991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2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46.667000000000002</c:v>
                </c:pt>
                <c:pt idx="1">
                  <c:v>53.332999999999998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30368"/>
        <c:axId val="98731904"/>
      </c:barChart>
      <c:catAx>
        <c:axId val="987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31904"/>
        <c:crosses val="autoZero"/>
        <c:auto val="1"/>
        <c:lblAlgn val="ctr"/>
        <c:lblOffset val="100"/>
        <c:noMultiLvlLbl val="0"/>
      </c:catAx>
      <c:valAx>
        <c:axId val="987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3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98208"/>
        <c:axId val="98812288"/>
      </c:barChart>
      <c:catAx>
        <c:axId val="987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12288"/>
        <c:crosses val="autoZero"/>
        <c:auto val="1"/>
        <c:lblAlgn val="ctr"/>
        <c:lblOffset val="100"/>
        <c:noMultiLvlLbl val="0"/>
      </c:catAx>
      <c:valAx>
        <c:axId val="9881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10</c:v>
                </c:pt>
                <c:pt idx="1">
                  <c:v>3.3330000000000002</c:v>
                </c:pt>
                <c:pt idx="2">
                  <c:v>26.667000000000002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1" totalsRowShown="0" headerRowDxfId="31" dataDxfId="30">
  <autoFilter ref="A1:H31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1" totalsRowShown="0" headerRowDxfId="21" dataDxfId="20">
  <autoFilter ref="A1:L31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zoomScaleNormal="100" workbookViewId="0">
      <selection activeCell="B2" sqref="B2:B31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14</v>
      </c>
      <c r="H2" s="78" t="s">
        <v>13</v>
      </c>
    </row>
    <row r="3" spans="1:10">
      <c r="A3" s="112" t="s">
        <v>8</v>
      </c>
      <c r="B3" s="112" t="s">
        <v>9</v>
      </c>
      <c r="C3" s="78" t="s">
        <v>15</v>
      </c>
      <c r="D3" s="78" t="s">
        <v>16</v>
      </c>
      <c r="E3" s="78" t="s">
        <v>17</v>
      </c>
      <c r="F3" s="78" t="s">
        <v>18</v>
      </c>
      <c r="G3" s="78" t="s">
        <v>19</v>
      </c>
      <c r="H3" s="78" t="s">
        <v>18</v>
      </c>
    </row>
    <row r="4" spans="1:10">
      <c r="A4" s="112" t="s">
        <v>8</v>
      </c>
      <c r="B4" s="112" t="s">
        <v>9</v>
      </c>
      <c r="C4" s="78" t="s">
        <v>20</v>
      </c>
      <c r="D4" s="78" t="s">
        <v>11</v>
      </c>
      <c r="E4" s="78" t="s">
        <v>17</v>
      </c>
      <c r="F4" s="78" t="s">
        <v>18</v>
      </c>
      <c r="G4" s="78" t="s">
        <v>18</v>
      </c>
      <c r="H4" s="78" t="s">
        <v>18</v>
      </c>
    </row>
    <row r="5" spans="1:10">
      <c r="A5" s="112" t="s">
        <v>8</v>
      </c>
      <c r="B5" s="112" t="s">
        <v>9</v>
      </c>
      <c r="C5" s="78" t="s">
        <v>20</v>
      </c>
      <c r="D5" s="78" t="s">
        <v>11</v>
      </c>
      <c r="E5" s="78" t="s">
        <v>17</v>
      </c>
      <c r="F5" s="78" t="s">
        <v>13</v>
      </c>
      <c r="G5" s="78" t="s">
        <v>13</v>
      </c>
      <c r="H5" s="78" t="s">
        <v>18</v>
      </c>
    </row>
    <row r="6" spans="1:10">
      <c r="A6" s="112" t="s">
        <v>8</v>
      </c>
      <c r="B6" s="112" t="s">
        <v>9</v>
      </c>
      <c r="C6" s="78" t="s">
        <v>10</v>
      </c>
      <c r="D6" s="78" t="s">
        <v>11</v>
      </c>
      <c r="E6" s="78" t="s">
        <v>17</v>
      </c>
      <c r="F6" s="78" t="s">
        <v>14</v>
      </c>
      <c r="G6" s="78" t="s">
        <v>14</v>
      </c>
      <c r="H6" s="78" t="s">
        <v>14</v>
      </c>
    </row>
    <row r="7" spans="1:10">
      <c r="A7" s="112" t="s">
        <v>8</v>
      </c>
      <c r="B7" s="112" t="s">
        <v>9</v>
      </c>
      <c r="C7" s="78" t="s">
        <v>10</v>
      </c>
      <c r="D7" s="78" t="s">
        <v>11</v>
      </c>
      <c r="E7" s="78" t="s">
        <v>12</v>
      </c>
      <c r="F7" s="78" t="s">
        <v>18</v>
      </c>
      <c r="G7" s="78" t="s">
        <v>19</v>
      </c>
      <c r="H7" s="78" t="s">
        <v>18</v>
      </c>
    </row>
    <row r="8" spans="1:10">
      <c r="A8" s="112" t="s">
        <v>8</v>
      </c>
      <c r="B8" s="112" t="s">
        <v>9</v>
      </c>
      <c r="C8" s="78" t="s">
        <v>20</v>
      </c>
      <c r="D8" s="78" t="s">
        <v>16</v>
      </c>
      <c r="E8" s="78" t="s">
        <v>17</v>
      </c>
      <c r="F8" s="78" t="s">
        <v>18</v>
      </c>
      <c r="G8" s="78" t="s">
        <v>21</v>
      </c>
      <c r="H8" s="78" t="s">
        <v>19</v>
      </c>
    </row>
    <row r="9" spans="1:10">
      <c r="A9" s="112" t="s">
        <v>8</v>
      </c>
      <c r="B9" s="112" t="s">
        <v>9</v>
      </c>
      <c r="C9" s="78" t="s">
        <v>20</v>
      </c>
      <c r="D9" s="78" t="s">
        <v>16</v>
      </c>
      <c r="E9" s="78" t="s">
        <v>17</v>
      </c>
      <c r="F9" s="78" t="s">
        <v>19</v>
      </c>
      <c r="G9" s="78" t="s">
        <v>18</v>
      </c>
      <c r="H9" s="78" t="s">
        <v>18</v>
      </c>
    </row>
    <row r="10" spans="1:10">
      <c r="A10" s="112" t="s">
        <v>8</v>
      </c>
      <c r="B10" s="112" t="s">
        <v>9</v>
      </c>
      <c r="C10" s="78" t="s">
        <v>20</v>
      </c>
      <c r="D10" s="78" t="s">
        <v>11</v>
      </c>
      <c r="E10" s="78" t="s">
        <v>12</v>
      </c>
      <c r="F10" s="78" t="s">
        <v>14</v>
      </c>
      <c r="G10" s="78" t="s">
        <v>18</v>
      </c>
      <c r="H10" s="78" t="s">
        <v>14</v>
      </c>
    </row>
    <row r="11" spans="1:10">
      <c r="A11" s="112" t="s">
        <v>8</v>
      </c>
      <c r="B11" s="112" t="s">
        <v>9</v>
      </c>
      <c r="C11" s="78" t="s">
        <v>20</v>
      </c>
      <c r="D11" s="78" t="s">
        <v>16</v>
      </c>
      <c r="E11" s="78" t="s">
        <v>12</v>
      </c>
      <c r="F11" s="78" t="s">
        <v>14</v>
      </c>
      <c r="G11" s="78" t="s">
        <v>13</v>
      </c>
      <c r="H11" s="78" t="s">
        <v>13</v>
      </c>
    </row>
    <row r="12" spans="1:10">
      <c r="A12" s="112" t="s">
        <v>8</v>
      </c>
      <c r="B12" s="112" t="s">
        <v>9</v>
      </c>
      <c r="C12" s="78" t="s">
        <v>10</v>
      </c>
      <c r="D12" s="78" t="s">
        <v>11</v>
      </c>
      <c r="E12" s="78" t="s">
        <v>12</v>
      </c>
      <c r="F12" s="78" t="s">
        <v>14</v>
      </c>
      <c r="G12" s="78" t="s">
        <v>14</v>
      </c>
      <c r="H12" s="78" t="s">
        <v>14</v>
      </c>
    </row>
    <row r="13" spans="1:10">
      <c r="A13" s="112" t="s">
        <v>8</v>
      </c>
      <c r="B13" s="112" t="s">
        <v>9</v>
      </c>
      <c r="C13" s="78" t="s">
        <v>15</v>
      </c>
      <c r="D13" s="78" t="s">
        <v>16</v>
      </c>
      <c r="E13" s="78" t="s">
        <v>17</v>
      </c>
      <c r="F13" s="78" t="s">
        <v>18</v>
      </c>
      <c r="G13" s="78" t="s">
        <v>21</v>
      </c>
      <c r="H13" s="78" t="s">
        <v>21</v>
      </c>
    </row>
    <row r="14" spans="1:10">
      <c r="A14" s="112" t="s">
        <v>8</v>
      </c>
      <c r="B14" s="112" t="s">
        <v>9</v>
      </c>
      <c r="C14" s="78" t="s">
        <v>20</v>
      </c>
      <c r="D14" s="78" t="s">
        <v>16</v>
      </c>
      <c r="E14" s="78" t="s">
        <v>17</v>
      </c>
      <c r="F14" s="78" t="s">
        <v>18</v>
      </c>
      <c r="G14" s="78" t="s">
        <v>18</v>
      </c>
      <c r="H14" s="78" t="s">
        <v>18</v>
      </c>
    </row>
    <row r="15" spans="1:10">
      <c r="A15" s="112" t="s">
        <v>8</v>
      </c>
      <c r="B15" s="112" t="s">
        <v>9</v>
      </c>
      <c r="C15" s="78" t="s">
        <v>15</v>
      </c>
      <c r="D15" s="78" t="s">
        <v>16</v>
      </c>
      <c r="E15" s="78" t="s">
        <v>17</v>
      </c>
      <c r="F15" s="78" t="s">
        <v>19</v>
      </c>
      <c r="G15" s="78" t="s">
        <v>19</v>
      </c>
      <c r="H15" s="78" t="s">
        <v>19</v>
      </c>
    </row>
    <row r="16" spans="1:10">
      <c r="A16" s="112" t="s">
        <v>8</v>
      </c>
      <c r="B16" s="112" t="s">
        <v>9</v>
      </c>
      <c r="C16" s="78" t="s">
        <v>10</v>
      </c>
      <c r="D16" s="78" t="s">
        <v>11</v>
      </c>
      <c r="E16" s="78" t="s">
        <v>12</v>
      </c>
      <c r="F16" s="78" t="s">
        <v>14</v>
      </c>
      <c r="G16" s="78" t="s">
        <v>14</v>
      </c>
      <c r="H16" s="78" t="s">
        <v>14</v>
      </c>
    </row>
    <row r="17" spans="1:8">
      <c r="A17" s="112" t="s">
        <v>8</v>
      </c>
      <c r="B17" s="112" t="s">
        <v>9</v>
      </c>
      <c r="C17" s="78" t="s">
        <v>15</v>
      </c>
      <c r="D17" s="78" t="s">
        <v>16</v>
      </c>
      <c r="E17" s="78" t="s">
        <v>12</v>
      </c>
      <c r="F17" s="78" t="s">
        <v>18</v>
      </c>
      <c r="G17" s="78" t="s">
        <v>13</v>
      </c>
      <c r="H17" s="78" t="s">
        <v>13</v>
      </c>
    </row>
    <row r="18" spans="1:8">
      <c r="A18" s="112" t="s">
        <v>8</v>
      </c>
      <c r="B18" s="112" t="s">
        <v>9</v>
      </c>
      <c r="C18" s="78" t="s">
        <v>10</v>
      </c>
      <c r="D18" s="78" t="s">
        <v>11</v>
      </c>
      <c r="E18" s="78" t="s">
        <v>12</v>
      </c>
      <c r="F18" s="78" t="s">
        <v>13</v>
      </c>
      <c r="G18" s="78" t="s">
        <v>13</v>
      </c>
      <c r="H18" s="78" t="s">
        <v>13</v>
      </c>
    </row>
    <row r="19" spans="1:8">
      <c r="A19" s="112" t="s">
        <v>8</v>
      </c>
      <c r="B19" s="112" t="s">
        <v>9</v>
      </c>
      <c r="C19" s="78" t="s">
        <v>20</v>
      </c>
      <c r="D19" s="78" t="s">
        <v>16</v>
      </c>
      <c r="E19" s="78" t="s">
        <v>12</v>
      </c>
      <c r="F19" s="78" t="s">
        <v>14</v>
      </c>
      <c r="G19" s="78" t="s">
        <v>18</v>
      </c>
      <c r="H19" s="78" t="s">
        <v>13</v>
      </c>
    </row>
    <row r="20" spans="1:8">
      <c r="A20" s="112" t="s">
        <v>8</v>
      </c>
      <c r="B20" s="112" t="s">
        <v>9</v>
      </c>
      <c r="C20" s="78" t="s">
        <v>10</v>
      </c>
      <c r="D20" s="78" t="s">
        <v>11</v>
      </c>
      <c r="E20" s="78" t="s">
        <v>17</v>
      </c>
      <c r="F20" s="78" t="s">
        <v>13</v>
      </c>
      <c r="G20" s="78" t="s">
        <v>13</v>
      </c>
      <c r="H20" s="78" t="s">
        <v>13</v>
      </c>
    </row>
    <row r="21" spans="1:8">
      <c r="A21" s="112" t="s">
        <v>8</v>
      </c>
      <c r="B21" s="112" t="s">
        <v>9</v>
      </c>
      <c r="C21" s="78" t="s">
        <v>20</v>
      </c>
      <c r="D21" s="78" t="s">
        <v>16</v>
      </c>
      <c r="E21" s="78" t="s">
        <v>17</v>
      </c>
      <c r="F21" s="78" t="s">
        <v>18</v>
      </c>
      <c r="G21" s="78" t="s">
        <v>18</v>
      </c>
      <c r="H21" s="78" t="s">
        <v>18</v>
      </c>
    </row>
    <row r="22" spans="1:8">
      <c r="A22" s="112" t="s">
        <v>8</v>
      </c>
      <c r="B22" s="112" t="s">
        <v>9</v>
      </c>
      <c r="C22" s="78" t="s">
        <v>20</v>
      </c>
      <c r="D22" s="78" t="s">
        <v>16</v>
      </c>
      <c r="E22" s="78" t="s">
        <v>17</v>
      </c>
      <c r="F22" s="78" t="s">
        <v>13</v>
      </c>
      <c r="G22" s="78" t="s">
        <v>21</v>
      </c>
      <c r="H22" s="78" t="s">
        <v>13</v>
      </c>
    </row>
    <row r="23" spans="1:8">
      <c r="A23" s="112" t="s">
        <v>8</v>
      </c>
      <c r="B23" s="112" t="s">
        <v>9</v>
      </c>
      <c r="C23" s="78" t="s">
        <v>10</v>
      </c>
      <c r="D23" s="78" t="s">
        <v>11</v>
      </c>
      <c r="E23" s="78" t="s">
        <v>12</v>
      </c>
      <c r="F23" s="78" t="s">
        <v>14</v>
      </c>
      <c r="G23" s="78" t="s">
        <v>14</v>
      </c>
      <c r="H23" s="78" t="s">
        <v>14</v>
      </c>
    </row>
    <row r="24" spans="1:8">
      <c r="A24" s="112" t="s">
        <v>8</v>
      </c>
      <c r="B24" s="112" t="s">
        <v>9</v>
      </c>
      <c r="C24" s="78" t="s">
        <v>15</v>
      </c>
      <c r="D24" s="78" t="s">
        <v>16</v>
      </c>
      <c r="E24" s="78" t="s">
        <v>17</v>
      </c>
      <c r="F24" s="78" t="s">
        <v>19</v>
      </c>
      <c r="G24" s="78" t="s">
        <v>19</v>
      </c>
      <c r="H24" s="78" t="s">
        <v>22</v>
      </c>
    </row>
    <row r="25" spans="1:8">
      <c r="A25" s="112" t="s">
        <v>8</v>
      </c>
      <c r="B25" s="112" t="s">
        <v>9</v>
      </c>
      <c r="C25" s="78" t="s">
        <v>15</v>
      </c>
      <c r="D25" s="78" t="s">
        <v>16</v>
      </c>
      <c r="E25" s="78" t="s">
        <v>17</v>
      </c>
      <c r="F25" s="78" t="s">
        <v>13</v>
      </c>
      <c r="G25" s="78" t="s">
        <v>13</v>
      </c>
      <c r="H25" s="78" t="s">
        <v>18</v>
      </c>
    </row>
    <row r="26" spans="1:8">
      <c r="A26" s="112" t="s">
        <v>8</v>
      </c>
      <c r="B26" s="112" t="s">
        <v>9</v>
      </c>
      <c r="C26" s="78" t="s">
        <v>10</v>
      </c>
      <c r="D26" s="78" t="s">
        <v>11</v>
      </c>
      <c r="E26" s="78" t="s">
        <v>17</v>
      </c>
      <c r="F26" s="78" t="s">
        <v>14</v>
      </c>
      <c r="G26" s="78" t="s">
        <v>13</v>
      </c>
      <c r="H26" s="78" t="s">
        <v>13</v>
      </c>
    </row>
    <row r="27" spans="1:8">
      <c r="A27" s="112" t="s">
        <v>8</v>
      </c>
      <c r="B27" s="112" t="s">
        <v>9</v>
      </c>
      <c r="C27" s="78" t="s">
        <v>10</v>
      </c>
      <c r="D27" s="78" t="s">
        <v>11</v>
      </c>
      <c r="E27" s="78" t="s">
        <v>12</v>
      </c>
      <c r="F27" s="78" t="s">
        <v>14</v>
      </c>
      <c r="G27" s="78" t="s">
        <v>14</v>
      </c>
      <c r="H27" s="78" t="s">
        <v>13</v>
      </c>
    </row>
    <row r="28" spans="1:8">
      <c r="A28" s="112" t="s">
        <v>8</v>
      </c>
      <c r="B28" s="112" t="s">
        <v>9</v>
      </c>
      <c r="C28" s="78" t="s">
        <v>20</v>
      </c>
      <c r="D28" s="78" t="s">
        <v>11</v>
      </c>
      <c r="E28" s="78" t="s">
        <v>12</v>
      </c>
      <c r="F28" s="78" t="s">
        <v>21</v>
      </c>
      <c r="G28" s="78" t="s">
        <v>13</v>
      </c>
      <c r="H28" s="78" t="s">
        <v>13</v>
      </c>
    </row>
    <row r="29" spans="1:8">
      <c r="A29" s="112" t="s">
        <v>8</v>
      </c>
      <c r="B29" s="112" t="s">
        <v>9</v>
      </c>
      <c r="C29" s="78" t="s">
        <v>10</v>
      </c>
      <c r="D29" s="78" t="s">
        <v>11</v>
      </c>
      <c r="E29" s="78" t="s">
        <v>12</v>
      </c>
      <c r="F29" s="78" t="s">
        <v>14</v>
      </c>
      <c r="G29" s="78" t="s">
        <v>14</v>
      </c>
      <c r="H29" s="78" t="s">
        <v>14</v>
      </c>
    </row>
    <row r="30" spans="1:8">
      <c r="A30" s="112" t="s">
        <v>8</v>
      </c>
      <c r="B30" s="112" t="s">
        <v>9</v>
      </c>
      <c r="C30" s="78" t="s">
        <v>20</v>
      </c>
      <c r="D30" s="78" t="s">
        <v>16</v>
      </c>
      <c r="E30" s="78" t="s">
        <v>17</v>
      </c>
      <c r="F30" s="78" t="s">
        <v>13</v>
      </c>
      <c r="G30" s="78" t="s">
        <v>13</v>
      </c>
      <c r="H30" s="78" t="s">
        <v>13</v>
      </c>
    </row>
    <row r="31" spans="1:8">
      <c r="A31" s="112" t="s">
        <v>8</v>
      </c>
      <c r="B31" s="112" t="s">
        <v>9</v>
      </c>
      <c r="C31" s="78" t="s">
        <v>10</v>
      </c>
      <c r="D31" s="78" t="s">
        <v>11</v>
      </c>
      <c r="E31" s="78" t="s">
        <v>12</v>
      </c>
      <c r="F31" s="78" t="s">
        <v>14</v>
      </c>
      <c r="G31" s="78" t="s">
        <v>14</v>
      </c>
      <c r="H31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21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 t="shared" ref="F7:F13" si="0">ROUND($E7/$E$13*100,2)</f>
        <v>3.33</v>
      </c>
      <c r="G7" s="25">
        <f>ROUND($E7/SUM($E$7:$E$12)*100,3)</f>
        <v>3.3330000000000002</v>
      </c>
    </row>
    <row r="8" spans="1:9">
      <c r="B8" s="9" t="s">
        <v>22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19</v>
      </c>
      <c r="C9" s="10">
        <f>COUNTIFS(Resp2[Vínculo],"tecnico",Resp2[2.06],B9)</f>
        <v>3</v>
      </c>
      <c r="D9" s="10">
        <f>COUNTIFS(Resp2[Vínculo],"docente",Resp2[2.06],B9)</f>
        <v>0</v>
      </c>
      <c r="E9" s="10">
        <f>COUNTIF(Resp2[2.06],B9)</f>
        <v>3</v>
      </c>
      <c r="F9" s="25">
        <f t="shared" si="0"/>
        <v>10</v>
      </c>
      <c r="G9" s="25">
        <f t="shared" si="1"/>
        <v>10</v>
      </c>
    </row>
    <row r="10" spans="1:9">
      <c r="B10" s="9" t="s">
        <v>18</v>
      </c>
      <c r="C10" s="10">
        <f>COUNTIFS(Resp2[Vínculo],"tecnico",Resp2[2.06],B10)</f>
        <v>8</v>
      </c>
      <c r="D10" s="10">
        <f>COUNTIFS(Resp2[Vínculo],"docente",Resp2[2.06],B10)</f>
        <v>0</v>
      </c>
      <c r="E10" s="10">
        <f>COUNTIF(Resp2[2.06],B10)</f>
        <v>8</v>
      </c>
      <c r="F10" s="25">
        <f t="shared" si="0"/>
        <v>26.67</v>
      </c>
      <c r="G10" s="25">
        <f t="shared" si="1"/>
        <v>26.667000000000002</v>
      </c>
    </row>
    <row r="11" spans="1:9">
      <c r="B11" s="9" t="s">
        <v>13</v>
      </c>
      <c r="C11" s="10">
        <f>COUNTIFS(Resp2[Vínculo],"tecnico",Resp2[2.06],B11)</f>
        <v>7</v>
      </c>
      <c r="D11" s="10">
        <f>COUNTIFS(Resp2[Vínculo],"docente",Resp2[2.06],B11)</f>
        <v>0</v>
      </c>
      <c r="E11" s="10">
        <f>COUNTIF(Resp2[2.06],B11)</f>
        <v>7</v>
      </c>
      <c r="F11" s="25">
        <f t="shared" si="0"/>
        <v>23.33</v>
      </c>
      <c r="G11" s="25">
        <f t="shared" si="1"/>
        <v>23.332999999999998</v>
      </c>
    </row>
    <row r="12" spans="1:9">
      <c r="B12" s="99" t="s">
        <v>14</v>
      </c>
      <c r="C12" s="98">
        <f>COUNTIFS(Resp2[Vínculo],"tecnico",Resp2[2.06],B12)</f>
        <v>11</v>
      </c>
      <c r="D12" s="98">
        <f>COUNTIFS(Resp2[Vínculo],"docente",Resp2[2.06],B12)</f>
        <v>0</v>
      </c>
      <c r="E12" s="98">
        <f>COUNTIF(Resp2[2.06],B12)</f>
        <v>11</v>
      </c>
      <c r="F12" s="100">
        <f t="shared" si="0"/>
        <v>36.67</v>
      </c>
      <c r="G12" s="100">
        <f t="shared" si="1"/>
        <v>36.667000000000002</v>
      </c>
    </row>
    <row r="13" spans="1:9">
      <c r="B13" s="10" t="s">
        <v>166</v>
      </c>
      <c r="C13" s="10">
        <f>SUM(C6:C12)</f>
        <v>30</v>
      </c>
      <c r="D13" s="10">
        <f>SUM(D6:D12)</f>
        <v>0</v>
      </c>
      <c r="E13" s="10">
        <f>SUM(C13:D13)</f>
        <v>30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173</v>
      </c>
      <c r="C17" s="11" t="s">
        <v>174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3</v>
      </c>
      <c r="E18" s="44">
        <f>ROUND(D18/SUM(D$18:D$21)*100,3)</f>
        <v>10</v>
      </c>
      <c r="F18" s="37"/>
      <c r="G18" s="38"/>
    </row>
    <row r="19" spans="2:7">
      <c r="B19" s="30" t="s">
        <v>179</v>
      </c>
      <c r="C19" s="30" t="s">
        <v>77</v>
      </c>
      <c r="D19" s="15">
        <f>C7</f>
        <v>1</v>
      </c>
      <c r="E19" s="44">
        <f t="shared" ref="E19:E21" si="2">ROUND(D19/SUM(D$18:D$21)*100,3)</f>
        <v>3.3330000000000002</v>
      </c>
      <c r="F19" s="37"/>
      <c r="G19" s="38"/>
    </row>
    <row r="20" spans="2:7">
      <c r="B20" s="31" t="s">
        <v>18</v>
      </c>
      <c r="C20" s="31" t="s">
        <v>89</v>
      </c>
      <c r="D20" s="15">
        <f>C10</f>
        <v>8</v>
      </c>
      <c r="E20" s="44">
        <f t="shared" si="2"/>
        <v>26.667000000000002</v>
      </c>
    </row>
    <row r="21" spans="2:7">
      <c r="B21" s="51" t="s">
        <v>95</v>
      </c>
      <c r="C21" s="51" t="s">
        <v>94</v>
      </c>
      <c r="D21" s="33">
        <f>SUM(C11:C12)</f>
        <v>18</v>
      </c>
      <c r="E21" s="45">
        <f t="shared" si="2"/>
        <v>60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COUNTIFS(Resp2[Vínculo],"tecnico",Resp2[2.07],B7)</f>
        <v>3</v>
      </c>
      <c r="D7" s="10">
        <f>COUNTIFS(Resp2[Vínculo],"docente",Resp2[2.07],B7)</f>
        <v>0</v>
      </c>
      <c r="E7" s="10">
        <f>COUNTIF(Resp2[2.07],B7)</f>
        <v>3</v>
      </c>
      <c r="F7" s="25">
        <f t="shared" ref="F7:F12" si="0">ROUND($E7/$E$13*100,2)</f>
        <v>10</v>
      </c>
      <c r="G7" s="25">
        <f>ROUND($E7/SUM($E$7:$E$12)*100,3)</f>
        <v>10</v>
      </c>
    </row>
    <row r="8" spans="1:7">
      <c r="B8" s="9" t="s">
        <v>22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COUNTIFS(Resp2[Vínculo],"tecnico",Resp2[2.07],B9)</f>
        <v>4</v>
      </c>
      <c r="D9" s="10">
        <f>COUNTIFS(Resp2[Vínculo],"docente",Resp2[2.07],B9)</f>
        <v>0</v>
      </c>
      <c r="E9" s="10">
        <f>COUNTIF(Resp2[2.07],B9)</f>
        <v>4</v>
      </c>
      <c r="F9" s="25">
        <f t="shared" si="0"/>
        <v>13.33</v>
      </c>
      <c r="G9" s="25">
        <f t="shared" si="1"/>
        <v>13.333</v>
      </c>
    </row>
    <row r="10" spans="1:7">
      <c r="B10" s="9" t="s">
        <v>18</v>
      </c>
      <c r="C10" s="10">
        <f>COUNTIFS(Resp2[Vínculo],"tecnico",Resp2[2.07],B10)</f>
        <v>6</v>
      </c>
      <c r="D10" s="10">
        <f>COUNTIFS(Resp2[Vínculo],"docente",Resp2[2.07],B10)</f>
        <v>0</v>
      </c>
      <c r="E10" s="10">
        <f>COUNTIF(Resp2[2.07],B10)</f>
        <v>6</v>
      </c>
      <c r="F10" s="25">
        <f t="shared" si="0"/>
        <v>20</v>
      </c>
      <c r="G10" s="25">
        <f t="shared" si="1"/>
        <v>20</v>
      </c>
    </row>
    <row r="11" spans="1:7">
      <c r="B11" s="9" t="s">
        <v>13</v>
      </c>
      <c r="C11" s="10">
        <f>COUNTIFS(Resp2[Vínculo],"tecnico",Resp2[2.07],B11)</f>
        <v>9</v>
      </c>
      <c r="D11" s="10">
        <f>COUNTIFS(Resp2[Vínculo],"docente",Resp2[2.07],B11)</f>
        <v>0</v>
      </c>
      <c r="E11" s="10">
        <f>COUNTIF(Resp2[2.07],B11)</f>
        <v>9</v>
      </c>
      <c r="F11" s="25">
        <f t="shared" si="0"/>
        <v>30</v>
      </c>
      <c r="G11" s="25">
        <f t="shared" si="1"/>
        <v>30</v>
      </c>
    </row>
    <row r="12" spans="1:7">
      <c r="B12" s="26" t="s">
        <v>14</v>
      </c>
      <c r="C12" s="10">
        <f>COUNTIFS(Resp2[Vínculo],"tecnico",Resp2[2.07],B12)</f>
        <v>8</v>
      </c>
      <c r="D12" s="10">
        <f>COUNTIFS(Resp2[Vínculo],"docente",Resp2[2.07],B12)</f>
        <v>0</v>
      </c>
      <c r="E12" s="10">
        <f>COUNTIF(Resp2[2.07],B12)</f>
        <v>8</v>
      </c>
      <c r="F12" s="100">
        <f t="shared" si="0"/>
        <v>26.67</v>
      </c>
      <c r="G12" s="25">
        <f t="shared" si="1"/>
        <v>26.667000000000002</v>
      </c>
    </row>
    <row r="13" spans="1:7">
      <c r="B13" s="9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4</v>
      </c>
      <c r="E18" s="39">
        <f>ROUND(D18/SUM(D$18:D$21)*100,3)</f>
        <v>13.333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3</v>
      </c>
      <c r="E19" s="39">
        <f t="shared" ref="E19:E21" si="2">ROUND(D19/SUM(D$18:D$21)*100,3)</f>
        <v>10</v>
      </c>
      <c r="F19" s="15"/>
      <c r="G19" s="10"/>
    </row>
    <row r="20" spans="2:7">
      <c r="B20" s="31" t="s">
        <v>18</v>
      </c>
      <c r="C20" s="31" t="s">
        <v>89</v>
      </c>
      <c r="D20" s="15">
        <f>C10</f>
        <v>6</v>
      </c>
      <c r="E20" s="39">
        <f t="shared" si="2"/>
        <v>20</v>
      </c>
    </row>
    <row r="21" spans="2:7">
      <c r="B21" s="32" t="s">
        <v>95</v>
      </c>
      <c r="C21" s="32" t="s">
        <v>94</v>
      </c>
      <c r="D21" s="33">
        <f>SUM(C11:C12)</f>
        <v>17</v>
      </c>
      <c r="E21" s="42">
        <f t="shared" si="2"/>
        <v>56.667000000000002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COUNTIFS(Resp2[Vínculo],"tecnico",Resp2[2.08],B7)</f>
        <v>1</v>
      </c>
      <c r="D7" s="10">
        <f>COUNTIFS(Resp2[Vínculo],"docente",Resp2[2.08],B7)</f>
        <v>0</v>
      </c>
      <c r="E7" s="10">
        <f>COUNTIF(Resp2[2.08],B7)</f>
        <v>1</v>
      </c>
      <c r="F7" s="25">
        <f t="shared" ref="F7:F13" si="0">ROUND($E7/$E$13*100,2)</f>
        <v>3.33</v>
      </c>
      <c r="G7" s="25">
        <f>ROUND($E7/SUM($E$7:$E$12)*100,3)</f>
        <v>3.3330000000000002</v>
      </c>
    </row>
    <row r="8" spans="1:7">
      <c r="B8" s="9" t="s">
        <v>22</v>
      </c>
      <c r="C8" s="10">
        <f>COUNTIFS(Resp2[Vínculo],"tecnico",Resp2[2.08],B8)</f>
        <v>1</v>
      </c>
      <c r="D8" s="10">
        <f>COUNTIFS(Resp2[Vínculo],"docente",Resp2[2.08],B8)</f>
        <v>0</v>
      </c>
      <c r="E8" s="10">
        <f>COUNTIF(Resp2[2.08],B8)</f>
        <v>1</v>
      </c>
      <c r="F8" s="25">
        <f t="shared" si="0"/>
        <v>3.33</v>
      </c>
      <c r="G8" s="25">
        <f t="shared" ref="G8:G12" si="1">ROUND($E8/SUM($E$7:$E$12)*100,3)</f>
        <v>3.3330000000000002</v>
      </c>
    </row>
    <row r="9" spans="1:7">
      <c r="B9" s="9" t="s">
        <v>19</v>
      </c>
      <c r="C9" s="10">
        <f>COUNTIFS(Resp2[Vínculo],"tecnico",Resp2[2.08],B9)</f>
        <v>2</v>
      </c>
      <c r="D9" s="10">
        <f>COUNTIFS(Resp2[Vínculo],"docente",Resp2[2.08],B9)</f>
        <v>0</v>
      </c>
      <c r="E9" s="10">
        <f>COUNTIF(Resp2[2.08],B9)</f>
        <v>2</v>
      </c>
      <c r="F9" s="25">
        <f t="shared" si="0"/>
        <v>6.67</v>
      </c>
      <c r="G9" s="25">
        <f t="shared" si="1"/>
        <v>6.6669999999999998</v>
      </c>
    </row>
    <row r="10" spans="1:7">
      <c r="B10" s="9" t="s">
        <v>18</v>
      </c>
      <c r="C10" s="10">
        <f>COUNTIFS(Resp2[Vínculo],"tecnico",Resp2[2.08],B10)</f>
        <v>8</v>
      </c>
      <c r="D10" s="10">
        <f>COUNTIFS(Resp2[Vínculo],"docente",Resp2[2.08],B10)</f>
        <v>0</v>
      </c>
      <c r="E10" s="10">
        <f>COUNTIF(Resp2[2.08],B10)</f>
        <v>8</v>
      </c>
      <c r="F10" s="25">
        <f t="shared" si="0"/>
        <v>26.67</v>
      </c>
      <c r="G10" s="25">
        <f t="shared" si="1"/>
        <v>26.667000000000002</v>
      </c>
    </row>
    <row r="11" spans="1:7">
      <c r="B11" s="9" t="s">
        <v>13</v>
      </c>
      <c r="C11" s="10">
        <f>COUNTIFS(Resp2[Vínculo],"tecnico",Resp2[2.08],B11)</f>
        <v>11</v>
      </c>
      <c r="D11" s="10">
        <f>COUNTIFS(Resp2[Vínculo],"docente",Resp2[2.08],B11)</f>
        <v>0</v>
      </c>
      <c r="E11" s="10">
        <f>COUNTIF(Resp2[2.08],B11)</f>
        <v>11</v>
      </c>
      <c r="F11" s="25">
        <f t="shared" si="0"/>
        <v>36.67</v>
      </c>
      <c r="G11" s="25">
        <f t="shared" si="1"/>
        <v>36.667000000000002</v>
      </c>
    </row>
    <row r="12" spans="1:7">
      <c r="B12" s="26" t="s">
        <v>14</v>
      </c>
      <c r="C12" s="10">
        <f>COUNTIFS(Resp2[Vínculo],"tecnico",Resp2[2.08],B12)</f>
        <v>7</v>
      </c>
      <c r="D12" s="10">
        <f>COUNTIFS(Resp2[Vínculo],"docente",Resp2[2.08],B12)</f>
        <v>0</v>
      </c>
      <c r="E12" s="10">
        <f>COUNTIF(Resp2[2.08],B12)</f>
        <v>7</v>
      </c>
      <c r="F12" s="100">
        <f t="shared" si="0"/>
        <v>23.33</v>
      </c>
      <c r="G12" s="25">
        <f t="shared" si="1"/>
        <v>23.332999999999998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3</v>
      </c>
      <c r="E18" s="39">
        <f>ROUND(D18/SUM(D$18:D$21)*100,3)</f>
        <v>10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</v>
      </c>
      <c r="E19" s="39">
        <f t="shared" ref="E19:E21" si="2">ROUND(D19/SUM(D$18:D$21)*100,3)</f>
        <v>3.3330000000000002</v>
      </c>
      <c r="F19" s="15"/>
      <c r="G19" s="10"/>
    </row>
    <row r="20" spans="2:7">
      <c r="B20" s="31" t="s">
        <v>18</v>
      </c>
      <c r="C20" s="31" t="s">
        <v>89</v>
      </c>
      <c r="D20" s="15">
        <f>C10</f>
        <v>8</v>
      </c>
      <c r="E20" s="39">
        <f t="shared" si="2"/>
        <v>26.667000000000002</v>
      </c>
    </row>
    <row r="21" spans="2:7">
      <c r="B21" s="51" t="s">
        <v>95</v>
      </c>
      <c r="C21" s="51" t="s">
        <v>94</v>
      </c>
      <c r="D21" s="15">
        <f>SUM(C11:C12)</f>
        <v>18</v>
      </c>
      <c r="E21" s="39">
        <f t="shared" si="2"/>
        <v>60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COUNTIFS(Resp3[Vínculo],"tecnico",Resp3[3.01],B7)</f>
        <v>5</v>
      </c>
      <c r="D7" s="10">
        <f>COUNTIFS(Resp3[Vínculo],"docente",Resp3[3.01],B7)</f>
        <v>0</v>
      </c>
      <c r="E7" s="10">
        <f>COUNTIF(Resp3[3.01],B7)</f>
        <v>5</v>
      </c>
      <c r="F7" s="25">
        <f t="shared" ref="F7:F13" si="0">ROUND($E7/$E$13*100,2)</f>
        <v>16.670000000000002</v>
      </c>
      <c r="G7" s="25">
        <f>ROUND($E7/SUM($E$7:$E$12)*100,3)</f>
        <v>16.667000000000002</v>
      </c>
    </row>
    <row r="8" spans="1:7">
      <c r="B8" s="9" t="s">
        <v>22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COUNTIFS(Resp3[Vínculo],"tecnico",Resp3[3.01],B10)</f>
        <v>7</v>
      </c>
      <c r="D10" s="10">
        <f>COUNTIFS(Resp3[Vínculo],"docente",Resp3[3.01],B10)</f>
        <v>0</v>
      </c>
      <c r="E10" s="10">
        <f>COUNTIF(Resp3[3.01],B10)</f>
        <v>7</v>
      </c>
      <c r="F10" s="25">
        <f t="shared" si="0"/>
        <v>23.33</v>
      </c>
      <c r="G10" s="25">
        <f t="shared" si="1"/>
        <v>23.332999999999998</v>
      </c>
    </row>
    <row r="11" spans="1:7">
      <c r="B11" s="9" t="s">
        <v>13</v>
      </c>
      <c r="C11" s="10">
        <f>COUNTIFS(Resp3[Vínculo],"tecnico",Resp3[3.01],B11)</f>
        <v>9</v>
      </c>
      <c r="D11" s="10">
        <f>COUNTIFS(Resp3[Vínculo],"docente",Resp3[3.01],B11)</f>
        <v>0</v>
      </c>
      <c r="E11" s="10">
        <f>COUNTIF(Resp3[3.01],B11)</f>
        <v>9</v>
      </c>
      <c r="F11" s="25">
        <f t="shared" si="0"/>
        <v>30</v>
      </c>
      <c r="G11" s="25">
        <f t="shared" si="1"/>
        <v>30</v>
      </c>
    </row>
    <row r="12" spans="1:7">
      <c r="B12" s="26" t="s">
        <v>14</v>
      </c>
      <c r="C12" s="10">
        <f>COUNTIFS(Resp3[Vínculo],"tecnico",Resp3[3.01],B12)</f>
        <v>9</v>
      </c>
      <c r="D12" s="10">
        <f>COUNTIFS(Resp3[Vínculo],"docente",Resp3[3.01],B12)</f>
        <v>0</v>
      </c>
      <c r="E12" s="10">
        <f>COUNTIF(Resp3[3.01],B12)</f>
        <v>9</v>
      </c>
      <c r="F12" s="100">
        <f t="shared" si="0"/>
        <v>30</v>
      </c>
      <c r="G12" s="25">
        <f t="shared" si="1"/>
        <v>30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5</v>
      </c>
      <c r="E20" s="44">
        <f>ROUND(D20/SUM(D$19:D$22)*100,3)</f>
        <v>16.667000000000002</v>
      </c>
    </row>
    <row r="21" spans="2:7">
      <c r="B21" s="31" t="s">
        <v>18</v>
      </c>
      <c r="C21" s="31" t="s">
        <v>89</v>
      </c>
      <c r="D21" s="15">
        <f>C10</f>
        <v>7</v>
      </c>
      <c r="E21" s="44">
        <f>ROUND(D21/SUM(D$19:D$22)*100,3)</f>
        <v>23.332999999999998</v>
      </c>
    </row>
    <row r="22" spans="2:7">
      <c r="B22" s="32" t="s">
        <v>95</v>
      </c>
      <c r="C22" s="32" t="s">
        <v>94</v>
      </c>
      <c r="D22" s="33">
        <f>SUM(C11:C12)</f>
        <v>18</v>
      </c>
      <c r="E22" s="45">
        <f>ROUND(D22/SUM(D$19:D$22)*100,3)</f>
        <v>60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21</v>
      </c>
      <c r="C7" s="10">
        <f>COUNTIFS(Resp3[Vínculo],"tecnico",Resp3[3.02],B7)</f>
        <v>5</v>
      </c>
      <c r="D7" s="10">
        <f>COUNTIFS(Resp3[Vínculo],"docente",Resp3[3.02],B7)</f>
        <v>0</v>
      </c>
      <c r="E7" s="10">
        <f>COUNTIF(Resp3[3.02],B7)</f>
        <v>5</v>
      </c>
      <c r="F7" s="25">
        <f t="shared" ref="F7:F13" si="0">ROUND($E7/E$13*100,2)</f>
        <v>16.670000000000002</v>
      </c>
      <c r="G7" s="25">
        <f>ROUND($E7/SUM($E$7:$E$12)*100,3)</f>
        <v>16.667000000000002</v>
      </c>
    </row>
    <row r="8" spans="1:7">
      <c r="B8" s="9" t="s">
        <v>22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COUNTIFS(Resp3[Vínculo],"tecnico",Resp3[3.02],B10)</f>
        <v>4</v>
      </c>
      <c r="D10" s="10">
        <f>COUNTIFS(Resp3[Vínculo],"docente",Resp3[3.02],B10)</f>
        <v>0</v>
      </c>
      <c r="E10" s="10">
        <f>COUNTIF(Resp3[3.02],B10)</f>
        <v>4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COUNTIFS(Resp3[Vínculo],"tecnico",Resp3[3.02],B11)</f>
        <v>10</v>
      </c>
      <c r="D11" s="10">
        <f>COUNTIFS(Resp3[Vínculo],"docente",Resp3[3.02],B11)</f>
        <v>0</v>
      </c>
      <c r="E11" s="10">
        <f>COUNTIF(Resp3[3.02],B11)</f>
        <v>10</v>
      </c>
      <c r="F11" s="25">
        <f t="shared" si="0"/>
        <v>33.33</v>
      </c>
      <c r="G11" s="25">
        <f t="shared" si="1"/>
        <v>33.332999999999998</v>
      </c>
    </row>
    <row r="12" spans="1:7">
      <c r="B12" s="26" t="s">
        <v>14</v>
      </c>
      <c r="C12" s="10">
        <f>COUNTIFS(Resp3[Vínculo],"tecnico",Resp3[3.02],B12)</f>
        <v>11</v>
      </c>
      <c r="D12" s="10">
        <f>COUNTIFS(Resp3[Vínculo],"docente",Resp3[3.02],B12)</f>
        <v>0</v>
      </c>
      <c r="E12" s="10">
        <f>COUNTIF(Resp3[3.02],B12)</f>
        <v>11</v>
      </c>
      <c r="F12" s="100">
        <f t="shared" si="0"/>
        <v>36.67</v>
      </c>
      <c r="G12" s="25">
        <f t="shared" si="1"/>
        <v>36.667000000000002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5</v>
      </c>
      <c r="E20" s="10">
        <f>ROUND(D20/SUM(D$19:D$22)*100,3)</f>
        <v>16.667000000000002</v>
      </c>
    </row>
    <row r="21" spans="2:7">
      <c r="B21" s="31" t="s">
        <v>18</v>
      </c>
      <c r="C21" s="31" t="s">
        <v>89</v>
      </c>
      <c r="D21" s="15">
        <f>C10</f>
        <v>4</v>
      </c>
      <c r="E21" s="10">
        <f>ROUND(D21/SUM(D$19:D$22)*100,3)</f>
        <v>13.333</v>
      </c>
    </row>
    <row r="22" spans="2:7">
      <c r="B22" s="32" t="s">
        <v>95</v>
      </c>
      <c r="C22" s="32" t="s">
        <v>94</v>
      </c>
      <c r="D22" s="33">
        <f>SUM(C11:C12)</f>
        <v>21</v>
      </c>
      <c r="E22" s="34">
        <f>ROUND(D22/SUM(D$19:D$22)*100,3)</f>
        <v>70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COUNTIFS(Resp3[Vínculo],"tecnico",Resp3[3.03],B7)</f>
        <v>7</v>
      </c>
      <c r="D7" s="10">
        <f>COUNTIFS(Resp3[Vínculo],"docente",Resp3[3.03],B7)</f>
        <v>0</v>
      </c>
      <c r="E7" s="10">
        <f>COUNTIF(Resp3[3.03],B7)</f>
        <v>7</v>
      </c>
      <c r="F7" s="25">
        <f t="shared" ref="F7:F13" si="0">ROUND($E7/$E$13*100,2)</f>
        <v>23.33</v>
      </c>
      <c r="G7" s="25">
        <f>ROUND($E7/SUM($E$7:$E$12)*100,3)</f>
        <v>23.332999999999998</v>
      </c>
    </row>
    <row r="8" spans="1:7">
      <c r="B8" s="9" t="s">
        <v>22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COUNTIFS(Resp3[Vínculo],"tecnico",Resp3[3.03],B10)</f>
        <v>4</v>
      </c>
      <c r="D10" s="10">
        <f>COUNTIFS(Resp3[Vínculo],"docente",Resp3[3.03],B10)</f>
        <v>0</v>
      </c>
      <c r="E10" s="10">
        <f>COUNTIF(Resp3[3.03],B10)</f>
        <v>4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COUNTIFS(Resp3[Vínculo],"tecnico",Resp3[3.03],B11)</f>
        <v>9</v>
      </c>
      <c r="D11" s="10">
        <f>COUNTIFS(Resp3[Vínculo],"docente",Resp3[3.03],B11)</f>
        <v>0</v>
      </c>
      <c r="E11" s="10">
        <f>COUNTIF(Resp3[3.03],B11)</f>
        <v>9</v>
      </c>
      <c r="F11" s="25">
        <f t="shared" si="0"/>
        <v>30</v>
      </c>
      <c r="G11" s="25">
        <f t="shared" si="1"/>
        <v>30</v>
      </c>
    </row>
    <row r="12" spans="1:7">
      <c r="B12" s="26" t="s">
        <v>14</v>
      </c>
      <c r="C12" s="10">
        <f>COUNTIFS(Resp3[Vínculo],"tecnico",Resp3[3.03],B12)</f>
        <v>10</v>
      </c>
      <c r="D12" s="10">
        <f>COUNTIFS(Resp3[Vínculo],"docente",Resp3[3.03],B12)</f>
        <v>0</v>
      </c>
      <c r="E12" s="10">
        <f>COUNTIF(Resp3[3.03],B12)</f>
        <v>10</v>
      </c>
      <c r="F12" s="100">
        <f t="shared" si="0"/>
        <v>33.33</v>
      </c>
      <c r="G12" s="25">
        <f t="shared" si="1"/>
        <v>33.332999999999998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99.998999999999995</v>
      </c>
    </row>
    <row r="17" spans="2:7">
      <c r="D17" s="13"/>
      <c r="E17" s="13"/>
      <c r="G17" s="9"/>
    </row>
    <row r="18" spans="2:7">
      <c r="B18" s="22" t="s">
        <v>173</v>
      </c>
      <c r="C18" s="22" t="s">
        <v>174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7</v>
      </c>
      <c r="E20" s="44">
        <f>ROUND(D20/SUM(D$19:D$22)*100,3)</f>
        <v>23.332999999999998</v>
      </c>
      <c r="F20" s="15"/>
      <c r="G20" s="10"/>
    </row>
    <row r="21" spans="2:7">
      <c r="B21" s="31" t="s">
        <v>18</v>
      </c>
      <c r="C21" s="31" t="s">
        <v>89</v>
      </c>
      <c r="D21" s="15">
        <f>C10</f>
        <v>4</v>
      </c>
      <c r="E21" s="44">
        <f>ROUND(D21/SUM(D$19:D$22)*100,3)</f>
        <v>13.333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19</v>
      </c>
      <c r="E22" s="45">
        <f>ROUND(D22/SUM(D$19:D$22)*100,3)</f>
        <v>63.332999999999998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COUNTIFS(Resp3[Vínculo],"tecnico",Resp3[3.04],B7)</f>
        <v>6</v>
      </c>
      <c r="D7" s="10">
        <f>COUNTIFS(Resp3[Vínculo],"docente",Resp3[3.04],B7)</f>
        <v>0</v>
      </c>
      <c r="E7" s="10">
        <f>COUNTIF(Resp3[3.04],B7)</f>
        <v>6</v>
      </c>
      <c r="F7" s="25">
        <f t="shared" ref="F7:F13" si="0">ROUND($E7/$E$13*100,2)</f>
        <v>20</v>
      </c>
      <c r="G7" s="25">
        <f>ROUND($E7/SUM($E$7:$E$12)*100,3)</f>
        <v>20</v>
      </c>
    </row>
    <row r="8" spans="1:7">
      <c r="B8" s="9" t="s">
        <v>22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COUNTIFS(Resp3[Vínculo],"tecnico",Resp3[3.04],B9)</f>
        <v>1</v>
      </c>
      <c r="D9" s="10">
        <f>COUNTIFS(Resp3[Vínculo],"docente",Resp3[3.04],B9)</f>
        <v>0</v>
      </c>
      <c r="E9" s="10">
        <f>COUNTIF(Resp3[3.04],B9)</f>
        <v>1</v>
      </c>
      <c r="F9" s="25">
        <f t="shared" si="0"/>
        <v>3.33</v>
      </c>
      <c r="G9" s="25">
        <f t="shared" si="1"/>
        <v>3.3330000000000002</v>
      </c>
    </row>
    <row r="10" spans="1:7">
      <c r="B10" s="9" t="s">
        <v>18</v>
      </c>
      <c r="C10" s="10">
        <f>COUNTIFS(Resp3[Vínculo],"tecnico",Resp3[3.04],B10)</f>
        <v>4</v>
      </c>
      <c r="D10" s="10">
        <f>COUNTIFS(Resp3[Vínculo],"docente",Resp3[3.04],B10)</f>
        <v>0</v>
      </c>
      <c r="E10" s="10">
        <f>COUNTIF(Resp3[3.04],B10)</f>
        <v>4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COUNTIFS(Resp3[Vínculo],"tecnico",Resp3[3.04],B11)</f>
        <v>8</v>
      </c>
      <c r="D11" s="10">
        <f>COUNTIFS(Resp3[Vínculo],"docente",Resp3[3.04],B11)</f>
        <v>0</v>
      </c>
      <c r="E11" s="10">
        <f>COUNTIF(Resp3[3.04],B11)</f>
        <v>8</v>
      </c>
      <c r="F11" s="25">
        <f t="shared" si="0"/>
        <v>26.67</v>
      </c>
      <c r="G11" s="25">
        <f t="shared" si="1"/>
        <v>26.667000000000002</v>
      </c>
    </row>
    <row r="12" spans="1:7">
      <c r="B12" s="26" t="s">
        <v>14</v>
      </c>
      <c r="C12" s="10">
        <f>COUNTIFS(Resp3[Vínculo],"tecnico",Resp3[3.04],B12)</f>
        <v>11</v>
      </c>
      <c r="D12" s="10">
        <f>COUNTIFS(Resp3[Vínculo],"docente",Resp3[3.04],B12)</f>
        <v>0</v>
      </c>
      <c r="E12" s="10">
        <f>COUNTIF(Resp3[3.04],B12)</f>
        <v>11</v>
      </c>
      <c r="F12" s="100">
        <f t="shared" si="0"/>
        <v>36.67</v>
      </c>
      <c r="G12" s="25">
        <f t="shared" si="1"/>
        <v>36.667000000000002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49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3">
        <f>ROUND(D19/SUM(D$19:D$22)*100,3)</f>
        <v>3.3330000000000002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44">
        <f>ROUND(D20/SUM(D$19:D$22)*100,3)</f>
        <v>20</v>
      </c>
    </row>
    <row r="21" spans="2:7">
      <c r="B21" s="31" t="s">
        <v>18</v>
      </c>
      <c r="C21" s="31" t="s">
        <v>89</v>
      </c>
      <c r="D21" s="15">
        <f>C10</f>
        <v>4</v>
      </c>
      <c r="E21" s="44">
        <f>ROUND(D21/SUM(D$19:D$22)*100,3)</f>
        <v>13.333</v>
      </c>
    </row>
    <row r="22" spans="2:7">
      <c r="B22" s="32" t="s">
        <v>95</v>
      </c>
      <c r="C22" s="32" t="s">
        <v>94</v>
      </c>
      <c r="D22" s="33">
        <f>SUM(C11:C12)</f>
        <v>19</v>
      </c>
      <c r="E22" s="45">
        <f>ROUND(D22/SUM(D$19:D$22)*100,3)</f>
        <v>63.332999999999998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COUNTIFS(Resp3[Vínculo],"tecnico",Resp3[3.05],B7)</f>
        <v>3</v>
      </c>
      <c r="D7" s="10">
        <f>COUNTIFS(Resp3[Vínculo],"docente",Resp3[3.05],B7)</f>
        <v>0</v>
      </c>
      <c r="E7" s="10">
        <f>COUNTIF(Resp3[3.05],B7)</f>
        <v>3</v>
      </c>
      <c r="F7" s="25">
        <f t="shared" ref="F7:F13" si="0">ROUND($E7/$E$13*100,2)</f>
        <v>10</v>
      </c>
      <c r="G7" s="25">
        <f>ROUND($E7/SUM($E$7:$E$12)*100,3)</f>
        <v>10</v>
      </c>
    </row>
    <row r="8" spans="1:7">
      <c r="B8" s="9" t="s">
        <v>22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COUNTIFS(Resp3[Vínculo],"tecnico",Resp3[3.05],B9)</f>
        <v>1</v>
      </c>
      <c r="D9" s="10">
        <f>COUNTIFS(Resp3[Vínculo],"docente",Resp3[3.05],B9)</f>
        <v>0</v>
      </c>
      <c r="E9" s="10">
        <f>COUNTIF(Resp3[3.05],B9)</f>
        <v>1</v>
      </c>
      <c r="F9" s="25">
        <f t="shared" si="0"/>
        <v>3.33</v>
      </c>
      <c r="G9" s="25">
        <f t="shared" si="1"/>
        <v>3.3330000000000002</v>
      </c>
    </row>
    <row r="10" spans="1:7">
      <c r="B10" s="9" t="s">
        <v>18</v>
      </c>
      <c r="C10" s="10">
        <f>COUNTIFS(Resp3[Vínculo],"tecnico",Resp3[3.05],B10)</f>
        <v>4</v>
      </c>
      <c r="D10" s="10">
        <f>COUNTIFS(Resp3[Vínculo],"docente",Resp3[3.05],B10)</f>
        <v>0</v>
      </c>
      <c r="E10" s="10">
        <f>COUNTIF(Resp3[3.05],B10)</f>
        <v>4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COUNTIFS(Resp3[Vínculo],"tecnico",Resp3[3.05],B11)</f>
        <v>13</v>
      </c>
      <c r="D11" s="10">
        <f>COUNTIFS(Resp3[Vínculo],"docente",Resp3[3.05],B11)</f>
        <v>0</v>
      </c>
      <c r="E11" s="10">
        <f>COUNTIF(Resp3[3.05],B11)</f>
        <v>13</v>
      </c>
      <c r="F11" s="25">
        <f t="shared" si="0"/>
        <v>43.33</v>
      </c>
      <c r="G11" s="25">
        <f t="shared" si="1"/>
        <v>43.332999999999998</v>
      </c>
    </row>
    <row r="12" spans="1:7">
      <c r="B12" s="26" t="s">
        <v>14</v>
      </c>
      <c r="C12" s="10">
        <f>COUNTIFS(Resp3[Vínculo],"tecnico",Resp3[3.05],B12)</f>
        <v>9</v>
      </c>
      <c r="D12" s="10">
        <f>COUNTIFS(Resp3[Vínculo],"docente",Resp3[3.05],B12)</f>
        <v>0</v>
      </c>
      <c r="E12" s="10">
        <f>COUNTIF(Resp3[3.05],B12)</f>
        <v>9</v>
      </c>
      <c r="F12" s="100">
        <f t="shared" si="0"/>
        <v>30</v>
      </c>
      <c r="G12" s="25">
        <f t="shared" si="1"/>
        <v>30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3.3330000000000002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3</v>
      </c>
      <c r="E20" s="44">
        <f>ROUND(D20/SUM(D$19:D$22)*100,3)</f>
        <v>10</v>
      </c>
    </row>
    <row r="21" spans="2:7">
      <c r="B21" s="31" t="s">
        <v>18</v>
      </c>
      <c r="C21" s="31" t="s">
        <v>89</v>
      </c>
      <c r="D21" s="15">
        <f>C10</f>
        <v>4</v>
      </c>
      <c r="E21" s="44">
        <f>ROUND(D21/SUM(D$19:D$22)*100,3)</f>
        <v>13.333</v>
      </c>
    </row>
    <row r="22" spans="2:7">
      <c r="B22" s="51" t="s">
        <v>95</v>
      </c>
      <c r="C22" s="51" t="s">
        <v>94</v>
      </c>
      <c r="D22" s="15">
        <f>SUM(C11:C12)</f>
        <v>22</v>
      </c>
      <c r="E22" s="44">
        <f>ROUND(D22/SUM(D$19:D$22)*100,3)</f>
        <v>73.332999999999998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COUNTIFS(Resp3[Vínculo],"tecnico",Resp3[3.06],B7)</f>
        <v>3</v>
      </c>
      <c r="D7" s="10">
        <f>COUNTIFS(Resp3[Vínculo],"docente",Resp3[3.06],B7)</f>
        <v>0</v>
      </c>
      <c r="E7" s="10">
        <f>COUNTIF(Resp3[3.06],B7)</f>
        <v>3</v>
      </c>
      <c r="F7" s="25">
        <f t="shared" ref="F7:F13" si="0">ROUND($E7/$E$13*100,2)</f>
        <v>10</v>
      </c>
      <c r="G7" s="25">
        <f>ROUND($E7/SUM($E$7:$E$12)*100,3)</f>
        <v>10</v>
      </c>
    </row>
    <row r="8" spans="1:7">
      <c r="B8" s="9" t="s">
        <v>22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COUNTIFS(Resp3[Vínculo],"tecnico",Resp3[3.06],B10)</f>
        <v>3</v>
      </c>
      <c r="D10" s="10">
        <f>COUNTIFS(Resp3[Vínculo],"docente",Resp3[3.06],B10)</f>
        <v>0</v>
      </c>
      <c r="E10" s="10">
        <f>COUNTIF(Resp3[3.06],B10)</f>
        <v>3</v>
      </c>
      <c r="F10" s="25">
        <f t="shared" si="0"/>
        <v>10</v>
      </c>
      <c r="G10" s="25">
        <f t="shared" si="1"/>
        <v>10</v>
      </c>
    </row>
    <row r="11" spans="1:7">
      <c r="B11" s="9" t="s">
        <v>13</v>
      </c>
      <c r="C11" s="10">
        <f>COUNTIFS(Resp3[Vínculo],"tecnico",Resp3[3.06],B11)</f>
        <v>13</v>
      </c>
      <c r="D11" s="10">
        <f>COUNTIFS(Resp3[Vínculo],"docente",Resp3[3.06],B11)</f>
        <v>0</v>
      </c>
      <c r="E11" s="10">
        <f>COUNTIF(Resp3[3.06],B11)</f>
        <v>13</v>
      </c>
      <c r="F11" s="25">
        <f t="shared" si="0"/>
        <v>43.33</v>
      </c>
      <c r="G11" s="25">
        <f t="shared" si="1"/>
        <v>43.332999999999998</v>
      </c>
    </row>
    <row r="12" spans="1:7">
      <c r="B12" s="26" t="s">
        <v>14</v>
      </c>
      <c r="C12" s="10">
        <f>COUNTIFS(Resp3[Vínculo],"tecnico",Resp3[3.06],B12)</f>
        <v>11</v>
      </c>
      <c r="D12" s="10">
        <f>COUNTIFS(Resp3[Vínculo],"docente",Resp3[3.06],B12)</f>
        <v>0</v>
      </c>
      <c r="E12" s="10">
        <f>COUNTIF(Resp3[3.06],B12)</f>
        <v>11</v>
      </c>
      <c r="F12" s="100">
        <f t="shared" si="0"/>
        <v>36.67</v>
      </c>
      <c r="G12" s="25">
        <f t="shared" si="1"/>
        <v>36.667000000000002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3</v>
      </c>
      <c r="E20" s="44">
        <f>ROUND(D20/SUM(D$19:D$22)*100,3)</f>
        <v>10</v>
      </c>
    </row>
    <row r="21" spans="2:7">
      <c r="B21" s="31" t="s">
        <v>18</v>
      </c>
      <c r="C21" s="31" t="s">
        <v>89</v>
      </c>
      <c r="D21" s="15">
        <f>C10</f>
        <v>3</v>
      </c>
      <c r="E21" s="44">
        <f>ROUND(D21/SUM(D$19:D$22)*100,3)</f>
        <v>10</v>
      </c>
    </row>
    <row r="22" spans="2:7">
      <c r="B22" s="32" t="s">
        <v>95</v>
      </c>
      <c r="C22" s="32" t="s">
        <v>94</v>
      </c>
      <c r="D22" s="33">
        <f>SUM(C11:C12)</f>
        <v>24</v>
      </c>
      <c r="E22" s="45">
        <f>ROUND(D22/SUM(D$19:D$22)*100,3)</f>
        <v>80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COUNTIFS(Resp3[Vínculo],"tecnico",Resp3[3.07],B7)</f>
        <v>6</v>
      </c>
      <c r="D7" s="10">
        <f>COUNTIFS(Resp3[Vínculo],"docente",Resp3[3.07],B7)</f>
        <v>0</v>
      </c>
      <c r="E7" s="10">
        <f>COUNTIF(Resp3[3.07],B7)</f>
        <v>6</v>
      </c>
      <c r="F7" s="25">
        <f t="shared" ref="F7:F13" si="0">ROUND($E7/$E$13*100,2)</f>
        <v>20</v>
      </c>
      <c r="G7" s="25">
        <f>ROUND($E7/SUM($E$7:$E$12)*100,3)</f>
        <v>20</v>
      </c>
    </row>
    <row r="8" spans="1:7">
      <c r="B8" s="9" t="s">
        <v>22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COUNTIFS(Resp3[Vínculo],"tecnico",Resp3[3.07],B9)</f>
        <v>1</v>
      </c>
      <c r="D9" s="10">
        <f>COUNTIFS(Resp3[Vínculo],"docente",Resp3[3.07],B9)</f>
        <v>0</v>
      </c>
      <c r="E9" s="10">
        <f>COUNTIF(Resp3[3.07],B9)</f>
        <v>1</v>
      </c>
      <c r="F9" s="25">
        <f t="shared" si="0"/>
        <v>3.33</v>
      </c>
      <c r="G9" s="25">
        <f t="shared" si="1"/>
        <v>3.3330000000000002</v>
      </c>
    </row>
    <row r="10" spans="1:7">
      <c r="B10" s="9" t="s">
        <v>18</v>
      </c>
      <c r="C10" s="10">
        <f>COUNTIFS(Resp3[Vínculo],"tecnico",Resp3[3.07],B10)</f>
        <v>3</v>
      </c>
      <c r="D10" s="10">
        <f>COUNTIFS(Resp3[Vínculo],"docente",Resp3[3.07],B10)</f>
        <v>0</v>
      </c>
      <c r="E10" s="10">
        <f>COUNTIF(Resp3[3.07],B10)</f>
        <v>3</v>
      </c>
      <c r="F10" s="25">
        <f t="shared" si="0"/>
        <v>10</v>
      </c>
      <c r="G10" s="25">
        <f t="shared" si="1"/>
        <v>10</v>
      </c>
    </row>
    <row r="11" spans="1:7">
      <c r="B11" s="9" t="s">
        <v>13</v>
      </c>
      <c r="C11" s="10">
        <f>COUNTIFS(Resp3[Vínculo],"tecnico",Resp3[3.07],B11)</f>
        <v>11</v>
      </c>
      <c r="D11" s="10">
        <f>COUNTIFS(Resp3[Vínculo],"docente",Resp3[3.07],B11)</f>
        <v>0</v>
      </c>
      <c r="E11" s="10">
        <f>COUNTIF(Resp3[3.07],B11)</f>
        <v>11</v>
      </c>
      <c r="F11" s="25">
        <f t="shared" si="0"/>
        <v>36.67</v>
      </c>
      <c r="G11" s="25">
        <f t="shared" si="1"/>
        <v>36.667000000000002</v>
      </c>
    </row>
    <row r="12" spans="1:7">
      <c r="B12" s="26" t="s">
        <v>14</v>
      </c>
      <c r="C12" s="10">
        <f>COUNTIFS(Resp3[Vínculo],"tecnico",Resp3[3.07],B12)</f>
        <v>9</v>
      </c>
      <c r="D12" s="10">
        <f>COUNTIFS(Resp3[Vínculo],"docente",Resp3[3.07],B12)</f>
        <v>0</v>
      </c>
      <c r="E12" s="10">
        <f>COUNTIF(Resp3[3.07],B12)</f>
        <v>9</v>
      </c>
      <c r="F12" s="100">
        <f t="shared" si="0"/>
        <v>30</v>
      </c>
      <c r="G12" s="25">
        <f t="shared" si="1"/>
        <v>30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3.3330000000000002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44">
        <f>ROUND(D20/SUM(D$19:D$22)*100,3)</f>
        <v>20</v>
      </c>
    </row>
    <row r="21" spans="2:7">
      <c r="B21" s="31" t="s">
        <v>18</v>
      </c>
      <c r="C21" s="31" t="s">
        <v>89</v>
      </c>
      <c r="D21" s="15">
        <f>C10</f>
        <v>3</v>
      </c>
      <c r="E21" s="44">
        <f>ROUND(D21/SUM(D$19:D$22)*100,3)</f>
        <v>10</v>
      </c>
    </row>
    <row r="22" spans="2:7">
      <c r="B22" s="32" t="s">
        <v>95</v>
      </c>
      <c r="C22" s="32" t="s">
        <v>94</v>
      </c>
      <c r="D22" s="33">
        <f>SUM(C11:C12)</f>
        <v>20</v>
      </c>
      <c r="E22" s="45">
        <f>ROUND(D22/SUM(D$19:D$22)*100,3)</f>
        <v>66.667000000000002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="90" zoomScaleNormal="90" workbookViewId="0">
      <selection activeCell="B2" sqref="B2:B31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23</v>
      </c>
      <c r="D1" s="75" t="s">
        <v>24</v>
      </c>
      <c r="E1" s="75" t="s">
        <v>25</v>
      </c>
      <c r="F1" s="75" t="s">
        <v>26</v>
      </c>
      <c r="G1" s="75" t="s">
        <v>27</v>
      </c>
      <c r="H1" s="75" t="s">
        <v>28</v>
      </c>
      <c r="I1" s="75" t="s">
        <v>29</v>
      </c>
      <c r="J1" s="75" t="s">
        <v>30</v>
      </c>
      <c r="K1" s="75" t="s">
        <v>31</v>
      </c>
      <c r="L1" s="75" t="s">
        <v>32</v>
      </c>
    </row>
    <row r="2" spans="1:12">
      <c r="A2" s="78" t="s">
        <v>8</v>
      </c>
      <c r="B2" s="78" t="s">
        <v>9</v>
      </c>
      <c r="C2" s="78" t="s">
        <v>13</v>
      </c>
      <c r="D2" s="78" t="s">
        <v>14</v>
      </c>
      <c r="E2" s="78" t="s">
        <v>13</v>
      </c>
      <c r="F2" s="78" t="s">
        <v>14</v>
      </c>
      <c r="G2" s="78" t="s">
        <v>14</v>
      </c>
      <c r="H2" s="78" t="s">
        <v>14</v>
      </c>
      <c r="I2" s="78" t="s">
        <v>14</v>
      </c>
      <c r="J2" s="78" t="s">
        <v>14</v>
      </c>
      <c r="K2" s="78" t="s">
        <v>14</v>
      </c>
      <c r="L2" s="78" t="s">
        <v>14</v>
      </c>
    </row>
    <row r="3" spans="1:12">
      <c r="A3" s="78" t="s">
        <v>8</v>
      </c>
      <c r="B3" s="78" t="s">
        <v>9</v>
      </c>
      <c r="C3" s="78" t="s">
        <v>13</v>
      </c>
      <c r="D3" s="78" t="s">
        <v>13</v>
      </c>
      <c r="E3" s="78" t="s">
        <v>13</v>
      </c>
      <c r="F3" s="78" t="s">
        <v>13</v>
      </c>
      <c r="G3" s="78" t="s">
        <v>13</v>
      </c>
      <c r="H3" s="78" t="s">
        <v>13</v>
      </c>
      <c r="I3" s="78" t="s">
        <v>13</v>
      </c>
      <c r="J3" s="78" t="s">
        <v>13</v>
      </c>
      <c r="K3" s="78" t="s">
        <v>14</v>
      </c>
      <c r="L3" s="78" t="s">
        <v>13</v>
      </c>
    </row>
    <row r="4" spans="1:12">
      <c r="A4" s="78" t="s">
        <v>8</v>
      </c>
      <c r="B4" s="78" t="s">
        <v>9</v>
      </c>
      <c r="C4" s="78" t="s">
        <v>13</v>
      </c>
      <c r="D4" s="78" t="s">
        <v>13</v>
      </c>
      <c r="E4" s="78" t="s">
        <v>13</v>
      </c>
      <c r="F4" s="78" t="s">
        <v>13</v>
      </c>
      <c r="G4" s="78" t="s">
        <v>13</v>
      </c>
      <c r="H4" s="78" t="s">
        <v>13</v>
      </c>
      <c r="I4" s="78" t="s">
        <v>18</v>
      </c>
      <c r="J4" s="78" t="s">
        <v>13</v>
      </c>
      <c r="K4" s="78" t="s">
        <v>13</v>
      </c>
      <c r="L4" s="78" t="s">
        <v>13</v>
      </c>
    </row>
    <row r="5" spans="1:12">
      <c r="A5" s="78" t="s">
        <v>8</v>
      </c>
      <c r="B5" s="78" t="s">
        <v>9</v>
      </c>
      <c r="C5" s="78" t="s">
        <v>13</v>
      </c>
      <c r="D5" s="78" t="s">
        <v>13</v>
      </c>
      <c r="E5" s="78" t="s">
        <v>13</v>
      </c>
      <c r="F5" s="78" t="s">
        <v>13</v>
      </c>
      <c r="G5" s="78" t="s">
        <v>13</v>
      </c>
      <c r="H5" s="78" t="s">
        <v>13</v>
      </c>
      <c r="I5" s="78" t="s">
        <v>13</v>
      </c>
      <c r="J5" s="78" t="s">
        <v>13</v>
      </c>
      <c r="K5" s="78" t="s">
        <v>13</v>
      </c>
      <c r="L5" s="78" t="s">
        <v>13</v>
      </c>
    </row>
    <row r="6" spans="1:12">
      <c r="A6" s="78" t="s">
        <v>8</v>
      </c>
      <c r="B6" s="78" t="s">
        <v>9</v>
      </c>
      <c r="C6" s="78" t="s">
        <v>13</v>
      </c>
      <c r="D6" s="78" t="s">
        <v>13</v>
      </c>
      <c r="E6" s="78" t="s">
        <v>18</v>
      </c>
      <c r="F6" s="78" t="s">
        <v>18</v>
      </c>
      <c r="G6" s="78" t="s">
        <v>13</v>
      </c>
      <c r="H6" s="78" t="s">
        <v>13</v>
      </c>
      <c r="I6" s="78" t="s">
        <v>13</v>
      </c>
      <c r="J6" s="78" t="s">
        <v>13</v>
      </c>
      <c r="K6" s="78" t="s">
        <v>13</v>
      </c>
      <c r="L6" s="78" t="s">
        <v>13</v>
      </c>
    </row>
    <row r="7" spans="1:12">
      <c r="A7" s="78" t="s">
        <v>8</v>
      </c>
      <c r="B7" s="78" t="s">
        <v>9</v>
      </c>
      <c r="C7" s="78" t="s">
        <v>13</v>
      </c>
      <c r="D7" s="78" t="s">
        <v>13</v>
      </c>
      <c r="E7" s="78" t="s">
        <v>13</v>
      </c>
      <c r="F7" s="78" t="s">
        <v>13</v>
      </c>
      <c r="G7" s="78" t="s">
        <v>13</v>
      </c>
      <c r="H7" s="78" t="s">
        <v>13</v>
      </c>
      <c r="I7" s="78" t="s">
        <v>13</v>
      </c>
      <c r="J7" s="78" t="s">
        <v>14</v>
      </c>
      <c r="K7" s="78" t="s">
        <v>14</v>
      </c>
      <c r="L7" s="78" t="s">
        <v>14</v>
      </c>
    </row>
    <row r="8" spans="1:12">
      <c r="A8" s="78" t="s">
        <v>8</v>
      </c>
      <c r="B8" s="78" t="s">
        <v>9</v>
      </c>
      <c r="C8" s="78" t="s">
        <v>13</v>
      </c>
      <c r="D8" s="78" t="s">
        <v>14</v>
      </c>
      <c r="E8" s="78" t="s">
        <v>14</v>
      </c>
      <c r="F8" s="78" t="s">
        <v>14</v>
      </c>
      <c r="G8" s="78" t="s">
        <v>14</v>
      </c>
      <c r="H8" s="78" t="s">
        <v>14</v>
      </c>
      <c r="I8" s="78" t="s">
        <v>13</v>
      </c>
      <c r="J8" s="78" t="s">
        <v>14</v>
      </c>
      <c r="K8" s="78" t="s">
        <v>14</v>
      </c>
      <c r="L8" s="78" t="s">
        <v>14</v>
      </c>
    </row>
    <row r="9" spans="1:12">
      <c r="A9" s="78" t="s">
        <v>8</v>
      </c>
      <c r="B9" s="78" t="s">
        <v>9</v>
      </c>
      <c r="C9" s="78" t="s">
        <v>13</v>
      </c>
      <c r="D9" s="78" t="s">
        <v>13</v>
      </c>
      <c r="E9" s="78" t="s">
        <v>21</v>
      </c>
      <c r="F9" s="78" t="s">
        <v>13</v>
      </c>
      <c r="G9" s="78" t="s">
        <v>13</v>
      </c>
      <c r="H9" s="78" t="s">
        <v>13</v>
      </c>
      <c r="I9" s="78" t="s">
        <v>13</v>
      </c>
      <c r="J9" s="78" t="s">
        <v>14</v>
      </c>
      <c r="K9" s="78" t="s">
        <v>14</v>
      </c>
      <c r="L9" s="78" t="s">
        <v>14</v>
      </c>
    </row>
    <row r="10" spans="1:12">
      <c r="A10" s="78" t="s">
        <v>8</v>
      </c>
      <c r="B10" s="78" t="s">
        <v>9</v>
      </c>
      <c r="C10" s="78" t="s">
        <v>13</v>
      </c>
      <c r="D10" s="78" t="s">
        <v>13</v>
      </c>
      <c r="E10" s="78" t="s">
        <v>13</v>
      </c>
      <c r="F10" s="78" t="s">
        <v>13</v>
      </c>
      <c r="G10" s="78" t="s">
        <v>18</v>
      </c>
      <c r="H10" s="78" t="s">
        <v>13</v>
      </c>
      <c r="I10" s="78" t="s">
        <v>21</v>
      </c>
      <c r="J10" s="78" t="s">
        <v>13</v>
      </c>
      <c r="K10" s="78" t="s">
        <v>13</v>
      </c>
      <c r="L10" s="78" t="s">
        <v>13</v>
      </c>
    </row>
    <row r="11" spans="1:12">
      <c r="A11" s="78" t="s">
        <v>8</v>
      </c>
      <c r="B11" s="78" t="s">
        <v>9</v>
      </c>
      <c r="C11" s="78" t="s">
        <v>14</v>
      </c>
      <c r="D11" s="78" t="s">
        <v>14</v>
      </c>
      <c r="E11" s="78" t="s">
        <v>13</v>
      </c>
      <c r="F11" s="78" t="s">
        <v>14</v>
      </c>
      <c r="G11" s="78" t="s">
        <v>13</v>
      </c>
      <c r="H11" s="78" t="s">
        <v>14</v>
      </c>
      <c r="I11" s="78" t="s">
        <v>21</v>
      </c>
      <c r="J11" s="78" t="s">
        <v>13</v>
      </c>
      <c r="K11" s="78" t="s">
        <v>13</v>
      </c>
      <c r="L11" s="78" t="s">
        <v>14</v>
      </c>
    </row>
    <row r="12" spans="1:12">
      <c r="A12" s="78" t="s">
        <v>8</v>
      </c>
      <c r="B12" s="78" t="s">
        <v>9</v>
      </c>
      <c r="C12" s="78" t="s">
        <v>14</v>
      </c>
      <c r="D12" s="78" t="s">
        <v>14</v>
      </c>
      <c r="E12" s="78" t="s">
        <v>14</v>
      </c>
      <c r="F12" s="78" t="s">
        <v>14</v>
      </c>
      <c r="G12" s="78" t="s">
        <v>14</v>
      </c>
      <c r="H12" s="78" t="s">
        <v>14</v>
      </c>
      <c r="I12" s="78" t="s">
        <v>14</v>
      </c>
      <c r="J12" s="78" t="s">
        <v>14</v>
      </c>
      <c r="K12" s="78" t="s">
        <v>14</v>
      </c>
      <c r="L12" s="78" t="s">
        <v>14</v>
      </c>
    </row>
    <row r="13" spans="1:12">
      <c r="A13" s="78" t="s">
        <v>8</v>
      </c>
      <c r="B13" s="78" t="s">
        <v>9</v>
      </c>
      <c r="C13" s="78" t="s">
        <v>14</v>
      </c>
      <c r="D13" s="78" t="s">
        <v>14</v>
      </c>
      <c r="E13" s="78" t="s">
        <v>14</v>
      </c>
      <c r="F13" s="78" t="s">
        <v>14</v>
      </c>
      <c r="G13" s="78" t="s">
        <v>14</v>
      </c>
      <c r="H13" s="78" t="s">
        <v>14</v>
      </c>
      <c r="I13" s="78" t="s">
        <v>14</v>
      </c>
      <c r="J13" s="78" t="s">
        <v>14</v>
      </c>
      <c r="K13" s="78" t="s">
        <v>13</v>
      </c>
      <c r="L13" s="78" t="s">
        <v>14</v>
      </c>
    </row>
    <row r="14" spans="1:12">
      <c r="A14" s="78" t="s">
        <v>8</v>
      </c>
      <c r="B14" s="78" t="s">
        <v>9</v>
      </c>
      <c r="C14" s="78" t="s">
        <v>14</v>
      </c>
      <c r="D14" s="78" t="s">
        <v>14</v>
      </c>
      <c r="E14" s="78" t="s">
        <v>14</v>
      </c>
      <c r="F14" s="78" t="s">
        <v>14</v>
      </c>
      <c r="G14" s="78" t="s">
        <v>14</v>
      </c>
      <c r="H14" s="78" t="s">
        <v>14</v>
      </c>
      <c r="I14" s="78" t="s">
        <v>14</v>
      </c>
      <c r="J14" s="78" t="s">
        <v>14</v>
      </c>
      <c r="K14" s="78" t="s">
        <v>14</v>
      </c>
      <c r="L14" s="78" t="s">
        <v>14</v>
      </c>
    </row>
    <row r="15" spans="1:12">
      <c r="A15" s="78" t="s">
        <v>8</v>
      </c>
      <c r="B15" s="78" t="s">
        <v>9</v>
      </c>
      <c r="C15" s="78" t="s">
        <v>14</v>
      </c>
      <c r="D15" s="78" t="s">
        <v>14</v>
      </c>
      <c r="E15" s="78" t="s">
        <v>14</v>
      </c>
      <c r="F15" s="78" t="s">
        <v>14</v>
      </c>
      <c r="G15" s="78" t="s">
        <v>14</v>
      </c>
      <c r="H15" s="78" t="s">
        <v>14</v>
      </c>
      <c r="I15" s="78" t="s">
        <v>14</v>
      </c>
      <c r="J15" s="78" t="s">
        <v>14</v>
      </c>
      <c r="K15" s="78" t="s">
        <v>14</v>
      </c>
      <c r="L15" s="78" t="s">
        <v>14</v>
      </c>
    </row>
    <row r="16" spans="1:12">
      <c r="A16" s="78" t="s">
        <v>8</v>
      </c>
      <c r="B16" s="78" t="s">
        <v>9</v>
      </c>
      <c r="C16" s="78" t="s">
        <v>14</v>
      </c>
      <c r="D16" s="78" t="s">
        <v>14</v>
      </c>
      <c r="E16" s="78" t="s">
        <v>14</v>
      </c>
      <c r="F16" s="78" t="s">
        <v>13</v>
      </c>
      <c r="G16" s="78" t="s">
        <v>13</v>
      </c>
      <c r="H16" s="78" t="s">
        <v>14</v>
      </c>
      <c r="I16" s="78" t="s">
        <v>14</v>
      </c>
      <c r="J16" s="78" t="s">
        <v>14</v>
      </c>
      <c r="K16" s="78" t="s">
        <v>13</v>
      </c>
      <c r="L16" s="78" t="s">
        <v>14</v>
      </c>
    </row>
    <row r="17" spans="1:12">
      <c r="A17" s="78" t="s">
        <v>8</v>
      </c>
      <c r="B17" s="78" t="s">
        <v>9</v>
      </c>
      <c r="C17" s="78" t="s">
        <v>14</v>
      </c>
      <c r="D17" s="78" t="s">
        <v>14</v>
      </c>
      <c r="E17" s="78" t="s">
        <v>14</v>
      </c>
      <c r="F17" s="78" t="s">
        <v>14</v>
      </c>
      <c r="G17" s="78" t="s">
        <v>14</v>
      </c>
      <c r="H17" s="78" t="s">
        <v>14</v>
      </c>
      <c r="I17" s="78" t="s">
        <v>14</v>
      </c>
      <c r="J17" s="78" t="s">
        <v>14</v>
      </c>
      <c r="K17" s="78" t="s">
        <v>14</v>
      </c>
      <c r="L17" s="78" t="s">
        <v>14</v>
      </c>
    </row>
    <row r="18" spans="1:12">
      <c r="A18" s="78" t="s">
        <v>8</v>
      </c>
      <c r="B18" s="78" t="s">
        <v>9</v>
      </c>
      <c r="C18" s="78" t="s">
        <v>14</v>
      </c>
      <c r="D18" s="78" t="s">
        <v>14</v>
      </c>
      <c r="E18" s="78" t="s">
        <v>14</v>
      </c>
      <c r="F18" s="78" t="s">
        <v>14</v>
      </c>
      <c r="G18" s="78" t="s">
        <v>14</v>
      </c>
      <c r="H18" s="78" t="s">
        <v>14</v>
      </c>
      <c r="I18" s="78" t="s">
        <v>14</v>
      </c>
      <c r="J18" s="78" t="s">
        <v>14</v>
      </c>
      <c r="K18" s="78" t="s">
        <v>14</v>
      </c>
      <c r="L18" s="78" t="s">
        <v>14</v>
      </c>
    </row>
    <row r="19" spans="1:12">
      <c r="A19" s="78" t="s">
        <v>8</v>
      </c>
      <c r="B19" s="78" t="s">
        <v>9</v>
      </c>
      <c r="C19" s="78" t="s">
        <v>14</v>
      </c>
      <c r="D19" s="78" t="s">
        <v>14</v>
      </c>
      <c r="E19" s="78" t="s">
        <v>14</v>
      </c>
      <c r="F19" s="78" t="s">
        <v>14</v>
      </c>
      <c r="G19" s="78" t="s">
        <v>14</v>
      </c>
      <c r="H19" s="78" t="s">
        <v>14</v>
      </c>
      <c r="I19" s="78" t="s">
        <v>14</v>
      </c>
      <c r="J19" s="78" t="s">
        <v>14</v>
      </c>
      <c r="K19" s="78" t="s">
        <v>14</v>
      </c>
      <c r="L19" s="78" t="s">
        <v>14</v>
      </c>
    </row>
    <row r="20" spans="1:12">
      <c r="A20" s="78" t="s">
        <v>8</v>
      </c>
      <c r="B20" s="78" t="s">
        <v>9</v>
      </c>
      <c r="C20" s="78" t="s">
        <v>21</v>
      </c>
      <c r="D20" s="78" t="s">
        <v>21</v>
      </c>
      <c r="E20" s="78" t="s">
        <v>21</v>
      </c>
      <c r="F20" s="78" t="s">
        <v>21</v>
      </c>
      <c r="G20" s="78" t="s">
        <v>21</v>
      </c>
      <c r="H20" s="78" t="s">
        <v>21</v>
      </c>
      <c r="I20" s="78" t="s">
        <v>21</v>
      </c>
      <c r="J20" s="78" t="s">
        <v>13</v>
      </c>
      <c r="K20" s="78" t="s">
        <v>13</v>
      </c>
      <c r="L20" s="78" t="s">
        <v>13</v>
      </c>
    </row>
    <row r="21" spans="1:12">
      <c r="A21" s="78" t="s">
        <v>8</v>
      </c>
      <c r="B21" s="78" t="s">
        <v>9</v>
      </c>
      <c r="C21" s="78" t="s">
        <v>21</v>
      </c>
      <c r="D21" s="78" t="s">
        <v>21</v>
      </c>
      <c r="E21" s="78" t="s">
        <v>21</v>
      </c>
      <c r="F21" s="78" t="s">
        <v>21</v>
      </c>
      <c r="G21" s="78" t="s">
        <v>19</v>
      </c>
      <c r="H21" s="78" t="s">
        <v>18</v>
      </c>
      <c r="I21" s="78" t="s">
        <v>21</v>
      </c>
      <c r="J21" s="78" t="s">
        <v>18</v>
      </c>
      <c r="K21" s="78" t="s">
        <v>18</v>
      </c>
      <c r="L21" s="78" t="s">
        <v>18</v>
      </c>
    </row>
    <row r="22" spans="1:12">
      <c r="A22" s="78" t="s">
        <v>8</v>
      </c>
      <c r="B22" s="78" t="s">
        <v>9</v>
      </c>
      <c r="C22" s="78" t="s">
        <v>21</v>
      </c>
      <c r="D22" s="78" t="s">
        <v>21</v>
      </c>
      <c r="E22" s="78" t="s">
        <v>21</v>
      </c>
      <c r="F22" s="78" t="s">
        <v>21</v>
      </c>
      <c r="G22" s="78" t="s">
        <v>21</v>
      </c>
      <c r="H22" s="78" t="s">
        <v>21</v>
      </c>
      <c r="I22" s="78" t="s">
        <v>21</v>
      </c>
      <c r="J22" s="78" t="s">
        <v>13</v>
      </c>
      <c r="K22" s="78" t="s">
        <v>13</v>
      </c>
      <c r="L22" s="78" t="s">
        <v>13</v>
      </c>
    </row>
    <row r="23" spans="1:12">
      <c r="A23" s="78" t="s">
        <v>8</v>
      </c>
      <c r="B23" s="78" t="s">
        <v>9</v>
      </c>
      <c r="C23" s="78" t="s">
        <v>21</v>
      </c>
      <c r="D23" s="78" t="s">
        <v>21</v>
      </c>
      <c r="E23" s="78" t="s">
        <v>21</v>
      </c>
      <c r="F23" s="78" t="s">
        <v>21</v>
      </c>
      <c r="G23" s="78" t="s">
        <v>13</v>
      </c>
      <c r="H23" s="78" t="s">
        <v>13</v>
      </c>
      <c r="I23" s="78" t="s">
        <v>18</v>
      </c>
      <c r="J23" s="78" t="s">
        <v>13</v>
      </c>
      <c r="K23" s="78" t="s">
        <v>13</v>
      </c>
      <c r="L23" s="78" t="s">
        <v>21</v>
      </c>
    </row>
    <row r="24" spans="1:12">
      <c r="A24" s="78" t="s">
        <v>8</v>
      </c>
      <c r="B24" s="78" t="s">
        <v>9</v>
      </c>
      <c r="C24" s="78" t="s">
        <v>21</v>
      </c>
      <c r="D24" s="78" t="s">
        <v>21</v>
      </c>
      <c r="E24" s="78" t="s">
        <v>21</v>
      </c>
      <c r="F24" s="78" t="s">
        <v>21</v>
      </c>
      <c r="G24" s="78" t="s">
        <v>21</v>
      </c>
      <c r="H24" s="78" t="s">
        <v>21</v>
      </c>
      <c r="I24" s="78" t="s">
        <v>21</v>
      </c>
      <c r="J24" s="78" t="s">
        <v>21</v>
      </c>
      <c r="K24" s="78" t="s">
        <v>21</v>
      </c>
      <c r="L24" s="78" t="s">
        <v>21</v>
      </c>
    </row>
    <row r="25" spans="1:12">
      <c r="A25" s="78" t="s">
        <v>8</v>
      </c>
      <c r="B25" s="78" t="s">
        <v>9</v>
      </c>
      <c r="C25" s="78" t="s">
        <v>18</v>
      </c>
      <c r="D25" s="78" t="s">
        <v>18</v>
      </c>
      <c r="E25" s="78" t="s">
        <v>18</v>
      </c>
      <c r="F25" s="78" t="s">
        <v>18</v>
      </c>
      <c r="G25" s="78" t="s">
        <v>13</v>
      </c>
      <c r="H25" s="78" t="s">
        <v>13</v>
      </c>
      <c r="I25" s="78" t="s">
        <v>13</v>
      </c>
      <c r="J25" s="78" t="s">
        <v>14</v>
      </c>
      <c r="K25" s="78" t="s">
        <v>14</v>
      </c>
      <c r="L25" s="78" t="s">
        <v>13</v>
      </c>
    </row>
    <row r="26" spans="1:12">
      <c r="A26" s="78" t="s">
        <v>8</v>
      </c>
      <c r="B26" s="78" t="s">
        <v>9</v>
      </c>
      <c r="C26" s="78" t="s">
        <v>18</v>
      </c>
      <c r="D26" s="78" t="s">
        <v>13</v>
      </c>
      <c r="E26" s="78" t="s">
        <v>13</v>
      </c>
      <c r="F26" s="78" t="s">
        <v>18</v>
      </c>
      <c r="G26" s="78" t="s">
        <v>18</v>
      </c>
      <c r="H26" s="78" t="s">
        <v>13</v>
      </c>
      <c r="I26" s="78" t="s">
        <v>13</v>
      </c>
      <c r="J26" s="78" t="s">
        <v>18</v>
      </c>
      <c r="K26" s="78" t="s">
        <v>13</v>
      </c>
      <c r="L26" s="78" t="s">
        <v>18</v>
      </c>
    </row>
    <row r="27" spans="1:12">
      <c r="A27" s="78" t="s">
        <v>8</v>
      </c>
      <c r="B27" s="78" t="s">
        <v>9</v>
      </c>
      <c r="C27" s="78" t="s">
        <v>18</v>
      </c>
      <c r="D27" s="78" t="s">
        <v>13</v>
      </c>
      <c r="E27" s="78" t="s">
        <v>14</v>
      </c>
      <c r="F27" s="78" t="s">
        <v>14</v>
      </c>
      <c r="G27" s="78" t="s">
        <v>13</v>
      </c>
      <c r="H27" s="78" t="s">
        <v>18</v>
      </c>
      <c r="I27" s="78" t="s">
        <v>19</v>
      </c>
      <c r="J27" s="78" t="s">
        <v>18</v>
      </c>
      <c r="K27" s="78" t="s">
        <v>13</v>
      </c>
      <c r="L27" s="78" t="s">
        <v>18</v>
      </c>
    </row>
    <row r="28" spans="1:12">
      <c r="A28" s="78" t="s">
        <v>8</v>
      </c>
      <c r="B28" s="78" t="s">
        <v>9</v>
      </c>
      <c r="C28" s="78" t="s">
        <v>18</v>
      </c>
      <c r="D28" s="78" t="s">
        <v>18</v>
      </c>
      <c r="E28" s="78" t="s">
        <v>18</v>
      </c>
      <c r="F28" s="78" t="s">
        <v>19</v>
      </c>
      <c r="G28" s="78" t="s">
        <v>18</v>
      </c>
      <c r="H28" s="78" t="s">
        <v>13</v>
      </c>
      <c r="I28" s="78" t="s">
        <v>13</v>
      </c>
      <c r="J28" s="78" t="s">
        <v>13</v>
      </c>
      <c r="K28" s="78" t="s">
        <v>13</v>
      </c>
      <c r="L28" s="78" t="s">
        <v>18</v>
      </c>
    </row>
    <row r="29" spans="1:12">
      <c r="A29" s="78" t="s">
        <v>8</v>
      </c>
      <c r="B29" s="78" t="s">
        <v>9</v>
      </c>
      <c r="C29" s="78" t="s">
        <v>18</v>
      </c>
      <c r="D29" s="78" t="s">
        <v>18</v>
      </c>
      <c r="E29" s="78" t="s">
        <v>21</v>
      </c>
      <c r="F29" s="78" t="s">
        <v>21</v>
      </c>
      <c r="G29" s="78" t="s">
        <v>13</v>
      </c>
      <c r="H29" s="78" t="s">
        <v>13</v>
      </c>
      <c r="I29" s="78" t="s">
        <v>13</v>
      </c>
      <c r="J29" s="78" t="s">
        <v>13</v>
      </c>
      <c r="K29" s="78" t="s">
        <v>13</v>
      </c>
      <c r="L29" s="78" t="s">
        <v>13</v>
      </c>
    </row>
    <row r="30" spans="1:12">
      <c r="A30" s="78" t="s">
        <v>8</v>
      </c>
      <c r="B30" s="78" t="s">
        <v>9</v>
      </c>
      <c r="C30" s="78" t="s">
        <v>18</v>
      </c>
      <c r="D30" s="78" t="s">
        <v>13</v>
      </c>
      <c r="E30" s="78" t="s">
        <v>13</v>
      </c>
      <c r="F30" s="78" t="s">
        <v>13</v>
      </c>
      <c r="G30" s="78" t="s">
        <v>13</v>
      </c>
      <c r="H30" s="78" t="s">
        <v>13</v>
      </c>
      <c r="I30" s="78" t="s">
        <v>13</v>
      </c>
      <c r="J30" s="78" t="s">
        <v>13</v>
      </c>
      <c r="K30" s="78" t="s">
        <v>13</v>
      </c>
      <c r="L30" s="78" t="s">
        <v>13</v>
      </c>
    </row>
    <row r="31" spans="1:12">
      <c r="A31" s="78" t="s">
        <v>8</v>
      </c>
      <c r="B31" s="78" t="s">
        <v>9</v>
      </c>
      <c r="C31" s="78" t="s">
        <v>18</v>
      </c>
      <c r="D31" s="78" t="s">
        <v>18</v>
      </c>
      <c r="E31" s="78" t="s">
        <v>18</v>
      </c>
      <c r="F31" s="78" t="s">
        <v>18</v>
      </c>
      <c r="G31" s="78" t="s">
        <v>18</v>
      </c>
      <c r="H31" s="78" t="s">
        <v>18</v>
      </c>
      <c r="I31" s="78" t="s">
        <v>18</v>
      </c>
      <c r="J31" s="78" t="s">
        <v>18</v>
      </c>
      <c r="K31" s="78" t="s">
        <v>18</v>
      </c>
      <c r="L31" s="78" t="s">
        <v>18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COUNTIFS(Resp3[Vínculo],"tecnico",Resp3[3.08],B7)</f>
        <v>1</v>
      </c>
      <c r="D7" s="10">
        <f>COUNTIFS(Resp3[Vínculo],"docente",Resp3[3.08],B7)</f>
        <v>0</v>
      </c>
      <c r="E7" s="10">
        <f>COUNTIF(Resp3[3.08],B7)</f>
        <v>1</v>
      </c>
      <c r="F7" s="25">
        <f t="shared" ref="F7:F13" si="0">ROUND($E7/$E$13*100,2)</f>
        <v>3.33</v>
      </c>
      <c r="G7" s="25">
        <f>ROUND($E7/SUM($E$7:$E$12)*100,3)</f>
        <v>3.3330000000000002</v>
      </c>
    </row>
    <row r="8" spans="1:7">
      <c r="B8" s="9" t="s">
        <v>22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COUNTIFS(Resp3[Vínculo],"tecnico",Resp3[3.08],B10)</f>
        <v>4</v>
      </c>
      <c r="D10" s="10">
        <f>COUNTIFS(Resp3[Vínculo],"docente",Resp3[3.08],B10)</f>
        <v>0</v>
      </c>
      <c r="E10" s="10">
        <f>COUNTIF(Resp3[3.08],B10)</f>
        <v>4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COUNTIFS(Resp3[Vínculo],"tecnico",Resp3[3.08],B11)</f>
        <v>12</v>
      </c>
      <c r="D11" s="10">
        <f>COUNTIFS(Resp3[Vínculo],"docente",Resp3[3.08],B11)</f>
        <v>0</v>
      </c>
      <c r="E11" s="10">
        <f>COUNTIF(Resp3[3.08],B11)</f>
        <v>12</v>
      </c>
      <c r="F11" s="25">
        <f t="shared" si="0"/>
        <v>40</v>
      </c>
      <c r="G11" s="25">
        <f t="shared" si="1"/>
        <v>40</v>
      </c>
    </row>
    <row r="12" spans="1:7">
      <c r="B12" s="26" t="s">
        <v>14</v>
      </c>
      <c r="C12" s="10">
        <f>COUNTIFS(Resp3[Vínculo],"tecnico",Resp3[3.08],B12)</f>
        <v>13</v>
      </c>
      <c r="D12" s="10">
        <f>COUNTIFS(Resp3[Vínculo],"docente",Resp3[3.08],B12)</f>
        <v>0</v>
      </c>
      <c r="E12" s="10">
        <f>COUNTIF(Resp3[3.08],B12)</f>
        <v>13</v>
      </c>
      <c r="F12" s="100">
        <f t="shared" si="0"/>
        <v>43.33</v>
      </c>
      <c r="G12" s="25">
        <f t="shared" si="1"/>
        <v>43.332999999999998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44">
        <f>ROUND(D20/SUM(D$19:D$22)*100,3)</f>
        <v>3.3330000000000002</v>
      </c>
    </row>
    <row r="21" spans="2:7">
      <c r="B21" s="31" t="s">
        <v>18</v>
      </c>
      <c r="C21" s="31" t="s">
        <v>89</v>
      </c>
      <c r="D21" s="15">
        <f>C10</f>
        <v>4</v>
      </c>
      <c r="E21" s="44">
        <f>ROUND(D21/SUM(D$19:D$22)*100,3)</f>
        <v>13.333</v>
      </c>
    </row>
    <row r="22" spans="2:7">
      <c r="B22" s="32" t="s">
        <v>95</v>
      </c>
      <c r="C22" s="32" t="s">
        <v>94</v>
      </c>
      <c r="D22" s="33">
        <f>SUM(C11:C12)</f>
        <v>25</v>
      </c>
      <c r="E22" s="45">
        <f>ROUND(D22/SUM(D$19:D$22)*100,3)</f>
        <v>83.332999999999998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COUNTIFS(Resp3[Vínculo],"tecnico",Resp3[3.09],B7)</f>
        <v>1</v>
      </c>
      <c r="D7" s="10">
        <f>COUNTIFS(Resp3[Vínculo],"docente",Resp3[3.09],B7)</f>
        <v>0</v>
      </c>
      <c r="E7" s="10">
        <f>COUNTIF(Resp3[3.09],B7)</f>
        <v>1</v>
      </c>
      <c r="F7" s="25">
        <f t="shared" ref="F7:F13" si="0">ROUND($E7/$E$13*100,2)</f>
        <v>3.33</v>
      </c>
      <c r="G7" s="25">
        <f>ROUND($E7/SUM($E$7:$E$12)*100,3)</f>
        <v>3.3330000000000002</v>
      </c>
    </row>
    <row r="8" spans="1:7">
      <c r="B8" s="9" t="s">
        <v>22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COUNTIFS(Resp3[Vínculo],"tecnico",Resp3[3.09],B10)</f>
        <v>2</v>
      </c>
      <c r="D10" s="10">
        <f>COUNTIFS(Resp3[Vínculo],"docente",Resp3[3.09],B10)</f>
        <v>0</v>
      </c>
      <c r="E10" s="10">
        <f>COUNTIF(Resp3[3.09],B10)</f>
        <v>2</v>
      </c>
      <c r="F10" s="25">
        <f t="shared" si="0"/>
        <v>6.67</v>
      </c>
      <c r="G10" s="25">
        <f t="shared" si="1"/>
        <v>6.6669999999999998</v>
      </c>
    </row>
    <row r="11" spans="1:7">
      <c r="B11" s="9" t="s">
        <v>13</v>
      </c>
      <c r="C11" s="10">
        <f>COUNTIFS(Resp3[Vínculo],"tecnico",Resp3[3.09],B11)</f>
        <v>15</v>
      </c>
      <c r="D11" s="10">
        <f>COUNTIFS(Resp3[Vínculo],"docente",Resp3[3.09],B11)</f>
        <v>0</v>
      </c>
      <c r="E11" s="10">
        <f>COUNTIF(Resp3[3.09],B11)</f>
        <v>15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COUNTIFS(Resp3[Vínculo],"tecnico",Resp3[3.09],B12)</f>
        <v>12</v>
      </c>
      <c r="D12" s="10">
        <f>COUNTIFS(Resp3[Vínculo],"docente",Resp3[3.09],B12)</f>
        <v>0</v>
      </c>
      <c r="E12" s="10">
        <f>COUNTIF(Resp3[3.09],B12)</f>
        <v>12</v>
      </c>
      <c r="F12" s="100">
        <f t="shared" si="0"/>
        <v>40</v>
      </c>
      <c r="G12" s="25">
        <f t="shared" si="1"/>
        <v>40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10">
        <f>ROUND(D20/SUM(D$19:D$22)*100,3)</f>
        <v>3.3330000000000002</v>
      </c>
    </row>
    <row r="21" spans="2:7">
      <c r="B21" s="31" t="s">
        <v>18</v>
      </c>
      <c r="C21" s="31" t="s">
        <v>89</v>
      </c>
      <c r="D21" s="15">
        <f>C10</f>
        <v>2</v>
      </c>
      <c r="E21" s="10">
        <f>ROUND(D21/SUM(D$19:D$22)*100,3)</f>
        <v>6.6669999999999998</v>
      </c>
    </row>
    <row r="22" spans="2:7">
      <c r="B22" s="32" t="s">
        <v>95</v>
      </c>
      <c r="C22" s="32" t="s">
        <v>94</v>
      </c>
      <c r="D22" s="33">
        <f>SUM(C11:C12)</f>
        <v>27</v>
      </c>
      <c r="E22" s="34">
        <f>ROUND(D22/SUM(D$19:D$22)*100,3)</f>
        <v>90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COUNTIFS(Resp3[Vínculo],"tecnico",Resp3[3.10],B7)</f>
        <v>2</v>
      </c>
      <c r="D7" s="10">
        <f>COUNTIFS(Resp3[Vínculo],"docente",Resp3[3.10],B7)</f>
        <v>0</v>
      </c>
      <c r="E7" s="10">
        <f>COUNTIF(Resp3[3.10],B7)</f>
        <v>2</v>
      </c>
      <c r="F7" s="25">
        <f t="shared" ref="F7:F13" si="0">ROUND($E7/$E$13*100,2)</f>
        <v>6.67</v>
      </c>
      <c r="G7" s="25">
        <f>ROUND($E7/SUM($E$7:$E$12)*100,3)</f>
        <v>6.6669999999999998</v>
      </c>
    </row>
    <row r="8" spans="1:7">
      <c r="B8" s="9" t="s">
        <v>22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18</v>
      </c>
      <c r="C10" s="10">
        <f>COUNTIFS(Resp3[Vínculo],"tecnico",Resp3[3.10],B10)</f>
        <v>5</v>
      </c>
      <c r="D10" s="10">
        <f>COUNTIFS(Resp3[Vínculo],"docente",Resp3[3.10],B10)</f>
        <v>0</v>
      </c>
      <c r="E10" s="10">
        <f>COUNTIF(Resp3[3.10],B10)</f>
        <v>5</v>
      </c>
      <c r="F10" s="25">
        <f t="shared" si="0"/>
        <v>16.670000000000002</v>
      </c>
      <c r="G10" s="25">
        <f t="shared" si="1"/>
        <v>16.667000000000002</v>
      </c>
    </row>
    <row r="11" spans="1:7">
      <c r="B11" s="9" t="s">
        <v>13</v>
      </c>
      <c r="C11" s="10">
        <f>COUNTIFS(Resp3[Vínculo],"tecnico",Resp3[3.10],B11)</f>
        <v>10</v>
      </c>
      <c r="D11" s="10">
        <f>COUNTIFS(Resp3[Vínculo],"docente",Resp3[3.10],B11)</f>
        <v>0</v>
      </c>
      <c r="E11" s="10">
        <f>COUNTIF(Resp3[3.10],B11)</f>
        <v>10</v>
      </c>
      <c r="F11" s="25">
        <f t="shared" si="0"/>
        <v>33.33</v>
      </c>
      <c r="G11" s="25">
        <f t="shared" si="1"/>
        <v>33.332999999999998</v>
      </c>
    </row>
    <row r="12" spans="1:7">
      <c r="B12" s="26" t="s">
        <v>14</v>
      </c>
      <c r="C12" s="10">
        <f>COUNTIFS(Resp3[Vínculo],"tecnico",Resp3[3.10],B12)</f>
        <v>13</v>
      </c>
      <c r="D12" s="10">
        <f>COUNTIFS(Resp3[Vínculo],"docente",Resp3[3.10],B12)</f>
        <v>0</v>
      </c>
      <c r="E12" s="10">
        <f>COUNTIF(Resp3[3.10],B12)</f>
        <v>13</v>
      </c>
      <c r="F12" s="100">
        <f t="shared" si="0"/>
        <v>43.33</v>
      </c>
      <c r="G12" s="25">
        <f t="shared" si="1"/>
        <v>43.332999999999998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100</v>
      </c>
    </row>
    <row r="18" spans="2:5">
      <c r="B18" s="22" t="s">
        <v>173</v>
      </c>
      <c r="C18" s="22" t="s">
        <v>174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</row>
    <row r="20" spans="2:5">
      <c r="B20" s="30" t="s">
        <v>179</v>
      </c>
      <c r="C20" s="30" t="s">
        <v>77</v>
      </c>
      <c r="D20" s="15">
        <f>C7</f>
        <v>2</v>
      </c>
      <c r="E20" s="10">
        <f>ROUND(D20/SUM(D$19:D$22)*100,3)</f>
        <v>6.6669999999999998</v>
      </c>
    </row>
    <row r="21" spans="2:5">
      <c r="B21" s="31" t="s">
        <v>18</v>
      </c>
      <c r="C21" s="31" t="s">
        <v>89</v>
      </c>
      <c r="D21" s="15">
        <f>C10</f>
        <v>5</v>
      </c>
      <c r="E21" s="10">
        <f>ROUND(D21/SUM(D$19:D$22)*100,3)</f>
        <v>16.667000000000002</v>
      </c>
    </row>
    <row r="22" spans="2:5">
      <c r="B22" s="32" t="s">
        <v>95</v>
      </c>
      <c r="C22" s="32" t="s">
        <v>94</v>
      </c>
      <c r="D22" s="33">
        <f>SUM(C11:C12)</f>
        <v>23</v>
      </c>
      <c r="E22" s="34">
        <f>ROUND(D22/SUM(D$19:D$22)*100,3)</f>
        <v>76.667000000000002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D25" zoomScaleNormal="100" workbookViewId="0">
      <selection activeCell="A35" sqref="A35:XFD62"/>
    </sheetView>
  </sheetViews>
  <sheetFormatPr defaultRowHeight="15"/>
  <cols>
    <col min="1" max="1" width="21.7109375" style="53" customWidth="1"/>
    <col min="2" max="2" width="31.7109375" style="53" customWidth="1"/>
    <col min="3" max="3" width="28.710937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33</v>
      </c>
    </row>
    <row r="2" spans="1:15" ht="15.75">
      <c r="A2" s="52"/>
    </row>
    <row r="3" spans="1:15">
      <c r="A3" s="53" t="s">
        <v>34</v>
      </c>
    </row>
    <row r="5" spans="1:15">
      <c r="A5" s="113" t="s">
        <v>35</v>
      </c>
      <c r="B5" s="114" t="s">
        <v>36</v>
      </c>
      <c r="C5" s="114"/>
      <c r="D5" s="114"/>
      <c r="E5" s="114"/>
      <c r="F5" s="114"/>
      <c r="G5" s="115"/>
    </row>
    <row r="6" spans="1:15">
      <c r="A6" s="116" t="s">
        <v>37</v>
      </c>
      <c r="B6" s="53" t="s">
        <v>38</v>
      </c>
      <c r="G6" s="117"/>
    </row>
    <row r="7" spans="1:15">
      <c r="A7" s="116" t="s">
        <v>39</v>
      </c>
      <c r="B7" s="53" t="s">
        <v>40</v>
      </c>
      <c r="G7" s="117"/>
    </row>
    <row r="8" spans="1:15">
      <c r="A8" s="116" t="s">
        <v>41</v>
      </c>
      <c r="B8" s="53" t="s">
        <v>42</v>
      </c>
      <c r="G8" s="117"/>
    </row>
    <row r="9" spans="1:15">
      <c r="A9" s="116" t="s">
        <v>43</v>
      </c>
      <c r="B9" s="53" t="s">
        <v>44</v>
      </c>
      <c r="G9" s="117"/>
    </row>
    <row r="10" spans="1:15">
      <c r="A10" s="118" t="s">
        <v>45</v>
      </c>
      <c r="B10" s="119" t="s">
        <v>46</v>
      </c>
      <c r="C10" s="119"/>
      <c r="D10" s="119"/>
      <c r="E10" s="119"/>
      <c r="F10" s="119"/>
      <c r="G10" s="120"/>
    </row>
    <row r="12" spans="1:15" ht="15.75">
      <c r="A12" s="122" t="s">
        <v>47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48</v>
      </c>
      <c r="B13" s="54" t="s">
        <v>49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50</v>
      </c>
      <c r="B14" s="54" t="s">
        <v>51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52</v>
      </c>
      <c r="B15" s="54" t="s">
        <v>53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54</v>
      </c>
      <c r="B16" s="54" t="s">
        <v>55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56</v>
      </c>
      <c r="B17" s="54" t="s">
        <v>57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58</v>
      </c>
    </row>
    <row r="21" spans="1:15">
      <c r="A21" s="53" t="s">
        <v>59</v>
      </c>
    </row>
    <row r="24" spans="1:15">
      <c r="A24" s="81" t="s">
        <v>60</v>
      </c>
    </row>
    <row r="25" spans="1:15" s="80" customFormat="1">
      <c r="A25" s="83"/>
      <c r="B25" s="83" t="s">
        <v>37</v>
      </c>
      <c r="C25" s="83" t="s">
        <v>39</v>
      </c>
      <c r="D25" s="83" t="s">
        <v>61</v>
      </c>
      <c r="E25" s="84" t="s">
        <v>62</v>
      </c>
      <c r="F25" s="84" t="s">
        <v>63</v>
      </c>
    </row>
    <row r="26" spans="1:15">
      <c r="A26" s="123" t="s">
        <v>8</v>
      </c>
      <c r="B26" s="85">
        <f>COUNTIF(Resp2[Vínculo],A26)</f>
        <v>30</v>
      </c>
      <c r="C26" s="85">
        <f>COUNTIF(Resp3[Vínculo],A26)</f>
        <v>30</v>
      </c>
      <c r="D26" s="85">
        <v>62</v>
      </c>
      <c r="E26" s="86">
        <f>ROUND(B26/$D26*100,3)</f>
        <v>48.387</v>
      </c>
      <c r="F26" s="86">
        <f>ROUND(C26/$D26*100,3)</f>
        <v>48.387</v>
      </c>
    </row>
    <row r="27" spans="1:15">
      <c r="A27" s="87" t="s">
        <v>64</v>
      </c>
      <c r="B27" s="85">
        <f>SUM(B26:B26)</f>
        <v>30</v>
      </c>
      <c r="C27" s="85">
        <f>SUM(C26:C26)</f>
        <v>30</v>
      </c>
      <c r="D27" s="85">
        <f>SUM(D26:D26)</f>
        <v>62</v>
      </c>
      <c r="E27" s="86">
        <f t="shared" ref="E27" si="0">ROUND(B27/$D27*100,3)</f>
        <v>48.387</v>
      </c>
      <c r="F27" s="86">
        <f t="shared" ref="F27" si="1">ROUND(C27/$D27*100,3)</f>
        <v>48.387</v>
      </c>
    </row>
    <row r="28" spans="1:15">
      <c r="A28" s="88">
        <v>1</v>
      </c>
      <c r="B28" s="131" t="s">
        <v>65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67</v>
      </c>
    </row>
    <row r="33" spans="1:11">
      <c r="A33" s="53" t="s">
        <v>68</v>
      </c>
    </row>
    <row r="35" spans="1:11" ht="15.75">
      <c r="A35" s="57" t="s">
        <v>69</v>
      </c>
      <c r="B35" s="57" t="s">
        <v>70</v>
      </c>
      <c r="C35" s="57" t="s">
        <v>71</v>
      </c>
      <c r="D35" s="57" t="s">
        <v>72</v>
      </c>
      <c r="E35" s="57" t="s">
        <v>73</v>
      </c>
      <c r="G35" s="56" t="s">
        <v>49</v>
      </c>
      <c r="H35" s="55"/>
      <c r="K35" s="55"/>
    </row>
    <row r="36" spans="1:11" ht="15.75">
      <c r="A36" s="63" t="s">
        <v>74</v>
      </c>
      <c r="B36" s="133" t="s">
        <v>75</v>
      </c>
      <c r="C36" s="134" t="s">
        <v>76</v>
      </c>
      <c r="D36" s="63"/>
      <c r="E36" s="63"/>
      <c r="G36" s="58" t="s">
        <v>77</v>
      </c>
      <c r="H36" s="58" t="s">
        <v>78</v>
      </c>
      <c r="K36" s="55"/>
    </row>
    <row r="37" spans="1:11" ht="15.75">
      <c r="A37" s="63" t="s">
        <v>79</v>
      </c>
      <c r="B37" s="135" t="s">
        <v>80</v>
      </c>
      <c r="C37" s="135" t="s">
        <v>81</v>
      </c>
      <c r="D37" s="63" t="s">
        <v>82</v>
      </c>
      <c r="E37" s="63" t="s">
        <v>83</v>
      </c>
      <c r="G37" s="59" t="s">
        <v>84</v>
      </c>
      <c r="H37" s="136" t="s">
        <v>85</v>
      </c>
      <c r="K37" s="55"/>
    </row>
    <row r="38" spans="1:11" ht="15.75">
      <c r="A38" s="63" t="s">
        <v>86</v>
      </c>
      <c r="B38" s="137" t="s">
        <v>87</v>
      </c>
      <c r="C38" s="135" t="s">
        <v>88</v>
      </c>
      <c r="D38" s="63" t="s">
        <v>83</v>
      </c>
      <c r="E38" s="63"/>
      <c r="G38" s="60" t="s">
        <v>89</v>
      </c>
      <c r="H38" s="138" t="s">
        <v>18</v>
      </c>
      <c r="K38" s="55"/>
    </row>
    <row r="39" spans="1:11" ht="15.75">
      <c r="A39" s="63" t="s">
        <v>90</v>
      </c>
      <c r="B39" s="135" t="s">
        <v>91</v>
      </c>
      <c r="C39" s="135" t="s">
        <v>92</v>
      </c>
      <c r="D39" s="63" t="s">
        <v>93</v>
      </c>
      <c r="E39" s="63" t="s">
        <v>82</v>
      </c>
      <c r="G39" s="62" t="s">
        <v>94</v>
      </c>
      <c r="H39" s="139" t="s">
        <v>95</v>
      </c>
      <c r="K39" s="55"/>
    </row>
    <row r="40" spans="1:11" ht="15.75">
      <c r="A40" s="63" t="s">
        <v>96</v>
      </c>
      <c r="B40" s="137" t="s">
        <v>97</v>
      </c>
      <c r="C40" s="135" t="s">
        <v>98</v>
      </c>
      <c r="D40" s="63"/>
      <c r="E40" s="63"/>
      <c r="G40" s="55"/>
      <c r="H40" s="55"/>
      <c r="K40" s="55"/>
    </row>
    <row r="41" spans="1:11" ht="15.75">
      <c r="A41" s="63" t="s">
        <v>99</v>
      </c>
      <c r="B41" s="63" t="s">
        <v>99</v>
      </c>
      <c r="C41" s="63"/>
      <c r="D41" s="63"/>
      <c r="E41" s="63"/>
      <c r="G41" s="56" t="s">
        <v>100</v>
      </c>
      <c r="H41" s="124" t="s">
        <v>101</v>
      </c>
      <c r="K41" s="55"/>
    </row>
    <row r="42" spans="1:11" ht="15.75">
      <c r="A42" s="63" t="s">
        <v>102</v>
      </c>
      <c r="B42" s="63"/>
      <c r="C42" s="63"/>
      <c r="D42" s="63"/>
      <c r="E42" s="63"/>
      <c r="G42" s="58" t="s">
        <v>77</v>
      </c>
      <c r="H42" s="58" t="s">
        <v>103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84</v>
      </c>
      <c r="H43" s="136" t="s">
        <v>104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89</v>
      </c>
      <c r="H44" s="138" t="s">
        <v>105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94</v>
      </c>
      <c r="H45" s="139" t="s">
        <v>106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107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84</v>
      </c>
      <c r="H48" s="59" t="s">
        <v>108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89</v>
      </c>
      <c r="H49" s="138" t="s">
        <v>109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94</v>
      </c>
      <c r="H50" s="139" t="s">
        <v>110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111</v>
      </c>
      <c r="H52" s="55"/>
      <c r="K52" s="55"/>
    </row>
    <row r="53" spans="1:11" ht="15.75">
      <c r="D53" s="55"/>
      <c r="E53" s="55"/>
      <c r="F53" s="55"/>
      <c r="G53" s="59" t="s">
        <v>84</v>
      </c>
      <c r="H53" s="59" t="s">
        <v>93</v>
      </c>
      <c r="K53" s="55"/>
    </row>
    <row r="54" spans="1:11" ht="15.75">
      <c r="D54" s="55"/>
      <c r="E54" s="55"/>
      <c r="F54" s="55"/>
      <c r="G54" s="60" t="s">
        <v>89</v>
      </c>
      <c r="H54" s="61" t="s">
        <v>83</v>
      </c>
      <c r="K54" s="55"/>
    </row>
    <row r="55" spans="1:11" ht="15.75">
      <c r="D55" s="55"/>
      <c r="E55" s="55"/>
      <c r="F55" s="55"/>
      <c r="G55" s="62" t="s">
        <v>94</v>
      </c>
      <c r="H55" s="62" t="s">
        <v>82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112</v>
      </c>
      <c r="H57" s="55"/>
    </row>
    <row r="58" spans="1:11" ht="15.75">
      <c r="D58" s="55"/>
      <c r="E58" s="55"/>
      <c r="F58" s="55"/>
      <c r="G58" s="59" t="s">
        <v>84</v>
      </c>
      <c r="H58" s="59" t="s">
        <v>82</v>
      </c>
    </row>
    <row r="59" spans="1:11" ht="15.75">
      <c r="D59" s="55"/>
      <c r="E59" s="55"/>
      <c r="F59" s="55"/>
      <c r="G59" s="62" t="s">
        <v>94</v>
      </c>
      <c r="H59" s="62" t="s">
        <v>83</v>
      </c>
    </row>
    <row r="61" spans="1:11" ht="15.75">
      <c r="G61" s="56" t="s">
        <v>113</v>
      </c>
    </row>
    <row r="62" spans="1:11" ht="15.75">
      <c r="G62" s="55" t="s">
        <v>114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115</v>
      </c>
      <c r="B1" s="65" t="s">
        <v>116</v>
      </c>
      <c r="C1" s="65" t="s">
        <v>117</v>
      </c>
      <c r="D1" s="65" t="s">
        <v>118</v>
      </c>
    </row>
    <row r="2" spans="1:5" s="69" customFormat="1" ht="25.5">
      <c r="A2" s="67" t="s">
        <v>2</v>
      </c>
      <c r="B2" s="67" t="s">
        <v>52</v>
      </c>
      <c r="C2" s="68" t="s">
        <v>119</v>
      </c>
      <c r="D2" s="68" t="s">
        <v>120</v>
      </c>
    </row>
    <row r="3" spans="1:5" ht="38.25">
      <c r="A3" s="70" t="s">
        <v>3</v>
      </c>
      <c r="B3" s="70" t="s">
        <v>54</v>
      </c>
      <c r="C3" s="71" t="s">
        <v>121</v>
      </c>
      <c r="D3" s="68" t="s">
        <v>122</v>
      </c>
    </row>
    <row r="4" spans="1:5" s="69" customFormat="1">
      <c r="A4" s="67" t="s">
        <v>4</v>
      </c>
      <c r="B4" s="70" t="s">
        <v>50</v>
      </c>
      <c r="C4" s="68" t="s">
        <v>123</v>
      </c>
      <c r="D4" s="68" t="s">
        <v>124</v>
      </c>
    </row>
    <row r="5" spans="1:5" ht="36" customHeight="1">
      <c r="A5" s="106" t="s">
        <v>125</v>
      </c>
      <c r="B5" s="106" t="s">
        <v>56</v>
      </c>
      <c r="C5" s="107" t="s">
        <v>126</v>
      </c>
      <c r="D5" s="107" t="s">
        <v>127</v>
      </c>
      <c r="E5" s="108"/>
    </row>
    <row r="6" spans="1:5" s="69" customFormat="1" ht="25.5">
      <c r="A6" s="106" t="s">
        <v>128</v>
      </c>
      <c r="B6" s="106" t="s">
        <v>129</v>
      </c>
      <c r="C6" s="107" t="s">
        <v>130</v>
      </c>
      <c r="D6" s="107" t="s">
        <v>131</v>
      </c>
      <c r="E6" s="108"/>
    </row>
    <row r="7" spans="1:5" ht="51">
      <c r="A7" s="70" t="s">
        <v>5</v>
      </c>
      <c r="B7" s="70" t="s">
        <v>48</v>
      </c>
      <c r="C7" s="71" t="s">
        <v>132</v>
      </c>
      <c r="D7" s="68" t="s">
        <v>133</v>
      </c>
    </row>
    <row r="8" spans="1:5" s="69" customFormat="1" ht="38.25">
      <c r="A8" s="67" t="s">
        <v>6</v>
      </c>
      <c r="B8" s="70" t="s">
        <v>48</v>
      </c>
      <c r="C8" s="68" t="s">
        <v>134</v>
      </c>
      <c r="D8" s="68" t="s">
        <v>135</v>
      </c>
    </row>
    <row r="9" spans="1:5" ht="51">
      <c r="A9" s="70" t="s">
        <v>7</v>
      </c>
      <c r="B9" s="70" t="s">
        <v>48</v>
      </c>
      <c r="C9" s="71" t="s">
        <v>136</v>
      </c>
      <c r="D9" s="68" t="s">
        <v>137</v>
      </c>
    </row>
    <row r="10" spans="1:5" s="69" customFormat="1" ht="25.5">
      <c r="A10" s="67" t="s">
        <v>23</v>
      </c>
      <c r="B10" s="70" t="s">
        <v>48</v>
      </c>
      <c r="C10" s="68" t="s">
        <v>138</v>
      </c>
      <c r="D10" s="69" t="s">
        <v>139</v>
      </c>
    </row>
    <row r="11" spans="1:5">
      <c r="A11" s="70" t="s">
        <v>24</v>
      </c>
      <c r="B11" s="70" t="s">
        <v>48</v>
      </c>
      <c r="C11" s="71" t="s">
        <v>140</v>
      </c>
      <c r="D11" s="69" t="s">
        <v>141</v>
      </c>
    </row>
    <row r="12" spans="1:5" s="69" customFormat="1" ht="30">
      <c r="A12" s="67" t="s">
        <v>25</v>
      </c>
      <c r="B12" s="70" t="s">
        <v>48</v>
      </c>
      <c r="C12" s="69" t="s">
        <v>142</v>
      </c>
      <c r="D12" s="69" t="s">
        <v>143</v>
      </c>
    </row>
    <row r="13" spans="1:5" ht="30">
      <c r="A13" s="70" t="s">
        <v>26</v>
      </c>
      <c r="B13" s="70" t="s">
        <v>48</v>
      </c>
      <c r="C13" s="72" t="s">
        <v>144</v>
      </c>
      <c r="D13" s="69" t="s">
        <v>145</v>
      </c>
    </row>
    <row r="14" spans="1:5" s="69" customFormat="1" ht="30">
      <c r="A14" s="67" t="s">
        <v>27</v>
      </c>
      <c r="B14" s="70" t="s">
        <v>48</v>
      </c>
      <c r="C14" s="69" t="s">
        <v>146</v>
      </c>
      <c r="D14" s="69" t="s">
        <v>147</v>
      </c>
    </row>
    <row r="15" spans="1:5" ht="30">
      <c r="A15" s="70" t="s">
        <v>28</v>
      </c>
      <c r="B15" s="70" t="s">
        <v>48</v>
      </c>
      <c r="C15" s="72" t="s">
        <v>148</v>
      </c>
      <c r="D15" s="69" t="s">
        <v>149</v>
      </c>
    </row>
    <row r="16" spans="1:5" s="69" customFormat="1" ht="30">
      <c r="A16" s="67" t="s">
        <v>29</v>
      </c>
      <c r="B16" s="70" t="s">
        <v>48</v>
      </c>
      <c r="C16" s="69" t="s">
        <v>150</v>
      </c>
      <c r="D16" s="69" t="s">
        <v>151</v>
      </c>
    </row>
    <row r="17" spans="1:4" ht="30">
      <c r="A17" s="70" t="s">
        <v>30</v>
      </c>
      <c r="B17" s="70" t="s">
        <v>48</v>
      </c>
      <c r="C17" s="72" t="s">
        <v>152</v>
      </c>
      <c r="D17" s="69" t="s">
        <v>153</v>
      </c>
    </row>
    <row r="18" spans="1:4" s="69" customFormat="1" ht="30">
      <c r="A18" s="67" t="s">
        <v>31</v>
      </c>
      <c r="B18" s="70" t="s">
        <v>48</v>
      </c>
      <c r="C18" s="69" t="s">
        <v>154</v>
      </c>
      <c r="D18" s="69" t="s">
        <v>155</v>
      </c>
    </row>
    <row r="19" spans="1:4" ht="30">
      <c r="A19" s="70" t="s">
        <v>32</v>
      </c>
      <c r="B19" s="70" t="s">
        <v>48</v>
      </c>
      <c r="C19" s="72" t="s">
        <v>156</v>
      </c>
      <c r="D19" s="69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1697</v>
      </c>
      <c r="D6" s="9">
        <f>1724-SUM(D7:D11)</f>
        <v>1724</v>
      </c>
      <c r="E6" s="10">
        <f>1724-SUM(E7:E11)</f>
        <v>1697</v>
      </c>
      <c r="F6" s="25">
        <f>ROUND($E6/1724*100,2)</f>
        <v>98.43</v>
      </c>
    </row>
    <row r="7" spans="1:7">
      <c r="B7" s="9" t="s">
        <v>21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>ROUND($E7/1724*100,2)</f>
        <v>0.06</v>
      </c>
      <c r="G7" s="25">
        <f>ROUND($E7/SUM($E$7:$E$11)*100,3)</f>
        <v>3.7040000000000002</v>
      </c>
    </row>
    <row r="8" spans="1:7">
      <c r="B8" s="9" t="s">
        <v>22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18</v>
      </c>
      <c r="C9" s="10">
        <f>COUNTIFS(Resp2[Vínculo],"tecnico",Resp2[2.06],B9)</f>
        <v>8</v>
      </c>
      <c r="D9" s="10">
        <f>COUNTIFS(Resp2[Vínculo],"docente",Resp2[2.06],B9)</f>
        <v>0</v>
      </c>
      <c r="E9" s="10">
        <f>COUNTIF(Resp2[2.06],B9)</f>
        <v>8</v>
      </c>
      <c r="F9" s="25">
        <f t="shared" si="0"/>
        <v>0.46</v>
      </c>
      <c r="G9" s="25">
        <f t="shared" si="1"/>
        <v>29.63</v>
      </c>
    </row>
    <row r="10" spans="1:7">
      <c r="B10" s="9" t="s">
        <v>13</v>
      </c>
      <c r="C10" s="10">
        <f>COUNTIFS(Resp2[Vínculo],"tecnico",Resp2[2.06],B10)</f>
        <v>7</v>
      </c>
      <c r="D10" s="10">
        <f>COUNTIFS(Resp2[Vínculo],"docente",Resp2[2.06],B10)</f>
        <v>0</v>
      </c>
      <c r="E10" s="10">
        <f>COUNTIF(Resp2[2.06],B10)</f>
        <v>7</v>
      </c>
      <c r="F10" s="25">
        <f t="shared" si="0"/>
        <v>0.41</v>
      </c>
      <c r="G10" s="25">
        <f t="shared" si="1"/>
        <v>25.925999999999998</v>
      </c>
    </row>
    <row r="11" spans="1:7">
      <c r="B11" s="26" t="s">
        <v>14</v>
      </c>
      <c r="C11" s="10">
        <f>COUNTIFS(Resp2[Vínculo],"tecnico",Resp2[2.06],B11)</f>
        <v>11</v>
      </c>
      <c r="D11" s="10">
        <f>COUNTIFS(Resp2[Vínculo],"docente",Resp2[2.06],B11)</f>
        <v>0</v>
      </c>
      <c r="E11" s="10">
        <f>COUNTIF(Resp2[2.06],B11)</f>
        <v>11</v>
      </c>
      <c r="F11" s="25">
        <f t="shared" si="0"/>
        <v>0.64</v>
      </c>
      <c r="G11" s="25">
        <f t="shared" si="1"/>
        <v>40.741</v>
      </c>
    </row>
    <row r="12" spans="1:7">
      <c r="B12" s="27" t="s">
        <v>166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100.00099999999999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1440</v>
      </c>
      <c r="D6" s="9">
        <f>1470-SUM(D7:D11)</f>
        <v>1470</v>
      </c>
      <c r="E6" s="10">
        <f>1470-SUM(E7:E11)</f>
        <v>1440</v>
      </c>
      <c r="F6" s="25">
        <f>ROUND($E6/1470*100,2)</f>
        <v>97.96</v>
      </c>
    </row>
    <row r="7" spans="1:7">
      <c r="B7" s="9" t="s">
        <v>21</v>
      </c>
      <c r="C7" s="10">
        <f>COUNTIFS(Resp3[Vínculo],"tecnico",Resp3[3.01],B7)</f>
        <v>5</v>
      </c>
      <c r="D7" s="10">
        <f>COUNTIFS(Resp3[Vínculo],"docente",Resp3[3.01],B7)</f>
        <v>0</v>
      </c>
      <c r="E7" s="10">
        <f>COUNTIF(Resp3[3.01],B7)</f>
        <v>5</v>
      </c>
      <c r="F7" s="25">
        <f t="shared" ref="F7:F12" si="0">ROUND($E7/1470*100,2)</f>
        <v>0.34</v>
      </c>
      <c r="G7" s="25">
        <f>ROUND($E7/SUM($E$7:$E$11)*100,3)</f>
        <v>16.667000000000002</v>
      </c>
    </row>
    <row r="8" spans="1:7">
      <c r="B8" s="9" t="s">
        <v>22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18</v>
      </c>
      <c r="C9" s="10">
        <f>COUNTIFS(Resp3[Vínculo],"tecnico",Resp3[3.01],B9)</f>
        <v>7</v>
      </c>
      <c r="D9" s="10">
        <f>COUNTIFS(Resp3[Vínculo],"docente",Resp3[3.01],B9)</f>
        <v>0</v>
      </c>
      <c r="E9" s="10">
        <f>COUNTIF(Resp3[3.01],B9)</f>
        <v>7</v>
      </c>
      <c r="F9" s="25">
        <f t="shared" si="0"/>
        <v>0.48</v>
      </c>
      <c r="G9" s="25">
        <f t="shared" si="1"/>
        <v>23.332999999999998</v>
      </c>
    </row>
    <row r="10" spans="1:7">
      <c r="B10" s="9" t="s">
        <v>13</v>
      </c>
      <c r="C10" s="10">
        <f>COUNTIFS(Resp3[Vínculo],"tecnico",Resp3[3.01],B10)</f>
        <v>9</v>
      </c>
      <c r="D10" s="10">
        <f>COUNTIFS(Resp3[Vínculo],"docente",Resp3[3.01],B10)</f>
        <v>0</v>
      </c>
      <c r="E10" s="10">
        <f>COUNTIF(Resp3[3.01],B10)</f>
        <v>9</v>
      </c>
      <c r="F10" s="25">
        <f t="shared" si="0"/>
        <v>0.61</v>
      </c>
      <c r="G10" s="25">
        <f t="shared" si="1"/>
        <v>30</v>
      </c>
    </row>
    <row r="11" spans="1:7">
      <c r="B11" s="26" t="s">
        <v>14</v>
      </c>
      <c r="C11" s="10">
        <f>COUNTIFS(Resp3[Vínculo],"tecnico",Resp3[3.01],B11)</f>
        <v>9</v>
      </c>
      <c r="D11" s="10">
        <f>COUNTIFS(Resp3[Vínculo],"docente",Resp3[3.01],B11)</f>
        <v>0</v>
      </c>
      <c r="E11" s="10">
        <f>COUNTIF(Resp3[3.01],B11)</f>
        <v>9</v>
      </c>
      <c r="F11" s="25">
        <f t="shared" si="0"/>
        <v>0.61</v>
      </c>
      <c r="G11" s="25">
        <f t="shared" si="1"/>
        <v>30</v>
      </c>
    </row>
    <row r="12" spans="1:7">
      <c r="B12" s="27" t="s">
        <v>166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167</v>
      </c>
      <c r="C5" s="7" t="s">
        <v>168</v>
      </c>
      <c r="D5" s="7" t="s">
        <v>169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170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12</v>
      </c>
      <c r="D7" s="18">
        <f>COUNTIFS(Resp2[Vínculo],"docente",Resp2[2.01],C17)</f>
        <v>0</v>
      </c>
      <c r="E7" s="13">
        <f>COUNTIF(Resp2[2.01],C17)</f>
        <v>12</v>
      </c>
      <c r="F7" s="14">
        <f>ROUND($E7/$E$10*100,2)</f>
        <v>40</v>
      </c>
      <c r="G7" s="13">
        <f>ROUND($E7/SUM($E$7:$E$9)*100,2)</f>
        <v>40</v>
      </c>
    </row>
    <row r="8" spans="1:8" ht="15" customHeight="1">
      <c r="B8" s="18" t="s">
        <v>83</v>
      </c>
      <c r="C8" s="18">
        <f>COUNTIFS(Resp2[Vínculo],"tecnico",Resp2[2.01],C18)</f>
        <v>12</v>
      </c>
      <c r="D8" s="18">
        <f>COUNTIFS(Resp2[Vínculo],"docente",Resp2[2.01],C18)</f>
        <v>0</v>
      </c>
      <c r="E8" s="13">
        <f>COUNTIF(Resp2[2.01],C18)</f>
        <v>12</v>
      </c>
      <c r="F8" s="14">
        <f t="shared" ref="F8:F10" si="0">ROUND($E8/$E$10*100,2)</f>
        <v>40</v>
      </c>
      <c r="G8" s="13">
        <f>ROUND($E8/SUM($E$7:$E$9)*100,2)</f>
        <v>40</v>
      </c>
    </row>
    <row r="9" spans="1:8" ht="15" customHeight="1">
      <c r="B9" s="18" t="s">
        <v>93</v>
      </c>
      <c r="C9" s="18">
        <f>COUNTIFS(Resp2[Vínculo],"tecnico",Resp2[2.01],C19)</f>
        <v>6</v>
      </c>
      <c r="D9" s="93">
        <f>COUNTIFS(Resp2[Vínculo],"docente",Resp2[2.01],C19)</f>
        <v>0</v>
      </c>
      <c r="E9" s="94">
        <f>COUNTIF(Resp2[2.01],C19)</f>
        <v>6</v>
      </c>
      <c r="F9" s="95">
        <f t="shared" si="0"/>
        <v>20</v>
      </c>
      <c r="G9" s="94">
        <f>ROUND($E9/SUM($E$7:$E$9)*100,2)</f>
        <v>20</v>
      </c>
    </row>
    <row r="10" spans="1:8" ht="15" customHeight="1">
      <c r="B10" s="11" t="s">
        <v>166</v>
      </c>
      <c r="C10" s="11">
        <f>SUM(C6:C9)</f>
        <v>30</v>
      </c>
      <c r="D10" s="9">
        <f>SUM(D6:D9)</f>
        <v>0</v>
      </c>
      <c r="E10" s="15">
        <f>SUM(C10:D10)</f>
        <v>30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171</v>
      </c>
      <c r="C15" s="22" t="s">
        <v>167</v>
      </c>
      <c r="D15" s="6"/>
      <c r="E15" s="6"/>
      <c r="F15" s="6"/>
      <c r="G15" s="6"/>
    </row>
    <row r="16" spans="1:8" ht="15" customHeight="1">
      <c r="B16" t="s">
        <v>170</v>
      </c>
      <c r="C16" s="21" t="s">
        <v>172</v>
      </c>
    </row>
    <row r="17" spans="1:5" ht="15" customHeight="1">
      <c r="B17" t="s">
        <v>82</v>
      </c>
      <c r="C17" s="9" t="s">
        <v>10</v>
      </c>
    </row>
    <row r="18" spans="1:5" ht="15" customHeight="1">
      <c r="B18" t="s">
        <v>83</v>
      </c>
      <c r="C18" s="21" t="s">
        <v>20</v>
      </c>
    </row>
    <row r="19" spans="1:5">
      <c r="B19" t="s">
        <v>93</v>
      </c>
      <c r="C19" s="21" t="s">
        <v>15</v>
      </c>
    </row>
    <row r="24" spans="1:5">
      <c r="B24" s="11" t="s">
        <v>173</v>
      </c>
      <c r="C24" s="11" t="s">
        <v>174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6</v>
      </c>
      <c r="E25" s="44">
        <f>ROUND(D25/SUM(D$25:D$28)*100,3)</f>
        <v>20</v>
      </c>
    </row>
    <row r="26" spans="1:5">
      <c r="A26" t="s">
        <v>175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12</v>
      </c>
      <c r="E27" s="44">
        <f t="shared" ref="E27:E28" si="1">ROUND(D27/SUM(D$25:D$28)*100,3)</f>
        <v>40</v>
      </c>
    </row>
    <row r="28" spans="1:5">
      <c r="B28" s="51" t="s">
        <v>82</v>
      </c>
      <c r="C28" s="51" t="s">
        <v>94</v>
      </c>
      <c r="D28" s="33">
        <f>C7</f>
        <v>12</v>
      </c>
      <c r="E28" s="45">
        <f t="shared" si="1"/>
        <v>40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168</v>
      </c>
      <c r="D5" s="3" t="s">
        <v>169</v>
      </c>
      <c r="E5" s="3" t="s">
        <v>162</v>
      </c>
      <c r="F5" s="4" t="s">
        <v>163</v>
      </c>
      <c r="G5" s="3" t="s">
        <v>164</v>
      </c>
    </row>
    <row r="6" spans="1:7">
      <c r="B6" s="16" t="s">
        <v>170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14</v>
      </c>
      <c r="D7" s="17">
        <f>COUNTIFS(Resp2[Vínculo],"docente",Resp2[2.02],C17)</f>
        <v>0</v>
      </c>
      <c r="E7" s="15">
        <f>COUNTIF(Resp2[2.02],C17)</f>
        <v>14</v>
      </c>
      <c r="F7" s="10">
        <f>ROUND($E7/$E$9*100,2)</f>
        <v>46.67</v>
      </c>
      <c r="G7" s="9">
        <f>ROUND($E7/SUM($E$7:$E$8)*100,2)</f>
        <v>46.67</v>
      </c>
    </row>
    <row r="8" spans="1:7">
      <c r="B8" s="17" t="s">
        <v>83</v>
      </c>
      <c r="C8" s="17">
        <f>COUNTIFS(Resp2[Vínculo],"tecnico",Resp2[2.02],C18)</f>
        <v>16</v>
      </c>
      <c r="D8" s="96">
        <f>COUNTIFS(Resp2[Vínculo],"docente",Resp2[2.02],C18)</f>
        <v>0</v>
      </c>
      <c r="E8" s="97">
        <f>COUNTIF(Resp2[2.02],C18)</f>
        <v>16</v>
      </c>
      <c r="F8" s="98">
        <f>ROUND($E8/$E$9*100,2)</f>
        <v>53.33</v>
      </c>
      <c r="G8" s="99">
        <f>ROUND($E8/SUM($E$7:$E$8)*100,2)</f>
        <v>53.33</v>
      </c>
    </row>
    <row r="9" spans="1:7">
      <c r="B9" s="11" t="s">
        <v>166</v>
      </c>
      <c r="C9" s="11">
        <f>SUM(C6:C8)</f>
        <v>30</v>
      </c>
      <c r="D9" s="9">
        <f>SUM(D6:D8)</f>
        <v>0</v>
      </c>
      <c r="E9" s="9">
        <f>SUM(C9:D9)</f>
        <v>30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176</v>
      </c>
      <c r="C15" s="6" t="s">
        <v>177</v>
      </c>
      <c r="D15" s="6"/>
      <c r="E15" s="6"/>
      <c r="F15" s="6"/>
      <c r="G15" s="6"/>
    </row>
    <row r="16" spans="1:7">
      <c r="B16" t="s">
        <v>170</v>
      </c>
      <c r="C16" s="24" t="s">
        <v>178</v>
      </c>
    </row>
    <row r="17" spans="1:5">
      <c r="B17" t="s">
        <v>82</v>
      </c>
      <c r="C17" s="24" t="s">
        <v>16</v>
      </c>
    </row>
    <row r="18" spans="1:5">
      <c r="B18" t="s">
        <v>83</v>
      </c>
      <c r="C18" s="24" t="s">
        <v>11</v>
      </c>
    </row>
    <row r="21" spans="1:5">
      <c r="B21" s="11" t="s">
        <v>173</v>
      </c>
      <c r="C21" s="11" t="s">
        <v>174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14</v>
      </c>
      <c r="E22" s="44">
        <f>ROUND(D22/SUM(D$22:D$25)*100,3)</f>
        <v>46.667000000000002</v>
      </c>
    </row>
    <row r="23" spans="1:5">
      <c r="A23" s="132" t="s">
        <v>175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83</v>
      </c>
      <c r="C25" s="51" t="s">
        <v>94</v>
      </c>
      <c r="D25" s="33">
        <f>C8</f>
        <v>16</v>
      </c>
      <c r="E25" s="45">
        <f>ROUND(D25/SUM(D$22:D$25)*100,3)</f>
        <v>53.332999999999998</v>
      </c>
    </row>
    <row r="26" spans="1:5">
      <c r="A26" s="128"/>
      <c r="D26">
        <f>SUM(D22:D25)</f>
        <v>30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168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172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14</v>
      </c>
      <c r="D7" s="10">
        <f>COUNTIFS(Resp2[Vínculo],"docente",Resp2[2.03],B7)</f>
        <v>0</v>
      </c>
      <c r="E7" s="9">
        <f>COUNTIF(Resp2[2.03],B7)</f>
        <v>14</v>
      </c>
      <c r="F7" s="10">
        <f t="shared" ref="F7:F9" si="0">ROUND($E7/$E$9*100,2)</f>
        <v>46.67</v>
      </c>
      <c r="G7" s="10">
        <f>ROUND($E7/SUM($E$7:$E$8)*100,2)</f>
        <v>46.67</v>
      </c>
    </row>
    <row r="8" spans="1:7">
      <c r="B8" s="9" t="s">
        <v>17</v>
      </c>
      <c r="C8" s="10">
        <f>COUNTIFS(Resp2[Vínculo],"tecnico",Resp2[2.03],B8)</f>
        <v>16</v>
      </c>
      <c r="D8" s="10">
        <f>COUNTIFS(Resp2[Vínculo],"docente",Resp2[2.03],B8)</f>
        <v>0</v>
      </c>
      <c r="E8" s="9">
        <f>COUNTIF(Resp2[2.03],B8)</f>
        <v>16</v>
      </c>
      <c r="F8" s="98">
        <f>ROUND($E8/$E$9*100,2)</f>
        <v>53.33</v>
      </c>
      <c r="G8" s="98">
        <f>ROUND($E8/SUM($E$7:$E$8)*100,2)</f>
        <v>53.33</v>
      </c>
    </row>
    <row r="9" spans="1:7">
      <c r="B9" s="11" t="s">
        <v>166</v>
      </c>
      <c r="C9" s="11">
        <f>SUM(C6:C8)</f>
        <v>30</v>
      </c>
      <c r="D9" s="11">
        <f>SUM(D6:D8)</f>
        <v>0</v>
      </c>
      <c r="E9" s="11">
        <f>SUM(C9:D9)</f>
        <v>30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2022-01-14T17:07:38Z</dcterms:modified>
  <cp:category/>
  <cp:contentStatus/>
</cp:coreProperties>
</file>