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PROGRAD/"/>
    </mc:Choice>
  </mc:AlternateContent>
  <xr:revisionPtr revIDLastSave="5" documentId="11_AEDD78428C1C973872F0360D7FB97BA0B055CB95" xr6:coauthVersionLast="47" xr6:coauthVersionMax="47" xr10:uidLastSave="{E4206AFD-8788-4F76-8A22-1DCE255B5FF0}"/>
  <bookViews>
    <workbookView xWindow="21030" yWindow="675" windowWidth="23835" windowHeight="13020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53PROGRAD" sheetId="59" r:id="rId5"/>
    <sheet name="Q5.54" sheetId="62" r:id="rId6"/>
    <sheet name="Q5.55" sheetId="63" r:id="rId7"/>
    <sheet name="Q5.56" sheetId="64" r:id="rId8"/>
    <sheet name="Q5.57" sheetId="65" r:id="rId9"/>
    <sheet name="Q5.58" sheetId="66" r:id="rId10"/>
    <sheet name="Q5.59" sheetId="67" r:id="rId11"/>
    <sheet name="Q5.60" sheetId="68" r:id="rId12"/>
    <sheet name="Q5.61" sheetId="6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C8" i="69" l="1"/>
  <c r="D8" i="69"/>
  <c r="E8" i="69"/>
  <c r="C9" i="69"/>
  <c r="D17" i="69" s="1"/>
  <c r="D9" i="69"/>
  <c r="D23" i="69" s="1"/>
  <c r="E9" i="69"/>
  <c r="C10" i="69"/>
  <c r="D10" i="69"/>
  <c r="E10" i="69"/>
  <c r="C11" i="69"/>
  <c r="D11" i="69"/>
  <c r="E11" i="69"/>
  <c r="E7" i="69"/>
  <c r="D7" i="69"/>
  <c r="C7" i="69"/>
  <c r="A2" i="69"/>
  <c r="C8" i="68"/>
  <c r="D8" i="68"/>
  <c r="E8" i="68"/>
  <c r="C9" i="68"/>
  <c r="D17" i="68" s="1"/>
  <c r="D9" i="68"/>
  <c r="D23" i="68" s="1"/>
  <c r="E9" i="68"/>
  <c r="C10" i="68"/>
  <c r="D10" i="68"/>
  <c r="E10" i="68"/>
  <c r="C11" i="68"/>
  <c r="D11" i="68"/>
  <c r="E11" i="68"/>
  <c r="E7" i="68"/>
  <c r="D7" i="68"/>
  <c r="D24" i="68" s="1"/>
  <c r="C7" i="68"/>
  <c r="A2" i="68"/>
  <c r="C8" i="67"/>
  <c r="D8" i="67"/>
  <c r="E8" i="67"/>
  <c r="C9" i="67"/>
  <c r="D17" i="67" s="1"/>
  <c r="D9" i="67"/>
  <c r="D23" i="67" s="1"/>
  <c r="E9" i="67"/>
  <c r="C10" i="67"/>
  <c r="D10" i="67"/>
  <c r="E10" i="67"/>
  <c r="C11" i="67"/>
  <c r="D11" i="67"/>
  <c r="E11" i="67"/>
  <c r="E7" i="67"/>
  <c r="D7" i="67"/>
  <c r="D24" i="67" s="1"/>
  <c r="C7" i="67"/>
  <c r="A2" i="67"/>
  <c r="C8" i="66"/>
  <c r="D8" i="66"/>
  <c r="E8" i="66"/>
  <c r="C9" i="66"/>
  <c r="D17" i="66" s="1"/>
  <c r="D9" i="66"/>
  <c r="D23" i="66" s="1"/>
  <c r="E9" i="66"/>
  <c r="C10" i="66"/>
  <c r="D10" i="66"/>
  <c r="E10" i="66"/>
  <c r="C11" i="66"/>
  <c r="D11" i="66"/>
  <c r="E11" i="66"/>
  <c r="E7" i="66"/>
  <c r="D7" i="66"/>
  <c r="D24" i="66" s="1"/>
  <c r="C7" i="66"/>
  <c r="A2" i="66"/>
  <c r="C8" i="65"/>
  <c r="D8" i="65"/>
  <c r="E8" i="65"/>
  <c r="C9" i="65"/>
  <c r="D17" i="65" s="1"/>
  <c r="D9" i="65"/>
  <c r="D23" i="65" s="1"/>
  <c r="E9" i="65"/>
  <c r="C10" i="65"/>
  <c r="D10" i="65"/>
  <c r="E10" i="65"/>
  <c r="C11" i="65"/>
  <c r="D11" i="65"/>
  <c r="E11" i="65"/>
  <c r="E7" i="65"/>
  <c r="D7" i="65"/>
  <c r="C7" i="65"/>
  <c r="A2" i="65"/>
  <c r="C8" i="64"/>
  <c r="D8" i="64"/>
  <c r="E8" i="64"/>
  <c r="C9" i="64"/>
  <c r="D17" i="64" s="1"/>
  <c r="D9" i="64"/>
  <c r="D23" i="64" s="1"/>
  <c r="E9" i="64"/>
  <c r="C10" i="64"/>
  <c r="D10" i="64"/>
  <c r="E10" i="64"/>
  <c r="C11" i="64"/>
  <c r="D11" i="64"/>
  <c r="E11" i="64"/>
  <c r="E7" i="64"/>
  <c r="C7" i="64"/>
  <c r="D7" i="64"/>
  <c r="A2" i="64"/>
  <c r="C8" i="63"/>
  <c r="D8" i="63"/>
  <c r="E8" i="63"/>
  <c r="C9" i="63"/>
  <c r="D17" i="63" s="1"/>
  <c r="D9" i="63"/>
  <c r="D23" i="63" s="1"/>
  <c r="E9" i="63"/>
  <c r="C10" i="63"/>
  <c r="D10" i="63"/>
  <c r="E10" i="63"/>
  <c r="C11" i="63"/>
  <c r="D11" i="63"/>
  <c r="E11" i="63"/>
  <c r="E7" i="63"/>
  <c r="D7" i="63"/>
  <c r="C7" i="63"/>
  <c r="A2" i="63"/>
  <c r="C8" i="62"/>
  <c r="D8" i="62"/>
  <c r="E8" i="62"/>
  <c r="C9" i="62"/>
  <c r="D17" i="62" s="1"/>
  <c r="D9" i="62"/>
  <c r="D23" i="62" s="1"/>
  <c r="E9" i="62"/>
  <c r="C10" i="62"/>
  <c r="D10" i="62"/>
  <c r="E10" i="62"/>
  <c r="C11" i="62"/>
  <c r="D11" i="62"/>
  <c r="E11" i="62"/>
  <c r="E7" i="62"/>
  <c r="C7" i="62"/>
  <c r="D7" i="62"/>
  <c r="A2" i="62"/>
  <c r="E11" i="6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C8" i="59"/>
  <c r="D8" i="59"/>
  <c r="E8" i="59"/>
  <c r="E7" i="59"/>
  <c r="D7" i="59"/>
  <c r="C7" i="59"/>
  <c r="A2" i="59"/>
  <c r="D24" i="65" l="1"/>
  <c r="D18" i="64"/>
  <c r="D16" i="63"/>
  <c r="D16" i="65"/>
  <c r="D18" i="63"/>
  <c r="D18" i="62"/>
  <c r="D24" i="62"/>
  <c r="D6" i="67"/>
  <c r="D24" i="69"/>
  <c r="D6" i="69"/>
  <c r="D16" i="62"/>
  <c r="D22" i="66"/>
  <c r="D16" i="66"/>
  <c r="D22" i="69"/>
  <c r="E6" i="61"/>
  <c r="D23" i="61"/>
  <c r="D16" i="64"/>
  <c r="D22" i="68"/>
  <c r="D16" i="68"/>
  <c r="D6" i="61"/>
  <c r="D22" i="65"/>
  <c r="D6" i="66"/>
  <c r="D12" i="66" s="1"/>
  <c r="D6" i="59"/>
  <c r="D9" i="59" s="1"/>
  <c r="D19" i="61"/>
  <c r="D6" i="65"/>
  <c r="D22" i="67"/>
  <c r="D16" i="67"/>
  <c r="D6" i="68"/>
  <c r="D12" i="68" s="1"/>
  <c r="C6" i="63"/>
  <c r="C12" i="63" s="1"/>
  <c r="C6" i="62"/>
  <c r="C12" i="62" s="1"/>
  <c r="D6" i="63"/>
  <c r="D12" i="63" s="1"/>
  <c r="C6" i="65"/>
  <c r="C12" i="65" s="1"/>
  <c r="C6" i="66"/>
  <c r="C12" i="66" s="1"/>
  <c r="C6" i="67"/>
  <c r="C12" i="67" s="1"/>
  <c r="C6" i="68"/>
  <c r="C12" i="68" s="1"/>
  <c r="C6" i="61"/>
  <c r="C12" i="61" s="1"/>
  <c r="D26" i="61"/>
  <c r="D16" i="61"/>
  <c r="D22" i="64"/>
  <c r="C6" i="69"/>
  <c r="C12" i="69" s="1"/>
  <c r="C6" i="59"/>
  <c r="C9" i="59" s="1"/>
  <c r="E9" i="59" s="1"/>
  <c r="C6" i="64"/>
  <c r="C12" i="64" s="1"/>
  <c r="D16" i="69"/>
  <c r="D24" i="64"/>
  <c r="D6" i="64"/>
  <c r="D6" i="62"/>
  <c r="D24" i="63"/>
  <c r="D22" i="62"/>
  <c r="D22" i="63"/>
  <c r="D18" i="65"/>
  <c r="D18" i="66"/>
  <c r="D18" i="67"/>
  <c r="D18" i="68"/>
  <c r="D18" i="69"/>
  <c r="B3" i="69"/>
  <c r="B2" i="69"/>
  <c r="I12" i="69"/>
  <c r="C28" i="69" s="1"/>
  <c r="J8" i="69"/>
  <c r="J7" i="69"/>
  <c r="H7" i="69"/>
  <c r="G7" i="69"/>
  <c r="H8" i="69"/>
  <c r="G8" i="69"/>
  <c r="J9" i="69"/>
  <c r="H9" i="69"/>
  <c r="G9" i="69"/>
  <c r="J10" i="69"/>
  <c r="H10" i="69"/>
  <c r="G10" i="69"/>
  <c r="J11" i="69"/>
  <c r="H11" i="69"/>
  <c r="G11" i="69"/>
  <c r="B3" i="68"/>
  <c r="B2" i="68"/>
  <c r="I12" i="68"/>
  <c r="C28" i="68" s="1"/>
  <c r="J8" i="68"/>
  <c r="J7" i="68"/>
  <c r="H7" i="68"/>
  <c r="G7" i="68"/>
  <c r="H8" i="68"/>
  <c r="G8" i="68"/>
  <c r="J9" i="68"/>
  <c r="H9" i="68"/>
  <c r="G9" i="68"/>
  <c r="J10" i="68"/>
  <c r="H10" i="68"/>
  <c r="G10" i="68"/>
  <c r="J11" i="68"/>
  <c r="H11" i="68"/>
  <c r="G11" i="68"/>
  <c r="B3" i="67"/>
  <c r="B2" i="67"/>
  <c r="I12" i="67"/>
  <c r="C28" i="67" s="1"/>
  <c r="J8" i="67"/>
  <c r="J7" i="67"/>
  <c r="H7" i="67"/>
  <c r="G7" i="67"/>
  <c r="H8" i="67"/>
  <c r="G8" i="67"/>
  <c r="J9" i="67"/>
  <c r="H9" i="67"/>
  <c r="G9" i="67"/>
  <c r="J10" i="67"/>
  <c r="H10" i="67"/>
  <c r="G10" i="67"/>
  <c r="J11" i="67"/>
  <c r="H11" i="67"/>
  <c r="G11" i="67"/>
  <c r="B3" i="66"/>
  <c r="B2" i="66"/>
  <c r="I12" i="66"/>
  <c r="C28" i="66" s="1"/>
  <c r="J8" i="66"/>
  <c r="J7" i="66"/>
  <c r="H7" i="66"/>
  <c r="G7" i="66"/>
  <c r="H8" i="66"/>
  <c r="G8" i="66"/>
  <c r="J9" i="66"/>
  <c r="H9" i="66"/>
  <c r="G9" i="66"/>
  <c r="J10" i="66"/>
  <c r="H10" i="66"/>
  <c r="G10" i="66"/>
  <c r="J11" i="66"/>
  <c r="H11" i="66"/>
  <c r="G11" i="66"/>
  <c r="B3" i="65"/>
  <c r="B2" i="65"/>
  <c r="I12" i="65"/>
  <c r="C28" i="65" s="1"/>
  <c r="J8" i="65"/>
  <c r="J7" i="65"/>
  <c r="H7" i="65"/>
  <c r="G7" i="65"/>
  <c r="H8" i="65"/>
  <c r="G8" i="65"/>
  <c r="J9" i="65"/>
  <c r="H9" i="65"/>
  <c r="G9" i="65"/>
  <c r="J10" i="65"/>
  <c r="H10" i="65"/>
  <c r="G10" i="65"/>
  <c r="J11" i="65"/>
  <c r="H11" i="65"/>
  <c r="G11" i="65"/>
  <c r="B3" i="64"/>
  <c r="B2" i="64"/>
  <c r="I12" i="64"/>
  <c r="C28" i="64" s="1"/>
  <c r="J8" i="64"/>
  <c r="J7" i="64"/>
  <c r="H7" i="64"/>
  <c r="G7" i="64"/>
  <c r="H8" i="64"/>
  <c r="G8" i="64"/>
  <c r="J9" i="64"/>
  <c r="H9" i="64"/>
  <c r="G9" i="64"/>
  <c r="J10" i="64"/>
  <c r="H10" i="64"/>
  <c r="G10" i="64"/>
  <c r="J11" i="64"/>
  <c r="H11" i="64"/>
  <c r="G11" i="64"/>
  <c r="B3" i="63"/>
  <c r="B2" i="63"/>
  <c r="E18" i="63"/>
  <c r="I12" i="63"/>
  <c r="C28" i="63" s="1"/>
  <c r="J8" i="63"/>
  <c r="J7" i="63"/>
  <c r="H7" i="63"/>
  <c r="G7" i="63"/>
  <c r="H8" i="63"/>
  <c r="G8" i="63"/>
  <c r="E17" i="63"/>
  <c r="J9" i="63"/>
  <c r="H9" i="63"/>
  <c r="G9" i="63"/>
  <c r="J10" i="63"/>
  <c r="H10" i="63"/>
  <c r="G10" i="63"/>
  <c r="J11" i="63"/>
  <c r="H11" i="63"/>
  <c r="G11" i="63"/>
  <c r="B3" i="62"/>
  <c r="B2" i="62"/>
  <c r="I12" i="62"/>
  <c r="C28" i="62" s="1"/>
  <c r="J8" i="62"/>
  <c r="J7" i="62"/>
  <c r="H7" i="62"/>
  <c r="G7" i="62"/>
  <c r="H8" i="62"/>
  <c r="G8" i="62"/>
  <c r="J9" i="62"/>
  <c r="H9" i="62"/>
  <c r="G9" i="62"/>
  <c r="J10" i="62"/>
  <c r="H10" i="62"/>
  <c r="G10" i="62"/>
  <c r="J11" i="62"/>
  <c r="H11" i="62"/>
  <c r="G11" i="62"/>
  <c r="B3" i="61"/>
  <c r="B2" i="61"/>
  <c r="D24" i="61"/>
  <c r="D1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B3" i="59"/>
  <c r="B2" i="59"/>
  <c r="G7" i="59"/>
  <c r="G8" i="59"/>
  <c r="D17" i="61" l="1"/>
  <c r="D12" i="69"/>
  <c r="E12" i="69" s="1"/>
  <c r="F10" i="69" s="1"/>
  <c r="D12" i="67"/>
  <c r="E12" i="67" s="1"/>
  <c r="F12" i="67" s="1"/>
  <c r="D12" i="65"/>
  <c r="E12" i="65" s="1"/>
  <c r="F12" i="65" s="1"/>
  <c r="E24" i="63"/>
  <c r="E17" i="61"/>
  <c r="E18" i="67"/>
  <c r="E6" i="59"/>
  <c r="F6" i="59" s="1"/>
  <c r="F9" i="59"/>
  <c r="E18" i="68"/>
  <c r="E22" i="67"/>
  <c r="E23" i="67"/>
  <c r="E22" i="65"/>
  <c r="E23" i="65"/>
  <c r="E24" i="65"/>
  <c r="E18" i="61"/>
  <c r="E24" i="68"/>
  <c r="E23" i="68"/>
  <c r="E22" i="68"/>
  <c r="E18" i="69"/>
  <c r="E18" i="65"/>
  <c r="F8" i="59"/>
  <c r="D12" i="64"/>
  <c r="E12" i="64" s="1"/>
  <c r="E24" i="64"/>
  <c r="E16" i="66"/>
  <c r="E17" i="66"/>
  <c r="E24" i="62"/>
  <c r="D12" i="62"/>
  <c r="E12" i="62" s="1"/>
  <c r="F11" i="62" s="1"/>
  <c r="E24" i="61"/>
  <c r="E25" i="61"/>
  <c r="E23" i="69"/>
  <c r="E22" i="69"/>
  <c r="E12" i="63"/>
  <c r="F7" i="63" s="1"/>
  <c r="E17" i="67"/>
  <c r="E24" i="67"/>
  <c r="F7" i="59"/>
  <c r="E12" i="66"/>
  <c r="F9" i="66" s="1"/>
  <c r="E17" i="62"/>
  <c r="E18" i="62"/>
  <c r="E22" i="63"/>
  <c r="E22" i="66"/>
  <c r="E23" i="66"/>
  <c r="E23" i="63"/>
  <c r="E16" i="61"/>
  <c r="E26" i="61"/>
  <c r="E24" i="66"/>
  <c r="E17" i="69"/>
  <c r="E24" i="69"/>
  <c r="E18" i="66"/>
  <c r="E19" i="61"/>
  <c r="E17" i="65"/>
  <c r="E17" i="68"/>
  <c r="E12" i="68"/>
  <c r="E6" i="68" s="1"/>
  <c r="F6" i="68" s="1"/>
  <c r="E23" i="61"/>
  <c r="E16" i="62"/>
  <c r="E16" i="63"/>
  <c r="E16" i="65"/>
  <c r="E16" i="67"/>
  <c r="E16" i="68"/>
  <c r="E16" i="69"/>
  <c r="G12" i="69"/>
  <c r="H12" i="69"/>
  <c r="D28" i="69" s="1"/>
  <c r="J12" i="69"/>
  <c r="E28" i="69" s="1"/>
  <c r="G12" i="68"/>
  <c r="H12" i="68"/>
  <c r="D28" i="68" s="1"/>
  <c r="J12" i="68"/>
  <c r="E28" i="68" s="1"/>
  <c r="G12" i="67"/>
  <c r="H12" i="67"/>
  <c r="D28" i="67" s="1"/>
  <c r="J12" i="67"/>
  <c r="E28" i="67" s="1"/>
  <c r="G12" i="66"/>
  <c r="H12" i="66"/>
  <c r="D28" i="66" s="1"/>
  <c r="J12" i="66"/>
  <c r="E28" i="66" s="1"/>
  <c r="G12" i="65"/>
  <c r="H12" i="65"/>
  <c r="D28" i="65" s="1"/>
  <c r="J12" i="65"/>
  <c r="E28" i="65" s="1"/>
  <c r="G12" i="64"/>
  <c r="H12" i="64"/>
  <c r="D28" i="64" s="1"/>
  <c r="J12" i="64"/>
  <c r="E28" i="64" s="1"/>
  <c r="G12" i="63"/>
  <c r="H12" i="63"/>
  <c r="D28" i="63" s="1"/>
  <c r="J12" i="63"/>
  <c r="E28" i="63" s="1"/>
  <c r="G12" i="62"/>
  <c r="H12" i="62"/>
  <c r="D28" i="62" s="1"/>
  <c r="J12" i="62"/>
  <c r="E28" i="62" s="1"/>
  <c r="G12" i="61"/>
  <c r="H12" i="61"/>
  <c r="D30" i="61" s="1"/>
  <c r="J12" i="61"/>
  <c r="E30" i="61" s="1"/>
  <c r="G9" i="59"/>
  <c r="F9" i="69" l="1"/>
  <c r="F10" i="63"/>
  <c r="E16" i="64"/>
  <c r="E17" i="64"/>
  <c r="F12" i="68"/>
  <c r="E18" i="64"/>
  <c r="E6" i="63"/>
  <c r="F6" i="63" s="1"/>
  <c r="F10" i="66"/>
  <c r="E22" i="64"/>
  <c r="E6" i="66"/>
  <c r="F6" i="66" s="1"/>
  <c r="F8" i="69"/>
  <c r="E6" i="69"/>
  <c r="F6" i="69" s="1"/>
  <c r="E6" i="64"/>
  <c r="F6" i="64" s="1"/>
  <c r="F12" i="64"/>
  <c r="F8" i="66"/>
  <c r="F11" i="66"/>
  <c r="E6" i="67"/>
  <c r="F6" i="67" s="1"/>
  <c r="E22" i="62"/>
  <c r="F10" i="62"/>
  <c r="F8" i="62"/>
  <c r="E6" i="62"/>
  <c r="F6" i="62" s="1"/>
  <c r="F11" i="63"/>
  <c r="F8" i="63"/>
  <c r="E6" i="65"/>
  <c r="F6" i="65" s="1"/>
  <c r="F12" i="63"/>
  <c r="F9" i="63"/>
  <c r="F12" i="69"/>
  <c r="F9" i="62"/>
  <c r="E23" i="62"/>
  <c r="F7" i="66"/>
  <c r="F12" i="66"/>
  <c r="F12" i="62"/>
  <c r="F7" i="62"/>
  <c r="E23" i="64"/>
  <c r="F11" i="69"/>
  <c r="F7" i="69"/>
  <c r="F10" i="67"/>
  <c r="F8" i="67"/>
  <c r="F11" i="67"/>
  <c r="F7" i="67"/>
  <c r="F9" i="67"/>
  <c r="F11" i="68"/>
  <c r="F7" i="68"/>
  <c r="F9" i="68"/>
  <c r="F8" i="68"/>
  <c r="F10" i="68"/>
  <c r="F11" i="64"/>
  <c r="F9" i="64"/>
  <c r="F7" i="64"/>
  <c r="F8" i="64"/>
  <c r="F10" i="64"/>
  <c r="F8" i="65"/>
  <c r="F10" i="65"/>
  <c r="F9" i="65"/>
  <c r="F11" i="65"/>
  <c r="F7" i="65"/>
</calcChain>
</file>

<file path=xl/sharedStrings.xml><?xml version="1.0" encoding="utf-8"?>
<sst xmlns="http://schemas.openxmlformats.org/spreadsheetml/2006/main" count="289127" uniqueCount="329">
  <si>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</si>
  <si>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</si>
  <si>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</si>
  <si>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</si>
  <si>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</si>
  <si>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</si>
  <si>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</si>
  <si>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</si>
  <si>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</si>
  <si>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</si>
  <si>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</si>
  <si>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</si>
  <si>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</si>
  <si>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</si>
  <si>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</si>
  <si>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</si>
  <si>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</si>
  <si>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</si>
  <si>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</si>
  <si>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</si>
  <si>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</si>
  <si>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</si>
  <si>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</si>
  <si>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</si>
  <si>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</si>
  <si>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</si>
  <si>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</si>
  <si>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</si>
  <si>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</si>
  <si>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</si>
  <si>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</si>
  <si>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</si>
  <si>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</si>
  <si>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</si>
  <si>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</si>
  <si>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</si>
  <si>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</si>
  <si>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</si>
  <si>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</si>
  <si>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</si>
  <si>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</si>
  <si>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</si>
  <si>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</si>
  <si>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</si>
  <si>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</si>
  <si>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</si>
  <si>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</si>
  <si>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</si>
  <si>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</si>
  <si>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</si>
  <si>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</si>
  <si>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</si>
  <si>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</si>
  <si>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</si>
  <si>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</si>
  <si>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</si>
  <si>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</si>
  <si>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</si>
  <si>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</si>
  <si>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</si>
  <si>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</si>
  <si>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</si>
  <si>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</si>
  <si>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</si>
  <si>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</si>
  <si>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</si>
  <si>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</si>
  <si>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</si>
  <si>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</si>
  <si>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</si>
  <si>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</si>
  <si>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</si>
  <si>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</si>
  <si>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</si>
  <si>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</si>
  <si>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</si>
  <si>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</si>
  <si>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</si>
  <si>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</si>
  <si>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</si>
  <si>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</si>
  <si>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</si>
  <si>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</si>
  <si>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</si>
  <si>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</si>
  <si>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</si>
  <si>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</si>
  <si>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</si>
  <si>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</si>
  <si>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</si>
  <si>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</si>
  <si>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</si>
  <si>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</si>
  <si>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</si>
  <si>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</si>
  <si>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</si>
  <si>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</si>
  <si>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</si>
  <si>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</si>
  <si>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</si>
  <si>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</si>
  <si>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</si>
  <si>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</si>
  <si>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</si>
  <si>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</si>
  <si>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</si>
  <si>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</si>
  <si>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</si>
  <si>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</si>
  <si>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</si>
  <si>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</si>
  <si>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</si>
  <si>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</si>
  <si>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</si>
  <si>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</si>
  <si>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</si>
  <si>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</si>
  <si>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</si>
  <si>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</si>
  <si>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</si>
  <si>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</si>
  <si>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</si>
  <si>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</si>
  <si>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</si>
  <si>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</si>
  <si>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</si>
  <si>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</si>
  <si>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</si>
  <si>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</si>
  <si>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</si>
  <si>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</si>
  <si>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</si>
  <si>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</si>
  <si>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</si>
  <si>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</si>
  <si>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</si>
  <si>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</si>
  <si>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</si>
  <si>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</si>
  <si>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</si>
  <si>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</si>
  <si>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</si>
  <si>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</si>
  <si>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</si>
  <si>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</si>
  <si>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</si>
  <si>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</si>
  <si>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</si>
  <si>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</si>
  <si>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</si>
  <si>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</si>
  <si>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</si>
  <si>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</si>
  <si>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</si>
  <si>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</si>
  <si>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</si>
  <si>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</si>
  <si>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</si>
  <si>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</si>
  <si>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</si>
  <si>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</si>
  <si>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</si>
  <si>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</si>
  <si>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</si>
  <si>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</si>
  <si>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</si>
  <si>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</si>
  <si>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</si>
  <si>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</si>
  <si>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</si>
  <si>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</si>
  <si>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</si>
  <si>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</si>
  <si>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</si>
  <si>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</si>
  <si>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</si>
  <si>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</si>
  <si>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</si>
  <si>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</si>
  <si>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</si>
  <si>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</si>
  <si>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</si>
  <si>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</si>
  <si>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</si>
  <si>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</si>
  <si>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</si>
  <si>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</si>
  <si>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</si>
  <si>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</si>
  <si>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</si>
  <si>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</si>
  <si>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</si>
  <si>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</si>
  <si>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</si>
  <si>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</si>
  <si>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</si>
  <si>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</si>
  <si>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</si>
  <si>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</si>
  <si>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</si>
  <si>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</si>
  <si>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</si>
  <si>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</si>
  <si>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</si>
  <si>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</si>
  <si>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</si>
  <si>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</si>
  <si>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</si>
  <si>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</si>
  <si>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</si>
  <si>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</si>
  <si>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</si>
  <si>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</si>
  <si>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</si>
  <si>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</si>
  <si>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</si>
  <si>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</si>
  <si>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</si>
  <si>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</si>
  <si>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</si>
  <si>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</si>
  <si>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</si>
  <si>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</si>
  <si>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</si>
  <si>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</si>
  <si>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</si>
  <si>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</si>
  <si>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</si>
  <si>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</si>
  <si>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</si>
  <si>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</si>
  <si>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</si>
  <si>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</si>
  <si>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</si>
  <si>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</si>
  <si>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</si>
  <si>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</si>
  <si>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</si>
  <si>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</si>
  <si>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</si>
  <si>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</si>
  <si>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</si>
  <si>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</si>
  <si>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</si>
  <si>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</si>
  <si>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</si>
  <si>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</si>
  <si>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</si>
  <si>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</si>
  <si>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</si>
  <si>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</si>
  <si>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</si>
  <si>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</si>
  <si>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</si>
  <si>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</si>
  <si>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</si>
  <si>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</si>
  <si>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</si>
  <si>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</si>
  <si>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</si>
  <si>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</si>
  <si>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</si>
  <si>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</si>
  <si>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</si>
  <si>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</si>
  <si>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</si>
  <si>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</si>
  <si>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</si>
  <si>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</si>
  <si>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</si>
  <si>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</si>
  <si>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</si>
  <si>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</si>
  <si>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</si>
  <si>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</si>
  <si>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</si>
  <si>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</si>
  <si>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</si>
  <si>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</si>
  <si>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</si>
  <si>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</si>
  <si>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</si>
  <si>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 xml:space="preserve">PROGRAD </t>
  </si>
  <si>
    <t>Número_Questão</t>
  </si>
  <si>
    <t>Tipo_Questão</t>
  </si>
  <si>
    <t>Título_Questão</t>
  </si>
  <si>
    <t>TítuloGráfico</t>
  </si>
  <si>
    <t>Observações</t>
  </si>
  <si>
    <t>Você utilizou as unidades e/ou serviços da Pró-reitoria de Graduação e Educação Profissional e Tecnológica (PROGRAD) em 2021?</t>
  </si>
  <si>
    <t>Eixo 5: questão 53</t>
  </si>
  <si>
    <t>Avalie os serviços prestados pelas unidades da PROGRAD que você utilizou em 2021: [Direção: Administrativo e Financeiro]</t>
  </si>
  <si>
    <t>Eixo 5: questão 54</t>
  </si>
  <si>
    <t>Avalie os serviços prestados pelas unidades da PROGRAD que você utilizou em 2021: [Coordenadoria de Integração de Políticas de Educação a Distância – CIPEAD]</t>
  </si>
  <si>
    <t>Eixo 5: questão 55</t>
  </si>
  <si>
    <t>Avalie os serviços prestados pelas unidades da PROGRAD que você utilizou em 2021: [Coordenação de Projetos e Análise Curricular – COPAC]</t>
  </si>
  <si>
    <t>Eixo 5: questão 56</t>
  </si>
  <si>
    <t>Avalie os serviços prestados pelas unidades da PROGRAD que você utilizou em 2021: [Coordenação de Políticas de Ensino de Graduação – COPEG]</t>
  </si>
  <si>
    <t>Eixo 5: questão 57</t>
  </si>
  <si>
    <t>Avalie os serviços prestados pelas unidades da PROGRAD que você utilizou em 2021: [Coordenação de Procedimentos Acadêmicos e Permanência – COPAP]</t>
  </si>
  <si>
    <t>Eixo 5: questão 58</t>
  </si>
  <si>
    <t>Avalie os serviços prestados pelas unidades da PROGRAD que você utilizou em 2021: [Coordenação de Sistemas de Informação para a Gestão Acadêmica – COSIS]</t>
  </si>
  <si>
    <t>Eixo 5: questão 59</t>
  </si>
  <si>
    <t>Avalie os serviços prestados pelas unidades da PROGRAD que você utilizou em 2021: [Coordenação de Atividades Formativas e Estágios – COAFE]</t>
  </si>
  <si>
    <t>Eixo 5: questão 60</t>
  </si>
  <si>
    <t>Avalie os serviços prestados pelas unidades da PROGRAD que você utilizou em 2021: [Núcleo de Concursos – NC]</t>
  </si>
  <si>
    <t>Eixo 5: questão 61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</si>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</sst>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0" fontId="8" fillId="0" borderId="3" xfId="0" quotePrefix="1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4" fillId="0" borderId="0" xfId="2" applyFont="1" applyFill="1" applyBorder="1"/>
    <xf numFmtId="0" fontId="12" fillId="0" borderId="0" xfId="2" applyFont="1" applyFill="1" applyBorder="1"/>
    <xf numFmtId="0" fontId="19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57DCEDA6-DC6E-47E2-9047-C6788DDE0AFC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916736"/>
        <c:axId val="112535808"/>
      </c:barChart>
      <c:catAx>
        <c:axId val="1129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535808"/>
        <c:crosses val="autoZero"/>
        <c:auto val="1"/>
        <c:lblAlgn val="ctr"/>
        <c:lblOffset val="100"/>
        <c:noMultiLvlLbl val="0"/>
      </c:catAx>
      <c:valAx>
        <c:axId val="11253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91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53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'Q5.53PROGRAD'!$C$5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'Q5.53PROGRAD'!$B$6:$B$8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'Q5.53PROGRAD'!$C$6:$C$8</c:f>
              <c:numCache>
                <c:formatCode>General</c:formatCode>
                <c:ptCount val="3"/>
                <c:pt idx="0">
                  <c:v>0</c:v>
                </c:pt>
                <c:pt idx="1">
                  <c:v>135</c:v>
                </c:pt>
                <c:pt idx="2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7-41DE-A0ED-489B0ACA409D}"/>
            </c:ext>
          </c:extLst>
        </c:ser>
        <c:ser>
          <c:idx val="1"/>
          <c:order val="1"/>
          <c:tx>
            <c:strRef>
              <c:f>'Q5.53PROGRAD'!$D$5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'Q5.53PROGRAD'!$B$6:$B$8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'Q5.53PROGRAD'!$D$6:$D$8</c:f>
              <c:numCache>
                <c:formatCode>General</c:formatCode>
                <c:ptCount val="3"/>
                <c:pt idx="0">
                  <c:v>0</c:v>
                </c:pt>
                <c:pt idx="1">
                  <c:v>185</c:v>
                </c:pt>
                <c:pt idx="2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7-41DE-A0ED-489B0ACA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864128"/>
        <c:axId val="138865664"/>
      </c:barChart>
      <c:catAx>
        <c:axId val="13886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865664"/>
        <c:crosses val="autoZero"/>
        <c:auto val="1"/>
        <c:lblAlgn val="ctr"/>
        <c:lblOffset val="100"/>
        <c:noMultiLvlLbl val="0"/>
      </c:catAx>
      <c:valAx>
        <c:axId val="13886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86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54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'Q5.54'!$C$5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'Q5.54'!$C$6:$C$11</c:f>
              <c:numCache>
                <c:formatCode>General</c:formatCode>
                <c:ptCount val="6"/>
                <c:pt idx="0">
                  <c:v>777</c:v>
                </c:pt>
                <c:pt idx="1">
                  <c:v>26</c:v>
                </c:pt>
                <c:pt idx="2">
                  <c:v>17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D-4531-B791-70C99786BE72}"/>
            </c:ext>
          </c:extLst>
        </c:ser>
        <c:ser>
          <c:idx val="1"/>
          <c:order val="1"/>
          <c:tx>
            <c:strRef>
              <c:f>'Q5.54'!$D$5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'Q5.54'!$D$6:$D$11</c:f>
              <c:numCache>
                <c:formatCode>General</c:formatCode>
                <c:ptCount val="6"/>
                <c:pt idx="0">
                  <c:v>494</c:v>
                </c:pt>
                <c:pt idx="1">
                  <c:v>18</c:v>
                </c:pt>
                <c:pt idx="2">
                  <c:v>25</c:v>
                </c:pt>
                <c:pt idx="3">
                  <c:v>17</c:v>
                </c:pt>
                <c:pt idx="4">
                  <c:v>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D-4531-B791-70C99786BE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42336"/>
        <c:axId val="138943872"/>
      </c:barChart>
      <c:catAx>
        <c:axId val="1389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943872"/>
        <c:crosses val="autoZero"/>
        <c:auto val="1"/>
        <c:lblAlgn val="ctr"/>
        <c:lblOffset val="100"/>
        <c:noMultiLvlLbl val="0"/>
      </c:catAx>
      <c:valAx>
        <c:axId val="13894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94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4F-47B5-9D1D-3B114F550E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4F-47B5-9D1D-3B114F550E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4F-47B5-9D1D-3B114F550E7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'Q5.54'!$D$16:$D$18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4F-47B5-9D1D-3B114F550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E5-4CD9-A10A-AB336E729C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E5-4CD9-A10A-AB336E729C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E5-4CD9-A10A-AB336E729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'Q5.54'!$D$22:$D$24</c:f>
              <c:numCache>
                <c:formatCode>General</c:formatCode>
                <c:ptCount val="3"/>
                <c:pt idx="0">
                  <c:v>20</c:v>
                </c:pt>
                <c:pt idx="1">
                  <c:v>17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E5-4CD9-A10A-AB336E729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'Q5.54'!$B$28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'Q5.54'!$C$28:$E$28</c:f>
              <c:numCache>
                <c:formatCode>0.00</c:formatCode>
                <c:ptCount val="3"/>
                <c:pt idx="0">
                  <c:v>10</c:v>
                </c:pt>
                <c:pt idx="1">
                  <c:v>7.2794117647058822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1-4878-A058-B74E92C59866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063296"/>
        <c:axId val="139065984"/>
      </c:lineChart>
      <c:catAx>
        <c:axId val="13906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065984"/>
        <c:crosses val="autoZero"/>
        <c:auto val="1"/>
        <c:lblAlgn val="ctr"/>
        <c:lblOffset val="100"/>
        <c:noMultiLvlLbl val="0"/>
      </c:catAx>
      <c:valAx>
        <c:axId val="13906598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0632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55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'Q5.55'!$C$5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'Q5.55'!$C$6:$C$11</c:f>
              <c:numCache>
                <c:formatCode>General</c:formatCode>
                <c:ptCount val="6"/>
                <c:pt idx="0">
                  <c:v>773</c:v>
                </c:pt>
                <c:pt idx="1">
                  <c:v>31</c:v>
                </c:pt>
                <c:pt idx="2">
                  <c:v>19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F-4754-901F-7BAB73BE628E}"/>
            </c:ext>
          </c:extLst>
        </c:ser>
        <c:ser>
          <c:idx val="1"/>
          <c:order val="1"/>
          <c:tx>
            <c:strRef>
              <c:f>'Q5.55'!$D$5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'Q5.55'!$D$6:$D$11</c:f>
              <c:numCache>
                <c:formatCode>General</c:formatCode>
                <c:ptCount val="6"/>
                <c:pt idx="0">
                  <c:v>447</c:v>
                </c:pt>
                <c:pt idx="1">
                  <c:v>35</c:v>
                </c:pt>
                <c:pt idx="2">
                  <c:v>48</c:v>
                </c:pt>
                <c:pt idx="3">
                  <c:v>18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F-4754-901F-7BAB73BE62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830784"/>
        <c:axId val="139832320"/>
      </c:barChart>
      <c:catAx>
        <c:axId val="13983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832320"/>
        <c:crosses val="autoZero"/>
        <c:auto val="1"/>
        <c:lblAlgn val="ctr"/>
        <c:lblOffset val="100"/>
        <c:noMultiLvlLbl val="0"/>
      </c:catAx>
      <c:valAx>
        <c:axId val="1398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83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76-45EA-AF25-4A813DF3D7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76-45EA-AF25-4A813DF3D7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76-45EA-AF25-4A813DF3D73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'Q5.55'!$C$16:$C$18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'Q5.55'!$D$16:$D$18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76-45EA-AF25-4A813DF3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5F-4ACE-B872-9EC246F51B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5F-4ACE-B872-9EC246F51B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5F-4ACE-B872-9EC246F51B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'Q5.55'!$C$22:$C$24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'Q5.55'!$D$22:$D$24</c:f>
              <c:numCache>
                <c:formatCode>General</c:formatCode>
                <c:ptCount val="3"/>
                <c:pt idx="0">
                  <c:v>26</c:v>
                </c:pt>
                <c:pt idx="1">
                  <c:v>18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5F-4ACE-B872-9EC246F5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'Q5.55'!$B$28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'Q5.55'!$C$27:$E$27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'Q5.55'!$C$28:$E$28</c:f>
              <c:numCache>
                <c:formatCode>0.00</c:formatCode>
                <c:ptCount val="3"/>
                <c:pt idx="0">
                  <c:v>8</c:v>
                </c:pt>
                <c:pt idx="1">
                  <c:v>7.6470588235294121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B-4137-A8A4-2CBD92D7FE6C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865472"/>
        <c:axId val="139892992"/>
      </c:lineChart>
      <c:catAx>
        <c:axId val="139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892992"/>
        <c:crosses val="autoZero"/>
        <c:auto val="1"/>
        <c:lblAlgn val="ctr"/>
        <c:lblOffset val="100"/>
        <c:noMultiLvlLbl val="0"/>
      </c:catAx>
      <c:valAx>
        <c:axId val="13989299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8654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56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'Q5.56'!$C$5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'Q5.56'!$C$6:$C$11</c:f>
              <c:numCache>
                <c:formatCode>General</c:formatCode>
                <c:ptCount val="6"/>
                <c:pt idx="0">
                  <c:v>771</c:v>
                </c:pt>
                <c:pt idx="1">
                  <c:v>34</c:v>
                </c:pt>
                <c:pt idx="2">
                  <c:v>22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6-4019-9241-24D9F5AC1A69}"/>
            </c:ext>
          </c:extLst>
        </c:ser>
        <c:ser>
          <c:idx val="1"/>
          <c:order val="1"/>
          <c:tx>
            <c:strRef>
              <c:f>'Q5.56'!$D$5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'Q5.56'!$D$6:$D$11</c:f>
              <c:numCache>
                <c:formatCode>General</c:formatCode>
                <c:ptCount val="6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6-4019-9241-24D9F5AC1A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035200"/>
        <c:axId val="140036736"/>
      </c:barChart>
      <c:catAx>
        <c:axId val="1400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036736"/>
        <c:crosses val="autoZero"/>
        <c:auto val="1"/>
        <c:lblAlgn val="ctr"/>
        <c:lblOffset val="100"/>
        <c:noMultiLvlLbl val="0"/>
      </c:catAx>
      <c:valAx>
        <c:axId val="1400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03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9-4AEB-9F98-AEFFF419B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99-4AEB-9F98-AEFFF419B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99-4AEB-9F98-AEFFF419B89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'Q5.56'!$D$16:$D$18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99-4AEB-9F98-AEFFF419B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99-40B8-9637-14A33DF5AA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99-40B8-9637-14A33DF5AA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99-40B8-9637-14A33DF5AA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'Q5.56'!$D$22:$D$24</c:f>
              <c:numCache>
                <c:formatCode>General</c:formatCode>
                <c:ptCount val="3"/>
                <c:pt idx="0">
                  <c:v>7</c:v>
                </c:pt>
                <c:pt idx="1">
                  <c:v>16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99-40B8-9637-14A33DF5A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'Q5.56'!$B$28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'Q5.56'!$C$28:$E$28</c:f>
              <c:numCache>
                <c:formatCode>0.00</c:formatCode>
                <c:ptCount val="3"/>
                <c:pt idx="0">
                  <c:v>10</c:v>
                </c:pt>
                <c:pt idx="1">
                  <c:v>8.1560283687943258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F-49DB-8E9F-EA5F147E3F3F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487680"/>
        <c:axId val="140498816"/>
      </c:lineChart>
      <c:catAx>
        <c:axId val="14048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498816"/>
        <c:crosses val="autoZero"/>
        <c:auto val="1"/>
        <c:lblAlgn val="ctr"/>
        <c:lblOffset val="100"/>
        <c:noMultiLvlLbl val="0"/>
      </c:catAx>
      <c:valAx>
        <c:axId val="14049881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4876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'Q5.57'!$C$5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'Q5.57'!$C$6:$C$11</c:f>
              <c:numCache>
                <c:formatCode>General</c:formatCode>
                <c:ptCount val="6"/>
                <c:pt idx="0">
                  <c:v>762</c:v>
                </c:pt>
                <c:pt idx="1">
                  <c:v>33</c:v>
                </c:pt>
                <c:pt idx="2">
                  <c:v>29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1-4E53-936C-B23D2FF25E68}"/>
            </c:ext>
          </c:extLst>
        </c:ser>
        <c:ser>
          <c:idx val="1"/>
          <c:order val="1"/>
          <c:tx>
            <c:strRef>
              <c:f>'Q5.57'!$D$5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'Q5.57'!$D$6:$D$11</c:f>
              <c:numCache>
                <c:formatCode>General</c:formatCode>
                <c:ptCount val="6"/>
                <c:pt idx="0">
                  <c:v>485</c:v>
                </c:pt>
                <c:pt idx="1">
                  <c:v>20</c:v>
                </c:pt>
                <c:pt idx="2">
                  <c:v>36</c:v>
                </c:pt>
                <c:pt idx="3">
                  <c:v>15</c:v>
                </c:pt>
                <c:pt idx="4">
                  <c:v>11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1-4E53-936C-B23D2FF25E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280576"/>
        <c:axId val="140282112"/>
      </c:barChart>
      <c:catAx>
        <c:axId val="14028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82112"/>
        <c:crosses val="autoZero"/>
        <c:auto val="1"/>
        <c:lblAlgn val="ctr"/>
        <c:lblOffset val="100"/>
        <c:noMultiLvlLbl val="0"/>
      </c:catAx>
      <c:valAx>
        <c:axId val="14028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8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5-403D-B97D-42D9AD2F81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A5-403D-B97D-42D9AD2F81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A5-403D-B97D-42D9AD2F81A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'Q5.57'!$C$16:$C$18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'Q5.57'!$D$16:$D$18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A5-403D-B97D-42D9AD2F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49-4F5C-B28F-07BB03128A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49-4F5C-B28F-07BB03128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49-4F5C-B28F-07BB03128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'Q5.57'!$C$22:$C$24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'Q5.57'!$D$22:$D$24</c:f>
              <c:numCache>
                <c:formatCode>General</c:formatCode>
                <c:ptCount val="3"/>
                <c:pt idx="0">
                  <c:v>18</c:v>
                </c:pt>
                <c:pt idx="1">
                  <c:v>15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49-4F5C-B28F-07BB03128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'Q5.57'!$B$28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'Q5.57'!$C$27:$E$27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'Q5.57'!$C$28:$E$28</c:f>
              <c:numCache>
                <c:formatCode>0.00</c:formatCode>
                <c:ptCount val="3"/>
                <c:pt idx="0">
                  <c:v>8</c:v>
                </c:pt>
                <c:pt idx="1">
                  <c:v>7.7249999999999996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9-4B8F-8DDD-3E71B11BC66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831360"/>
        <c:axId val="140846592"/>
      </c:lineChart>
      <c:catAx>
        <c:axId val="1408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846592"/>
        <c:crosses val="autoZero"/>
        <c:auto val="1"/>
        <c:lblAlgn val="ctr"/>
        <c:lblOffset val="100"/>
        <c:noMultiLvlLbl val="0"/>
      </c:catAx>
      <c:valAx>
        <c:axId val="14084659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8313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58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'Q5.58'!$C$5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'Q5.58'!$C$6:$C$11</c:f>
              <c:numCache>
                <c:formatCode>General</c:formatCode>
                <c:ptCount val="6"/>
                <c:pt idx="0">
                  <c:v>729</c:v>
                </c:pt>
                <c:pt idx="1">
                  <c:v>42</c:v>
                </c:pt>
                <c:pt idx="2">
                  <c:v>35</c:v>
                </c:pt>
                <c:pt idx="3">
                  <c:v>12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8-4C2A-AA92-C18D71318F48}"/>
            </c:ext>
          </c:extLst>
        </c:ser>
        <c:ser>
          <c:idx val="1"/>
          <c:order val="1"/>
          <c:tx>
            <c:strRef>
              <c:f>'Q5.58'!$D$5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'Q5.58'!$D$6:$D$11</c:f>
              <c:numCache>
                <c:formatCode>General</c:formatCode>
                <c:ptCount val="6"/>
                <c:pt idx="0">
                  <c:v>478</c:v>
                </c:pt>
                <c:pt idx="1">
                  <c:v>22</c:v>
                </c:pt>
                <c:pt idx="2">
                  <c:v>31</c:v>
                </c:pt>
                <c:pt idx="3">
                  <c:v>21</c:v>
                </c:pt>
                <c:pt idx="4">
                  <c:v>13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8-4C2A-AA92-C18D71318F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607872"/>
        <c:axId val="140609408"/>
      </c:barChart>
      <c:catAx>
        <c:axId val="14060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609408"/>
        <c:crosses val="autoZero"/>
        <c:auto val="1"/>
        <c:lblAlgn val="ctr"/>
        <c:lblOffset val="100"/>
        <c:noMultiLvlLbl val="0"/>
      </c:catAx>
      <c:valAx>
        <c:axId val="14060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6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E-4D96-8F62-AF09B66EF0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E-4D96-8F62-AF09B66EF0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E-4D96-8F62-AF09B66EF06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'Q5.58'!$C$16:$C$18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'Q5.58'!$D$16:$D$18</c:f>
              <c:numCache>
                <c:formatCode>General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2E-4D96-8F62-AF09B66E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7-4FE9-8FD3-DB4CFE15B7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7-4FE9-8FD3-DB4CFE15B7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7-4FE9-8FD3-DB4CFE15B7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'Q5.58'!$C$22:$C$24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'Q5.58'!$D$22:$D$24</c:f>
              <c:numCache>
                <c:formatCode>General</c:formatCode>
                <c:ptCount val="3"/>
                <c:pt idx="0">
                  <c:v>22</c:v>
                </c:pt>
                <c:pt idx="1">
                  <c:v>21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7-4FE9-8FD3-DB4CFE15B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'Q5.58'!$B$28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'Q5.58'!$C$27:$E$27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'Q5.58'!$C$28:$E$28</c:f>
              <c:numCache>
                <c:formatCode>0.00</c:formatCode>
                <c:ptCount val="3"/>
                <c:pt idx="0">
                  <c:v>8</c:v>
                </c:pt>
                <c:pt idx="1">
                  <c:v>7.43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1-4AC7-A8E5-E167BB96DB31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912896"/>
        <c:axId val="140932224"/>
      </c:lineChart>
      <c:catAx>
        <c:axId val="14091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32224"/>
        <c:crosses val="autoZero"/>
        <c:auto val="1"/>
        <c:lblAlgn val="ctr"/>
        <c:lblOffset val="100"/>
        <c:noMultiLvlLbl val="0"/>
      </c:catAx>
      <c:valAx>
        <c:axId val="1409322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128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59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'Q5.59'!$C$5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'Q5.59'!$B$6:$B$11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'Q5.59'!$C$6:$C$11</c:f>
              <c:numCache>
                <c:formatCode>General</c:formatCode>
                <c:ptCount val="6"/>
                <c:pt idx="0">
                  <c:v>760</c:v>
                </c:pt>
                <c:pt idx="1">
                  <c:v>35</c:v>
                </c:pt>
                <c:pt idx="2">
                  <c:v>21</c:v>
                </c:pt>
                <c:pt idx="3">
                  <c:v>9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9-4F74-8F8D-343D01A4330E}"/>
            </c:ext>
          </c:extLst>
        </c:ser>
        <c:ser>
          <c:idx val="1"/>
          <c:order val="1"/>
          <c:tx>
            <c:strRef>
              <c:f>'Q5.59'!$D$5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'Q5.59'!$B$6:$B$11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'Q5.59'!$D$6:$D$11</c:f>
              <c:numCache>
                <c:formatCode>General</c:formatCode>
                <c:ptCount val="6"/>
                <c:pt idx="0">
                  <c:v>501</c:v>
                </c:pt>
                <c:pt idx="1">
                  <c:v>21</c:v>
                </c:pt>
                <c:pt idx="2">
                  <c:v>23</c:v>
                </c:pt>
                <c:pt idx="3">
                  <c:v>17</c:v>
                </c:pt>
                <c:pt idx="4">
                  <c:v>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9-4F74-8F8D-343D01A433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864320"/>
        <c:axId val="135865856"/>
      </c:barChart>
      <c:catAx>
        <c:axId val="1358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65856"/>
        <c:crosses val="autoZero"/>
        <c:auto val="1"/>
        <c:lblAlgn val="ctr"/>
        <c:lblOffset val="100"/>
        <c:noMultiLvlLbl val="0"/>
      </c:catAx>
      <c:valAx>
        <c:axId val="13586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6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CE-4F8A-9A43-EE41C86B37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CE-4F8A-9A43-EE41C86B37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CE-4F8A-9A43-EE41C86B37F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'Q5.59'!$C$16:$C$18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'Q5.59'!$D$16:$D$18</c:f>
              <c:numCache>
                <c:formatCode>General</c:formatCode>
                <c:ptCount val="3"/>
                <c:pt idx="0">
                  <c:v>8</c:v>
                </c:pt>
                <c:pt idx="1">
                  <c:v>9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CE-4F8A-9A43-EE41C86B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D-4218-B3FF-CBDCB56A4C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1D-4218-B3FF-CBDCB56A4C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1D-4218-B3FF-CBDCB56A4C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'Q5.59'!$C$22:$C$24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'Q5.59'!$D$22:$D$24</c:f>
              <c:numCache>
                <c:formatCode>General</c:formatCode>
                <c:ptCount val="3"/>
                <c:pt idx="0">
                  <c:v>12</c:v>
                </c:pt>
                <c:pt idx="1">
                  <c:v>17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1D-4218-B3FF-CBDCB56A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'Q5.59'!$B$28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'Q5.59'!$C$27:$E$27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'Q5.59'!$C$28:$E$28</c:f>
              <c:numCache>
                <c:formatCode>0.00</c:formatCode>
                <c:ptCount val="3"/>
                <c:pt idx="0">
                  <c:v>10</c:v>
                </c:pt>
                <c:pt idx="1">
                  <c:v>7.7671232876712333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0-4790-AA3F-2A5D6E648DEC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232000"/>
        <c:axId val="141234944"/>
      </c:lineChart>
      <c:catAx>
        <c:axId val="1412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34944"/>
        <c:crosses val="autoZero"/>
        <c:auto val="1"/>
        <c:lblAlgn val="ctr"/>
        <c:lblOffset val="100"/>
        <c:noMultiLvlLbl val="0"/>
      </c:catAx>
      <c:valAx>
        <c:axId val="1412349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320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'Q5.60'!$C$5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'Q5.60'!$C$6:$C$11</c:f>
              <c:numCache>
                <c:formatCode>General</c:formatCode>
                <c:ptCount val="6"/>
                <c:pt idx="0">
                  <c:v>746</c:v>
                </c:pt>
                <c:pt idx="1">
                  <c:v>42</c:v>
                </c:pt>
                <c:pt idx="2">
                  <c:v>31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A-47FA-854F-714196B25ADE}"/>
            </c:ext>
          </c:extLst>
        </c:ser>
        <c:ser>
          <c:idx val="1"/>
          <c:order val="1"/>
          <c:tx>
            <c:strRef>
              <c:f>'Q5.60'!$D$5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'Q5.60'!$D$6:$D$11</c:f>
              <c:numCache>
                <c:formatCode>General</c:formatCode>
                <c:ptCount val="6"/>
                <c:pt idx="0">
                  <c:v>436</c:v>
                </c:pt>
                <c:pt idx="1">
                  <c:v>44</c:v>
                </c:pt>
                <c:pt idx="2">
                  <c:v>53</c:v>
                </c:pt>
                <c:pt idx="3">
                  <c:v>26</c:v>
                </c:pt>
                <c:pt idx="4">
                  <c:v>8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A-47FA-854F-714196B25A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303168"/>
        <c:axId val="141309056"/>
      </c:barChart>
      <c:catAx>
        <c:axId val="1413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09056"/>
        <c:crosses val="autoZero"/>
        <c:auto val="1"/>
        <c:lblAlgn val="ctr"/>
        <c:lblOffset val="100"/>
        <c:noMultiLvlLbl val="0"/>
      </c:catAx>
      <c:valAx>
        <c:axId val="14130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F7-4948-8FBE-3A513D2243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F7-4948-8FBE-3A513D2243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F7-4948-8FBE-3A513D22431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'Q5.60'!$C$16:$C$18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'Q5.60'!$D$16:$D$18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F7-4948-8FBE-3A513D22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A6-4145-9152-7B5707FD68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A6-4145-9152-7B5707FD68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A6-4145-9152-7B5707FD68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'Q5.60'!$C$22:$C$24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'Q5.60'!$D$22:$D$24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A6-4145-9152-7B5707FD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'Q5.60'!$B$28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'Q5.60'!$C$27:$E$27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'Q5.60'!$C$28:$E$28</c:f>
              <c:numCache>
                <c:formatCode>0.00</c:formatCode>
                <c:ptCount val="3"/>
                <c:pt idx="0">
                  <c:v>10</c:v>
                </c:pt>
                <c:pt idx="1">
                  <c:v>8.017777777777777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A-47CC-BA73-EA1E23F9488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493760"/>
        <c:axId val="141504896"/>
      </c:lineChart>
      <c:catAx>
        <c:axId val="1414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504896"/>
        <c:crosses val="autoZero"/>
        <c:auto val="1"/>
        <c:lblAlgn val="ctr"/>
        <c:lblOffset val="100"/>
        <c:noMultiLvlLbl val="0"/>
      </c:catAx>
      <c:valAx>
        <c:axId val="14150489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4937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'Q5.61'!$C$5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'Q5.61'!$C$6:$C$11</c:f>
              <c:numCache>
                <c:formatCode>General</c:formatCode>
                <c:ptCount val="6"/>
                <c:pt idx="0">
                  <c:v>754</c:v>
                </c:pt>
                <c:pt idx="1">
                  <c:v>20</c:v>
                </c:pt>
                <c:pt idx="2">
                  <c:v>23</c:v>
                </c:pt>
                <c:pt idx="3">
                  <c:v>17</c:v>
                </c:pt>
                <c:pt idx="4">
                  <c:v>3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9-4841-B8F7-F8AC6B0B4219}"/>
            </c:ext>
          </c:extLst>
        </c:ser>
        <c:ser>
          <c:idx val="1"/>
          <c:order val="1"/>
          <c:tx>
            <c:strRef>
              <c:f>'Q5.61'!$D$5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'Q5.61'!$D$6:$D$11</c:f>
              <c:numCache>
                <c:formatCode>General</c:formatCode>
                <c:ptCount val="6"/>
                <c:pt idx="0">
                  <c:v>495</c:v>
                </c:pt>
                <c:pt idx="1">
                  <c:v>15</c:v>
                </c:pt>
                <c:pt idx="2">
                  <c:v>20</c:v>
                </c:pt>
                <c:pt idx="3">
                  <c:v>13</c:v>
                </c:pt>
                <c:pt idx="4">
                  <c:v>13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9-4841-B8F7-F8AC6B0B4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011968"/>
        <c:axId val="141030144"/>
      </c:barChart>
      <c:catAx>
        <c:axId val="1410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030144"/>
        <c:crosses val="autoZero"/>
        <c:auto val="1"/>
        <c:lblAlgn val="ctr"/>
        <c:lblOffset val="100"/>
        <c:noMultiLvlLbl val="0"/>
      </c:catAx>
      <c:valAx>
        <c:axId val="14103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01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9-44CE-BFD3-EB70E0029A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29-44CE-BFD3-EB70E0029A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29-44CE-BFD3-EB70E0029AF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'Q5.61'!$C$16:$C$18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'Q5.61'!$D$16:$D$18</c:f>
              <c:numCache>
                <c:formatCode>General</c:formatCode>
                <c:ptCount val="3"/>
                <c:pt idx="0">
                  <c:v>19</c:v>
                </c:pt>
                <c:pt idx="1">
                  <c:v>17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29-44CE-BFD3-EB70E002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F-4B23-9BC0-C737D81ABF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BF-4B23-9BC0-C737D81ABF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BF-4B23-9BC0-C737D81ABF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'Q5.61'!$C$22:$C$24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'Q5.61'!$D$22:$D$24</c:f>
              <c:numCache>
                <c:formatCode>General</c:formatCode>
                <c:ptCount val="3"/>
                <c:pt idx="0">
                  <c:v>31</c:v>
                </c:pt>
                <c:pt idx="1">
                  <c:v>13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BF-4B23-9BC0-C737D81AB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'Q5.61'!$B$28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'Q5.61'!$C$27:$E$27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'Q5.61'!$C$28:$E$28</c:f>
              <c:numCache>
                <c:formatCode>0.00</c:formatCode>
                <c:ptCount val="3"/>
                <c:pt idx="0">
                  <c:v>8</c:v>
                </c:pt>
                <c:pt idx="1">
                  <c:v>6.3670886075949369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8AF-87BA-BCB538B3FAA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132928"/>
        <c:axId val="141152256"/>
      </c:lineChart>
      <c:catAx>
        <c:axId val="1411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52256"/>
        <c:crosses val="autoZero"/>
        <c:auto val="1"/>
        <c:lblAlgn val="ctr"/>
        <c:lblOffset val="100"/>
        <c:noMultiLvlLbl val="0"/>
      </c:catAx>
      <c:valAx>
        <c:axId val="14115225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329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590550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0F68E7-CABA-4447-B35B-E3F187DA1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91DF85-D436-49E6-AA8C-277024172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BD1D8E8-C17B-4DE4-8259-995584DE85F5}"/>
            </a:ext>
            <a:ext uri="{147F2762-F138-4A5C-976F-8EAC2B608ADB}">
              <a16:predDERef xmlns:a16="http://schemas.microsoft.com/office/drawing/2014/main" pred="{4A91DF85-D436-49E6-AA8C-277024172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9E0CA181-1AA3-4DFB-95AB-CA432DC19695}"/>
            </a:ext>
            <a:ext uri="{147F2762-F138-4A5C-976F-8EAC2B608ADB}">
              <a16:predDERef xmlns:a16="http://schemas.microsoft.com/office/drawing/2014/main" pred="{4BD1D8E8-C17B-4DE4-8259-995584DE8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B0C064A2-DA82-4B73-83BC-CF30A2E85D73}"/>
            </a:ext>
            <a:ext uri="{147F2762-F138-4A5C-976F-8EAC2B608ADB}">
              <a16:predDERef xmlns:a16="http://schemas.microsoft.com/office/drawing/2014/main" pred="{9E0CA181-1AA3-4DFB-95AB-CA432DC19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B41809-21CF-4ED5-9C02-DD1F72B5D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C8129C1F-F9BE-499F-95A7-056E390F5DD9}"/>
            </a:ext>
            <a:ext uri="{147F2762-F138-4A5C-976F-8EAC2B608ADB}">
              <a16:predDERef xmlns:a16="http://schemas.microsoft.com/office/drawing/2014/main" pred="{82B41809-21CF-4ED5-9C02-DD1F72B5D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B3648626-68D2-4623-80F9-59B99FE0BA45}"/>
            </a:ext>
            <a:ext uri="{147F2762-F138-4A5C-976F-8EAC2B608ADB}">
              <a16:predDERef xmlns:a16="http://schemas.microsoft.com/office/drawing/2014/main" pred="{C8129C1F-F9BE-499F-95A7-056E390F5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DB62D61-3FD5-4B2F-BDC1-D95274651B9D}"/>
            </a:ext>
            <a:ext uri="{147F2762-F138-4A5C-976F-8EAC2B608ADB}">
              <a16:predDERef xmlns:a16="http://schemas.microsoft.com/office/drawing/2014/main" pred="{B3648626-68D2-4623-80F9-59B99FE0B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86837C-4267-4D00-8222-28A195F67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0D57791-170F-4FA7-BB94-F95F16DD2E1E}"/>
            </a:ext>
            <a:ext uri="{147F2762-F138-4A5C-976F-8EAC2B608ADB}">
              <a16:predDERef xmlns:a16="http://schemas.microsoft.com/office/drawing/2014/main" pred="{6986837C-4267-4D00-8222-28A195F67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BDCF33B5-7237-4176-97CC-FA3F23D2E952}"/>
            </a:ext>
            <a:ext uri="{147F2762-F138-4A5C-976F-8EAC2B608ADB}">
              <a16:predDERef xmlns:a16="http://schemas.microsoft.com/office/drawing/2014/main" pred="{50D57791-170F-4FA7-BB94-F95F16DD2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3B72D6A-F44F-4867-9028-BC277268CB6A}"/>
            </a:ext>
            <a:ext uri="{147F2762-F138-4A5C-976F-8EAC2B608ADB}">
              <a16:predDERef xmlns:a16="http://schemas.microsoft.com/office/drawing/2014/main" pred="{BDCF33B5-7237-4176-97CC-FA3F23D2E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098A6B-14BE-4EF4-A7CF-D0CFA6BFD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29E3884D-0816-4880-9FC5-2125321819DF}"/>
            </a:ext>
            <a:ext uri="{147F2762-F138-4A5C-976F-8EAC2B608ADB}">
              <a16:predDERef xmlns:a16="http://schemas.microsoft.com/office/drawing/2014/main" pred="{C2098A6B-14BE-4EF4-A7CF-D0CFA6BFD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E4DE3CD-B853-405A-8F35-A9C74F50F75D}"/>
            </a:ext>
            <a:ext uri="{147F2762-F138-4A5C-976F-8EAC2B608ADB}">
              <a16:predDERef xmlns:a16="http://schemas.microsoft.com/office/drawing/2014/main" pred="{29E3884D-0816-4880-9FC5-212532181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8F6B356B-7D19-4743-A8E7-60C49F93837D}"/>
            </a:ext>
            <a:ext uri="{147F2762-F138-4A5C-976F-8EAC2B608ADB}">
              <a16:predDERef xmlns:a16="http://schemas.microsoft.com/office/drawing/2014/main" pred="{1E4DE3CD-B853-405A-8F35-A9C74F50F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509ECA-8CBA-457F-B475-048878CE9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0AECF6F-EE69-4AE3-B99E-946E1A7AE10A}"/>
            </a:ext>
            <a:ext uri="{147F2762-F138-4A5C-976F-8EAC2B608ADB}">
              <a16:predDERef xmlns:a16="http://schemas.microsoft.com/office/drawing/2014/main" pred="{35509ECA-8CBA-457F-B475-048878CE9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F60C06B9-7C73-4FF7-81CF-E8613E75E509}"/>
            </a:ext>
            <a:ext uri="{147F2762-F138-4A5C-976F-8EAC2B608ADB}">
              <a16:predDERef xmlns:a16="http://schemas.microsoft.com/office/drawing/2014/main" pred="{E0AECF6F-EE69-4AE3-B99E-946E1A7AE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B81D68CE-36CE-4517-9E99-3CC370DD2D7F}"/>
            </a:ext>
            <a:ext uri="{147F2762-F138-4A5C-976F-8EAC2B608ADB}">
              <a16:predDERef xmlns:a16="http://schemas.microsoft.com/office/drawing/2014/main" pred="{F60C06B9-7C73-4FF7-81CF-E8613E75E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C49FA-A219-4498-8119-70F7C506F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B555B63-C3B8-40A9-9B9B-E989233C7C5A}"/>
            </a:ext>
            <a:ext uri="{147F2762-F138-4A5C-976F-8EAC2B608ADB}">
              <a16:predDERef xmlns:a16="http://schemas.microsoft.com/office/drawing/2014/main" pred="{4D6C49FA-A219-4498-8119-70F7C506F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A1001ECB-AD86-4CC0-913A-6CCE25BECE2A}"/>
            </a:ext>
            <a:ext uri="{147F2762-F138-4A5C-976F-8EAC2B608ADB}">
              <a16:predDERef xmlns:a16="http://schemas.microsoft.com/office/drawing/2014/main" pred="{5B555B63-C3B8-40A9-9B9B-E989233C7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A96F3817-9B6F-4AD1-9999-B49B6AB9DBD9}"/>
            </a:ext>
            <a:ext uri="{147F2762-F138-4A5C-976F-8EAC2B608ADB}">
              <a16:predDERef xmlns:a16="http://schemas.microsoft.com/office/drawing/2014/main" pred="{A1001ECB-AD86-4CC0-913A-6CCE25BEC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A73678-8AE1-4E1B-98EA-014805CF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6E5DBF5-DE07-4DA1-AD1A-D86B3F5E2414}"/>
            </a:ext>
            <a:ext uri="{147F2762-F138-4A5C-976F-8EAC2B608ADB}">
              <a16:predDERef xmlns:a16="http://schemas.microsoft.com/office/drawing/2014/main" pred="{88A73678-8AE1-4E1B-98EA-014805CF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FE5853EF-0197-44EB-8CC9-C00EF0885C5B}"/>
            </a:ext>
            <a:ext uri="{147F2762-F138-4A5C-976F-8EAC2B608ADB}">
              <a16:predDERef xmlns:a16="http://schemas.microsoft.com/office/drawing/2014/main" pred="{F6E5DBF5-DE07-4DA1-AD1A-D86B3F5E2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A45D5344-A26D-4AA7-9819-BB8E6083057B}"/>
            </a:ext>
            <a:ext uri="{147F2762-F138-4A5C-976F-8EAC2B608ADB}">
              <a16:predDERef xmlns:a16="http://schemas.microsoft.com/office/drawing/2014/main" pred="{FE5853EF-0197-44EB-8CC9-C00EF0885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6283E7-798A-47A3-B4F5-B40605A66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EE34CF7-91E2-4942-A6D1-DC5D1699EA18}"/>
            </a:ext>
            <a:ext uri="{147F2762-F138-4A5C-976F-8EAC2B608ADB}">
              <a16:predDERef xmlns:a16="http://schemas.microsoft.com/office/drawing/2014/main" pred="{956283E7-798A-47A3-B4F5-B40605A66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CB5B3FB1-248F-485B-BF08-25BEA46D48BA}"/>
            </a:ext>
            <a:ext uri="{147F2762-F138-4A5C-976F-8EAC2B608ADB}">
              <a16:predDERef xmlns:a16="http://schemas.microsoft.com/office/drawing/2014/main" pred="{6EE34CF7-91E2-4942-A6D1-DC5D1699E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6F0E99D9-CEC5-4B5A-8B13-569047884C08}"/>
            </a:ext>
            <a:ext uri="{147F2762-F138-4A5C-976F-8EAC2B608ADB}">
              <a16:predDERef xmlns:a16="http://schemas.microsoft.com/office/drawing/2014/main" pred="{CB5B3FB1-248F-485B-BF08-25BEA46D4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10" totalsRowShown="0" headerRowDxfId="6" dataDxfId="5">
  <autoFilter ref="A1:E10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showGridLines="0" tabSelected="1" topLeftCell="A21" zoomScaleNormal="100" workbookViewId="0">
      <selection activeCell="E36" sqref="E36"/>
    </sheetView>
  </sheetViews>
  <sheetFormatPr defaultRowHeight="15" x14ac:dyDescent="0.2"/>
  <cols>
    <col min="1" max="1" width="9" style="41" customWidth="1"/>
    <col min="2" max="2" width="19" style="41" customWidth="1"/>
    <col min="3" max="3" width="19.28515625" style="41" customWidth="1"/>
    <col min="4" max="4" width="25.85546875" style="41" customWidth="1"/>
    <col min="5" max="5" width="29.7109375" style="41" customWidth="1"/>
    <col min="6" max="6" width="26.42578125" style="41" customWidth="1"/>
    <col min="7" max="7" width="34" style="41" customWidth="1"/>
    <col min="8" max="8" width="11.85546875" style="41" customWidth="1"/>
    <col min="9" max="9" width="26.42578125" style="41" customWidth="1"/>
    <col min="10" max="10" width="37.140625" style="41" customWidth="1"/>
    <col min="11" max="16384" width="9.140625" style="41"/>
  </cols>
  <sheetData>
    <row r="1" spans="1:15" ht="15.75" x14ac:dyDescent="0.25">
      <c r="A1" s="40" t="s">
        <v>0</v>
      </c>
    </row>
    <row r="3" spans="1:15" ht="15.75" x14ac:dyDescent="0.25">
      <c r="A3" s="43" t="s">
        <v>1</v>
      </c>
      <c r="B3" s="43"/>
      <c r="C3" s="43"/>
      <c r="D3" s="43"/>
      <c r="E3" s="43"/>
      <c r="F3" s="43"/>
      <c r="H3" s="44"/>
      <c r="I3" s="44"/>
      <c r="J3" s="44"/>
      <c r="K3" s="45"/>
      <c r="L3" s="45"/>
      <c r="M3" s="45"/>
      <c r="N3" s="45"/>
      <c r="O3" s="45"/>
    </row>
    <row r="4" spans="1:15" x14ac:dyDescent="0.2">
      <c r="A4" s="46" t="s">
        <v>2</v>
      </c>
      <c r="B4" s="47" t="s">
        <v>3</v>
      </c>
      <c r="C4" s="63"/>
      <c r="H4" s="48"/>
      <c r="I4" s="48"/>
      <c r="J4" s="48"/>
      <c r="K4" s="48"/>
      <c r="L4" s="49"/>
      <c r="M4" s="49"/>
      <c r="N4" s="45"/>
      <c r="O4" s="45"/>
    </row>
    <row r="5" spans="1:15" x14ac:dyDescent="0.2">
      <c r="A5" s="46" t="s">
        <v>4</v>
      </c>
      <c r="B5" s="62" t="s">
        <v>5</v>
      </c>
      <c r="C5" s="42"/>
      <c r="H5" s="50"/>
      <c r="I5" s="45"/>
      <c r="J5" s="45"/>
      <c r="K5" s="45"/>
      <c r="L5" s="51"/>
      <c r="M5" s="51"/>
      <c r="N5" s="45"/>
      <c r="O5" s="45"/>
    </row>
    <row r="6" spans="1:15" x14ac:dyDescent="0.2">
      <c r="H6" s="45"/>
      <c r="I6" s="45"/>
      <c r="J6" s="45"/>
      <c r="K6" s="45"/>
      <c r="L6" s="45"/>
      <c r="M6" s="45"/>
      <c r="N6" s="45"/>
      <c r="O6" s="45"/>
    </row>
    <row r="7" spans="1:15" x14ac:dyDescent="0.2">
      <c r="A7" s="41" t="s">
        <v>6</v>
      </c>
    </row>
    <row r="8" spans="1:15" x14ac:dyDescent="0.2">
      <c r="A8" s="41" t="s">
        <v>7</v>
      </c>
    </row>
    <row r="10" spans="1:15" x14ac:dyDescent="0.2">
      <c r="A10" s="41" t="s">
        <v>8</v>
      </c>
    </row>
    <row r="11" spans="1:15" ht="100.5" customHeight="1" x14ac:dyDescent="0.2">
      <c r="A11" s="69" t="s">
        <v>9</v>
      </c>
      <c r="B11" s="69"/>
      <c r="C11" s="69"/>
      <c r="D11" s="69"/>
      <c r="E11" s="69"/>
      <c r="F11" s="69"/>
    </row>
    <row r="12" spans="1:15" x14ac:dyDescent="0.2">
      <c r="A12" s="64"/>
    </row>
    <row r="13" spans="1:15" x14ac:dyDescent="0.2">
      <c r="A13" s="44" t="s">
        <v>10</v>
      </c>
    </row>
    <row r="14" spans="1:15" s="55" customFormat="1" x14ac:dyDescent="0.2">
      <c r="A14" s="53"/>
      <c r="B14" s="71" t="s">
        <v>11</v>
      </c>
      <c r="C14" s="72"/>
      <c r="D14" s="53" t="s">
        <v>12</v>
      </c>
      <c r="E14" s="54" t="s">
        <v>13</v>
      </c>
      <c r="F14" s="49"/>
    </row>
    <row r="15" spans="1:15" x14ac:dyDescent="0.2">
      <c r="A15" s="61" t="s">
        <v>14</v>
      </c>
      <c r="B15" s="73">
        <f>COUNTIF(Resp5[Vínculo],A15)</f>
        <v>833</v>
      </c>
      <c r="C15" s="74"/>
      <c r="D15" s="56">
        <v>2019</v>
      </c>
      <c r="E15" s="57">
        <f>ROUND(B15/$D15*100,3)</f>
        <v>41.258000000000003</v>
      </c>
      <c r="F15" s="51"/>
    </row>
    <row r="16" spans="1:15" x14ac:dyDescent="0.2">
      <c r="A16" s="58" t="s">
        <v>15</v>
      </c>
      <c r="B16" s="73">
        <f>COUNTIF(Resp5[Vínculo],A16)</f>
        <v>574</v>
      </c>
      <c r="C16" s="74"/>
      <c r="D16" s="56">
        <v>2675</v>
      </c>
      <c r="E16" s="57">
        <f t="shared" ref="E16:E17" si="0">ROUND(B16/$D16*100,3)</f>
        <v>21.457999999999998</v>
      </c>
      <c r="F16" s="51"/>
    </row>
    <row r="17" spans="1:15" x14ac:dyDescent="0.2">
      <c r="A17" s="59" t="s">
        <v>16</v>
      </c>
      <c r="B17" s="73">
        <f>SUM(B15:B16)</f>
        <v>1407</v>
      </c>
      <c r="C17" s="74"/>
      <c r="D17" s="56">
        <f>SUM(D15:D16)</f>
        <v>4694</v>
      </c>
      <c r="E17" s="57">
        <f t="shared" si="0"/>
        <v>29.974</v>
      </c>
      <c r="F17" s="51"/>
    </row>
    <row r="18" spans="1:15" x14ac:dyDescent="0.2">
      <c r="A18" s="52">
        <v>1</v>
      </c>
      <c r="B18" s="70" t="s">
        <v>17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5" x14ac:dyDescent="0.2">
      <c r="A19" s="52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15" x14ac:dyDescent="0.2">
      <c r="A20" s="52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5" x14ac:dyDescent="0.2">
      <c r="A21" s="41" t="s">
        <v>18</v>
      </c>
    </row>
    <row r="22" spans="1:15" ht="39.75" customHeight="1" x14ac:dyDescent="0.2">
      <c r="A22" s="69" t="s">
        <v>19</v>
      </c>
      <c r="B22" s="69"/>
      <c r="C22" s="69"/>
      <c r="D22" s="69"/>
      <c r="E22" s="69"/>
      <c r="F22" s="69"/>
      <c r="G22" s="69"/>
      <c r="H22" s="69"/>
      <c r="I22" s="69"/>
    </row>
    <row r="23" spans="1:15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5" ht="15.75" x14ac:dyDescent="0.25">
      <c r="A24" s="85" t="s">
        <v>20</v>
      </c>
      <c r="B24" s="85"/>
      <c r="C24"/>
      <c r="D24" s="86" t="s">
        <v>5</v>
      </c>
      <c r="E24" s="87"/>
      <c r="F24" s="76"/>
      <c r="G24" s="76"/>
      <c r="H24" s="76"/>
      <c r="I24" s="77"/>
      <c r="J24" s="76"/>
      <c r="K24" s="76"/>
      <c r="L24" s="75"/>
      <c r="M24" s="75"/>
      <c r="N24" s="75"/>
      <c r="O24" s="75"/>
    </row>
    <row r="25" spans="1:15" ht="15.75" x14ac:dyDescent="0.25">
      <c r="A25" s="88" t="s">
        <v>21</v>
      </c>
      <c r="B25" s="88"/>
      <c r="C25"/>
      <c r="D25" s="89" t="s">
        <v>22</v>
      </c>
      <c r="E25" s="89" t="s">
        <v>326</v>
      </c>
      <c r="F25" s="77"/>
      <c r="G25" s="76"/>
      <c r="H25" s="76"/>
      <c r="I25" s="79"/>
      <c r="J25" s="79"/>
      <c r="K25" s="76"/>
      <c r="L25" s="75"/>
      <c r="M25" s="75"/>
      <c r="N25" s="75"/>
      <c r="O25" s="75"/>
    </row>
    <row r="26" spans="1:15" ht="15.75" x14ac:dyDescent="0.25">
      <c r="A26" s="88" t="s">
        <v>23</v>
      </c>
      <c r="B26" s="88"/>
      <c r="C26"/>
      <c r="D26" s="90" t="s">
        <v>24</v>
      </c>
      <c r="E26" s="91" t="s">
        <v>25</v>
      </c>
      <c r="F26" s="79"/>
      <c r="G26" s="79"/>
      <c r="H26" s="76"/>
      <c r="I26" s="79"/>
      <c r="J26" s="79"/>
      <c r="K26" s="76"/>
      <c r="L26" s="75"/>
      <c r="M26" s="75"/>
      <c r="N26" s="75"/>
      <c r="O26" s="75"/>
    </row>
    <row r="27" spans="1:15" ht="15.75" x14ac:dyDescent="0.25">
      <c r="A27" s="88" t="s">
        <v>327</v>
      </c>
      <c r="B27" s="88"/>
      <c r="C27"/>
      <c r="D27" s="92" t="s">
        <v>26</v>
      </c>
      <c r="E27" s="93" t="s">
        <v>328</v>
      </c>
      <c r="F27" s="79"/>
      <c r="G27" s="79"/>
      <c r="H27" s="76"/>
      <c r="I27" s="79"/>
      <c r="J27" s="79"/>
      <c r="K27" s="76"/>
      <c r="L27" s="75"/>
      <c r="M27" s="75"/>
      <c r="N27" s="75"/>
      <c r="O27" s="75"/>
    </row>
    <row r="28" spans="1:15" ht="15.75" x14ac:dyDescent="0.25">
      <c r="A28" s="88" t="s">
        <v>27</v>
      </c>
      <c r="B28" s="88"/>
      <c r="C28" s="94"/>
      <c r="D28" s="94"/>
      <c r="E28" s="95"/>
      <c r="F28" s="79"/>
      <c r="G28" s="79"/>
      <c r="H28" s="76"/>
      <c r="I28" s="79"/>
      <c r="J28" s="79"/>
      <c r="K28" s="76"/>
      <c r="L28" s="75"/>
      <c r="M28" s="75"/>
      <c r="N28" s="75"/>
      <c r="O28" s="75"/>
    </row>
    <row r="29" spans="1:15" ht="15.75" x14ac:dyDescent="0.25">
      <c r="A29" s="88" t="s">
        <v>28</v>
      </c>
      <c r="B29" s="88"/>
      <c r="C29" s="94"/>
      <c r="D29" s="94"/>
      <c r="E29" s="95"/>
      <c r="F29" s="81"/>
      <c r="G29" s="81"/>
      <c r="H29" s="76"/>
      <c r="I29" s="76"/>
      <c r="J29" s="76"/>
      <c r="K29" s="76"/>
      <c r="L29" s="75"/>
      <c r="M29" s="75"/>
      <c r="N29" s="75"/>
      <c r="O29" s="75"/>
    </row>
    <row r="30" spans="1:15" ht="15.75" x14ac:dyDescent="0.25">
      <c r="A30" s="76"/>
      <c r="B30" s="80"/>
      <c r="C30" s="81"/>
      <c r="D30" s="81"/>
      <c r="E30" s="81"/>
      <c r="F30" s="81"/>
      <c r="G30" s="81"/>
      <c r="H30" s="76"/>
      <c r="I30" s="77"/>
      <c r="J30" s="76"/>
      <c r="K30" s="76"/>
      <c r="L30" s="75"/>
      <c r="M30" s="75"/>
      <c r="N30" s="75"/>
      <c r="O30" s="75"/>
    </row>
    <row r="31" spans="1:15" ht="15.75" x14ac:dyDescent="0.25">
      <c r="A31" s="76"/>
      <c r="B31" s="80"/>
      <c r="C31" s="81"/>
      <c r="D31" s="81"/>
      <c r="E31" s="81"/>
      <c r="F31" s="81"/>
      <c r="G31" s="81"/>
      <c r="H31" s="76"/>
      <c r="I31" s="79"/>
      <c r="J31" s="79"/>
      <c r="K31" s="76"/>
      <c r="L31" s="75"/>
      <c r="M31" s="75"/>
      <c r="N31" s="75"/>
      <c r="O31" s="75"/>
    </row>
    <row r="32" spans="1:15" ht="15.75" x14ac:dyDescent="0.25">
      <c r="A32" s="76"/>
      <c r="B32" s="76"/>
      <c r="C32" s="76"/>
      <c r="D32" s="76"/>
      <c r="E32" s="76"/>
      <c r="F32" s="76"/>
      <c r="G32" s="76"/>
      <c r="H32" s="76"/>
      <c r="I32" s="79"/>
      <c r="J32" s="79"/>
      <c r="K32" s="76"/>
      <c r="L32" s="75"/>
      <c r="M32" s="75"/>
      <c r="N32" s="75"/>
      <c r="O32" s="75"/>
    </row>
    <row r="33" spans="1:15" ht="15.75" x14ac:dyDescent="0.25">
      <c r="A33" s="76"/>
      <c r="B33" s="76"/>
      <c r="C33" s="82"/>
      <c r="D33" s="82"/>
      <c r="E33" s="76"/>
      <c r="F33" s="76"/>
      <c r="G33" s="76"/>
      <c r="H33" s="76"/>
      <c r="I33" s="76"/>
      <c r="J33" s="76"/>
      <c r="K33" s="76"/>
      <c r="L33" s="75"/>
      <c r="M33" s="75"/>
      <c r="N33" s="75"/>
      <c r="O33" s="75"/>
    </row>
    <row r="34" spans="1:15" ht="15.75" x14ac:dyDescent="0.25">
      <c r="A34" s="76"/>
      <c r="B34" s="76"/>
      <c r="C34" s="83"/>
      <c r="D34" s="84"/>
      <c r="E34" s="76"/>
      <c r="F34" s="76"/>
      <c r="G34" s="76"/>
      <c r="H34" s="76"/>
      <c r="I34" s="77"/>
      <c r="J34" s="76"/>
      <c r="K34" s="76"/>
      <c r="L34" s="75"/>
      <c r="M34" s="75"/>
      <c r="N34" s="75"/>
      <c r="O34" s="75"/>
    </row>
    <row r="35" spans="1:15" ht="15.75" x14ac:dyDescent="0.25">
      <c r="A35" s="76"/>
      <c r="B35" s="76"/>
      <c r="C35" s="83"/>
      <c r="D35" s="84"/>
      <c r="E35" s="76"/>
      <c r="F35" s="76"/>
      <c r="G35" s="76"/>
      <c r="H35" s="76"/>
      <c r="I35" s="79"/>
      <c r="J35" s="79"/>
      <c r="K35" s="76"/>
      <c r="L35" s="75"/>
      <c r="M35" s="75"/>
      <c r="N35" s="75"/>
      <c r="O35" s="75"/>
    </row>
    <row r="36" spans="1:15" ht="15.75" x14ac:dyDescent="0.25">
      <c r="A36" s="76"/>
      <c r="B36" s="76"/>
      <c r="C36" s="83"/>
      <c r="D36" s="78"/>
      <c r="E36" s="76"/>
      <c r="F36" s="76"/>
      <c r="G36" s="76"/>
      <c r="H36" s="76"/>
      <c r="I36" s="79"/>
      <c r="J36" s="79"/>
      <c r="K36" s="76"/>
      <c r="L36" s="75"/>
      <c r="M36" s="75"/>
      <c r="N36" s="75"/>
      <c r="O36" s="75"/>
    </row>
    <row r="37" spans="1:15" ht="15.75" x14ac:dyDescent="0.25">
      <c r="A37" s="76"/>
      <c r="B37" s="76"/>
      <c r="C37" s="76"/>
      <c r="D37" s="76"/>
      <c r="E37" s="76"/>
      <c r="F37" s="76"/>
      <c r="G37" s="76"/>
      <c r="H37" s="76"/>
      <c r="I37" s="75"/>
      <c r="J37" s="75"/>
      <c r="K37" s="76"/>
      <c r="L37" s="75"/>
      <c r="M37" s="75"/>
      <c r="N37" s="75"/>
      <c r="O37" s="75"/>
    </row>
    <row r="38" spans="1:15" ht="15.75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5"/>
      <c r="M38" s="75"/>
      <c r="N38" s="75"/>
      <c r="O38" s="75"/>
    </row>
    <row r="39" spans="1:15" ht="15.75" x14ac:dyDescent="0.25">
      <c r="A39" s="76"/>
      <c r="B39" s="76"/>
      <c r="C39" s="76"/>
      <c r="D39" s="76"/>
      <c r="E39" s="76"/>
      <c r="F39" s="76"/>
      <c r="G39" s="76"/>
      <c r="H39" s="76"/>
      <c r="I39" s="77"/>
      <c r="J39" s="76"/>
      <c r="K39" s="76"/>
      <c r="L39" s="75"/>
      <c r="M39" s="75"/>
      <c r="N39" s="75"/>
      <c r="O39" s="75"/>
    </row>
    <row r="40" spans="1:15" ht="15.75" x14ac:dyDescent="0.25">
      <c r="A40" s="76"/>
      <c r="B40" s="76"/>
      <c r="C40" s="76"/>
      <c r="D40" s="76"/>
      <c r="E40" s="76"/>
      <c r="F40" s="76"/>
      <c r="G40" s="76"/>
      <c r="H40" s="76"/>
      <c r="I40" s="79"/>
      <c r="J40" s="79"/>
      <c r="K40" s="76"/>
      <c r="L40" s="75"/>
      <c r="M40" s="75"/>
      <c r="N40" s="75"/>
      <c r="O40" s="75"/>
    </row>
    <row r="41" spans="1:15" ht="15.75" x14ac:dyDescent="0.25">
      <c r="A41" s="76"/>
      <c r="B41" s="76"/>
      <c r="C41" s="76"/>
      <c r="D41" s="76"/>
      <c r="E41" s="76"/>
      <c r="F41" s="76"/>
      <c r="G41" s="76"/>
      <c r="H41" s="76"/>
      <c r="I41" s="79"/>
      <c r="J41" s="79"/>
      <c r="K41" s="76"/>
      <c r="L41" s="75"/>
      <c r="M41" s="75"/>
      <c r="N41" s="75"/>
      <c r="O41" s="75"/>
    </row>
    <row r="42" spans="1:15" ht="15.75" x14ac:dyDescent="0.25">
      <c r="A42" s="76"/>
      <c r="B42" s="76"/>
      <c r="C42" s="76"/>
      <c r="D42" s="76"/>
      <c r="E42" s="76"/>
      <c r="F42" s="76"/>
      <c r="G42" s="76"/>
      <c r="H42" s="76"/>
      <c r="I42" s="79"/>
      <c r="J42" s="79"/>
      <c r="K42" s="76"/>
      <c r="L42" s="75"/>
      <c r="M42" s="75"/>
      <c r="N42" s="75"/>
      <c r="O42" s="75"/>
    </row>
    <row r="43" spans="1:15" ht="15.75" x14ac:dyDescent="0.25">
      <c r="A43" s="60"/>
      <c r="B43" s="60"/>
      <c r="C43" s="60"/>
      <c r="D43" s="60"/>
      <c r="E43" s="60"/>
      <c r="F43" s="60"/>
      <c r="G43" s="60"/>
      <c r="H43" s="60"/>
      <c r="I43" s="67"/>
      <c r="J43" s="67"/>
      <c r="K43" s="60"/>
    </row>
    <row r="44" spans="1:15" ht="15.75" x14ac:dyDescent="0.25">
      <c r="A44" s="60"/>
      <c r="B44" s="60"/>
      <c r="C44" s="60"/>
      <c r="D44" s="60"/>
      <c r="E44" s="60"/>
      <c r="F44" s="60"/>
      <c r="G44" s="60"/>
      <c r="H44" s="60"/>
      <c r="I44" s="66"/>
      <c r="J44" s="66"/>
      <c r="K44" s="60"/>
    </row>
    <row r="45" spans="1:15" ht="15.75" x14ac:dyDescent="0.25">
      <c r="A45" s="60"/>
      <c r="B45" s="60"/>
      <c r="C45" s="60"/>
      <c r="D45" s="60"/>
      <c r="E45" s="60"/>
      <c r="F45" s="60"/>
      <c r="G45" s="60"/>
      <c r="H45" s="60"/>
      <c r="I45" s="65"/>
      <c r="J45" s="66"/>
      <c r="K45" s="60"/>
    </row>
    <row r="46" spans="1:15" ht="15.75" x14ac:dyDescent="0.25">
      <c r="A46" s="60"/>
      <c r="B46" s="60"/>
      <c r="C46" s="60"/>
      <c r="D46" s="60"/>
      <c r="E46" s="60"/>
      <c r="F46" s="60"/>
      <c r="G46" s="60"/>
      <c r="H46" s="60"/>
      <c r="I46" s="67"/>
      <c r="J46" s="67"/>
      <c r="K46" s="60"/>
    </row>
    <row r="47" spans="1:15" ht="15.75" x14ac:dyDescent="0.25">
      <c r="A47" s="60"/>
      <c r="B47" s="60"/>
      <c r="C47" s="60"/>
      <c r="D47" s="60"/>
      <c r="E47" s="60"/>
      <c r="F47" s="60"/>
      <c r="G47" s="60"/>
      <c r="H47" s="60"/>
      <c r="I47" s="67"/>
      <c r="J47" s="67"/>
      <c r="K47" s="60"/>
    </row>
    <row r="48" spans="1:15" ht="15.75" x14ac:dyDescent="0.25">
      <c r="A48" s="60"/>
      <c r="B48" s="60"/>
      <c r="C48" s="60"/>
      <c r="D48" s="60"/>
      <c r="E48" s="60"/>
      <c r="F48" s="60"/>
      <c r="G48" s="60"/>
      <c r="H48" s="60"/>
      <c r="I48" s="67"/>
      <c r="J48" s="67"/>
      <c r="K48" s="60"/>
    </row>
    <row r="49" spans="2:11" ht="15.75" x14ac:dyDescent="0.25">
      <c r="B49" s="60"/>
      <c r="C49" s="60"/>
      <c r="D49" s="60"/>
      <c r="E49" s="60"/>
      <c r="F49" s="60"/>
      <c r="G49" s="60"/>
      <c r="H49" s="60"/>
      <c r="I49" s="68"/>
      <c r="J49" s="68"/>
    </row>
    <row r="50" spans="2:11" ht="15.75" x14ac:dyDescent="0.25">
      <c r="I50" s="65"/>
      <c r="J50" s="68"/>
    </row>
    <row r="51" spans="2:11" ht="15.75" x14ac:dyDescent="0.25">
      <c r="I51" s="66"/>
      <c r="J51" s="66"/>
      <c r="K51" s="60"/>
    </row>
    <row r="52" spans="2:11" x14ac:dyDescent="0.2">
      <c r="I52" s="68"/>
      <c r="J52" s="68"/>
    </row>
    <row r="53" spans="2:11" x14ac:dyDescent="0.2">
      <c r="I53" s="68"/>
      <c r="J53" s="68"/>
    </row>
    <row r="54" spans="2:11" x14ac:dyDescent="0.2">
      <c r="I54" s="68"/>
      <c r="J54" s="68"/>
    </row>
    <row r="55" spans="2:11" x14ac:dyDescent="0.2">
      <c r="I55" s="68"/>
      <c r="J55" s="68"/>
    </row>
    <row r="56" spans="2:11" x14ac:dyDescent="0.2">
      <c r="I56" s="68"/>
      <c r="J56" s="68"/>
    </row>
    <row r="57" spans="2:11" x14ac:dyDescent="0.2">
      <c r="I57" s="68"/>
      <c r="J57" s="68"/>
    </row>
    <row r="58" spans="2:11" x14ac:dyDescent="0.2">
      <c r="I58" s="68"/>
      <c r="J58" s="68"/>
    </row>
    <row r="59" spans="2:11" x14ac:dyDescent="0.2">
      <c r="I59" s="68"/>
      <c r="J59" s="68"/>
    </row>
    <row r="60" spans="2:11" x14ac:dyDescent="0.2">
      <c r="I60" s="68"/>
      <c r="J60" s="68"/>
    </row>
    <row r="61" spans="2:11" x14ac:dyDescent="0.2">
      <c r="I61" s="68"/>
      <c r="J61" s="68"/>
    </row>
    <row r="62" spans="2:11" x14ac:dyDescent="0.2">
      <c r="I62" s="68"/>
      <c r="J62" s="68"/>
    </row>
    <row r="63" spans="2:11" x14ac:dyDescent="0.2">
      <c r="I63" s="68"/>
      <c r="J63" s="68"/>
    </row>
    <row r="64" spans="2:11" x14ac:dyDescent="0.2">
      <c r="I64" s="68"/>
      <c r="J64" s="68"/>
    </row>
    <row r="65" spans="9:10" x14ac:dyDescent="0.2">
      <c r="I65" s="68"/>
      <c r="J65" s="68"/>
    </row>
    <row r="66" spans="9:10" x14ac:dyDescent="0.2">
      <c r="I66" s="68"/>
      <c r="J66" s="68"/>
    </row>
    <row r="67" spans="9:10" x14ac:dyDescent="0.2">
      <c r="I67" s="68"/>
      <c r="J67" s="68"/>
    </row>
    <row r="68" spans="9:10" x14ac:dyDescent="0.2">
      <c r="I68" s="68"/>
      <c r="J68" s="68"/>
    </row>
    <row r="69" spans="9:10" x14ac:dyDescent="0.2">
      <c r="I69" s="68"/>
      <c r="J69" s="68"/>
    </row>
    <row r="70" spans="9:10" x14ac:dyDescent="0.2">
      <c r="I70" s="68"/>
      <c r="J70" s="68"/>
    </row>
    <row r="71" spans="9:10" x14ac:dyDescent="0.2">
      <c r="I71" s="68"/>
      <c r="J71" s="68"/>
    </row>
    <row r="72" spans="9:10" x14ac:dyDescent="0.2">
      <c r="I72" s="68"/>
      <c r="J72" s="68"/>
    </row>
    <row r="73" spans="9:10" x14ac:dyDescent="0.2">
      <c r="I73" s="68"/>
      <c r="J73" s="68"/>
    </row>
    <row r="74" spans="9:10" x14ac:dyDescent="0.2">
      <c r="I74" s="68"/>
      <c r="J74" s="68"/>
    </row>
    <row r="75" spans="9:10" x14ac:dyDescent="0.2">
      <c r="I75" s="68"/>
      <c r="J75" s="68"/>
    </row>
    <row r="76" spans="9:10" x14ac:dyDescent="0.2">
      <c r="I76" s="68"/>
      <c r="J76" s="68"/>
    </row>
    <row r="77" spans="9:10" x14ac:dyDescent="0.2">
      <c r="I77" s="68"/>
      <c r="J77" s="68"/>
    </row>
    <row r="78" spans="9:10" x14ac:dyDescent="0.2">
      <c r="I78" s="68"/>
      <c r="J78" s="68"/>
    </row>
    <row r="79" spans="9:10" x14ac:dyDescent="0.2">
      <c r="I79" s="68"/>
      <c r="J79" s="68"/>
    </row>
    <row r="80" spans="9:10" x14ac:dyDescent="0.2">
      <c r="I80" s="68"/>
      <c r="J80" s="68"/>
    </row>
    <row r="81" spans="9:10" x14ac:dyDescent="0.2">
      <c r="I81" s="68"/>
      <c r="J81" s="68"/>
    </row>
    <row r="82" spans="9:10" x14ac:dyDescent="0.2">
      <c r="I82" s="68"/>
      <c r="J82" s="68"/>
    </row>
    <row r="83" spans="9:10" x14ac:dyDescent="0.2">
      <c r="I83" s="68"/>
      <c r="J83" s="68"/>
    </row>
    <row r="84" spans="9:10" x14ac:dyDescent="0.2">
      <c r="I84" s="68"/>
      <c r="J84" s="68"/>
    </row>
    <row r="85" spans="9:10" x14ac:dyDescent="0.2">
      <c r="I85" s="68"/>
      <c r="J85" s="68"/>
    </row>
    <row r="86" spans="9:10" x14ac:dyDescent="0.2">
      <c r="I86" s="68"/>
      <c r="J86" s="68"/>
    </row>
    <row r="87" spans="9:10" x14ac:dyDescent="0.2">
      <c r="I87" s="68"/>
      <c r="J87" s="68"/>
    </row>
    <row r="88" spans="9:10" x14ac:dyDescent="0.2">
      <c r="I88" s="68"/>
      <c r="J88" s="68"/>
    </row>
    <row r="89" spans="9:10" x14ac:dyDescent="0.2">
      <c r="I89" s="68"/>
      <c r="J89" s="68"/>
    </row>
    <row r="90" spans="9:10" x14ac:dyDescent="0.2">
      <c r="I90" s="68"/>
      <c r="J90" s="68"/>
    </row>
    <row r="91" spans="9:10" x14ac:dyDescent="0.2">
      <c r="I91" s="68"/>
      <c r="J91" s="68"/>
    </row>
    <row r="92" spans="9:10" x14ac:dyDescent="0.2">
      <c r="I92" s="68"/>
      <c r="J92" s="68"/>
    </row>
    <row r="93" spans="9:10" x14ac:dyDescent="0.2">
      <c r="I93" s="68"/>
      <c r="J93" s="68"/>
    </row>
    <row r="94" spans="9:10" x14ac:dyDescent="0.2">
      <c r="I94" s="68"/>
      <c r="J94" s="68"/>
    </row>
    <row r="95" spans="9:10" x14ac:dyDescent="0.2">
      <c r="I95" s="68"/>
      <c r="J95" s="68"/>
    </row>
    <row r="96" spans="9:10" x14ac:dyDescent="0.2">
      <c r="I96" s="68"/>
      <c r="J96" s="68"/>
    </row>
    <row r="97" spans="9:10" x14ac:dyDescent="0.2">
      <c r="I97" s="68"/>
      <c r="J97" s="68"/>
    </row>
    <row r="98" spans="9:10" x14ac:dyDescent="0.2">
      <c r="I98" s="68"/>
      <c r="J98" s="68"/>
    </row>
    <row r="99" spans="9:10" x14ac:dyDescent="0.2">
      <c r="I99" s="68"/>
      <c r="J99" s="68"/>
    </row>
    <row r="100" spans="9:10" x14ac:dyDescent="0.2">
      <c r="I100" s="68"/>
      <c r="J100" s="68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zoomScaleNormal="100" workbookViewId="0">
      <selection activeCell="C20" sqref="C20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283</v>
      </c>
      <c r="B1" s="3" t="s">
        <v>284</v>
      </c>
      <c r="C1" s="4" t="s">
        <v>285</v>
      </c>
      <c r="D1" s="4" t="s">
        <v>286</v>
      </c>
      <c r="E1" s="4" t="s">
        <v>287</v>
      </c>
    </row>
    <row r="2" spans="1:5" ht="15" x14ac:dyDescent="0.25">
      <c r="A2" t="s">
        <v>83</v>
      </c>
      <c r="B2" t="s">
        <v>2</v>
      </c>
      <c r="C2" s="1" t="s">
        <v>288</v>
      </c>
      <c r="D2" s="5" t="s">
        <v>289</v>
      </c>
      <c r="E2" s="6" t="s">
        <v>282</v>
      </c>
    </row>
    <row r="3" spans="1:5" ht="15" x14ac:dyDescent="0.25">
      <c r="A3" t="s">
        <v>84</v>
      </c>
      <c r="B3" s="1" t="s">
        <v>4</v>
      </c>
      <c r="C3" s="1" t="s">
        <v>290</v>
      </c>
      <c r="D3" s="5" t="s">
        <v>291</v>
      </c>
      <c r="E3" s="6"/>
    </row>
    <row r="4" spans="1:5" ht="15" x14ac:dyDescent="0.25">
      <c r="A4" t="s">
        <v>85</v>
      </c>
      <c r="B4" s="1" t="s">
        <v>4</v>
      </c>
      <c r="C4" s="1" t="s">
        <v>292</v>
      </c>
      <c r="D4" s="5" t="s">
        <v>293</v>
      </c>
      <c r="E4" s="6"/>
    </row>
    <row r="5" spans="1:5" ht="15" x14ac:dyDescent="0.25">
      <c r="A5" t="s">
        <v>86</v>
      </c>
      <c r="B5" s="1" t="s">
        <v>4</v>
      </c>
      <c r="C5" s="1" t="s">
        <v>294</v>
      </c>
      <c r="D5" s="5" t="s">
        <v>295</v>
      </c>
      <c r="E5" s="6"/>
    </row>
    <row r="6" spans="1:5" ht="15" x14ac:dyDescent="0.25">
      <c r="A6" t="s">
        <v>87</v>
      </c>
      <c r="B6" s="1" t="s">
        <v>4</v>
      </c>
      <c r="C6" s="1" t="s">
        <v>296</v>
      </c>
      <c r="D6" s="5" t="s">
        <v>297</v>
      </c>
      <c r="E6" s="6"/>
    </row>
    <row r="7" spans="1:5" ht="15" x14ac:dyDescent="0.25">
      <c r="A7" t="s">
        <v>88</v>
      </c>
      <c r="B7" s="1" t="s">
        <v>4</v>
      </c>
      <c r="C7" s="1" t="s">
        <v>298</v>
      </c>
      <c r="D7" s="5" t="s">
        <v>299</v>
      </c>
      <c r="E7" s="6"/>
    </row>
    <row r="8" spans="1:5" ht="15" x14ac:dyDescent="0.25">
      <c r="A8" t="s">
        <v>89</v>
      </c>
      <c r="B8" s="1" t="s">
        <v>4</v>
      </c>
      <c r="C8" s="1" t="s">
        <v>300</v>
      </c>
      <c r="D8" s="5" t="s">
        <v>301</v>
      </c>
      <c r="E8" s="6"/>
    </row>
    <row r="9" spans="1:5" ht="15" x14ac:dyDescent="0.25">
      <c r="A9" t="s">
        <v>90</v>
      </c>
      <c r="B9" s="1" t="s">
        <v>4</v>
      </c>
      <c r="C9" s="1" t="s">
        <v>302</v>
      </c>
      <c r="D9" s="5" t="s">
        <v>303</v>
      </c>
      <c r="E9" s="6"/>
    </row>
    <row r="10" spans="1:5" ht="15" x14ac:dyDescent="0.25">
      <c r="A10" t="s">
        <v>91</v>
      </c>
      <c r="B10" s="1" t="s">
        <v>4</v>
      </c>
      <c r="C10" s="1" t="s">
        <v>304</v>
      </c>
      <c r="D10" s="5" t="s">
        <v>305</v>
      </c>
      <c r="E10" s="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2" customWidth="1"/>
    <col min="2" max="2" width="23" style="32" customWidth="1"/>
    <col min="3" max="6" width="9.140625" style="32" customWidth="1"/>
    <col min="7" max="7" width="9.140625" style="33" customWidth="1"/>
    <col min="8" max="10" width="9.140625" style="32" hidden="1" customWidth="1"/>
    <col min="11" max="20" width="9.140625" style="32" customWidth="1"/>
    <col min="21" max="16384" width="9.140625" style="32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306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307</v>
      </c>
      <c r="C5" s="9" t="s">
        <v>308</v>
      </c>
      <c r="D5" s="9" t="s">
        <v>309</v>
      </c>
      <c r="E5" s="9" t="s">
        <v>310</v>
      </c>
      <c r="F5" s="10" t="s">
        <v>311</v>
      </c>
      <c r="G5" s="10" t="s">
        <v>312</v>
      </c>
      <c r="H5" t="s">
        <v>280</v>
      </c>
      <c r="I5" t="s">
        <v>279</v>
      </c>
      <c r="J5" s="22" t="s">
        <v>281</v>
      </c>
      <c r="K5"/>
      <c r="L5"/>
      <c r="M5"/>
      <c r="N5"/>
      <c r="O5"/>
    </row>
    <row r="6" spans="1:15" x14ac:dyDescent="0.25">
      <c r="A6" t="s">
        <v>313</v>
      </c>
      <c r="B6" s="8" t="s">
        <v>314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4">
        <f t="shared" ref="F6:F12" si="0">ROUND($E6/1724*100,2)</f>
        <v>88.75</v>
      </c>
      <c r="G6" s="14"/>
      <c r="H6"/>
      <c r="I6"/>
      <c r="J6" s="29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4">
        <f t="shared" si="0"/>
        <v>4.7</v>
      </c>
      <c r="G7" s="14">
        <f>ROUND($E7/SUM($E$7:$E$11)*100,3)</f>
        <v>41.753</v>
      </c>
      <c r="H7">
        <f>E7*10</f>
        <v>810</v>
      </c>
      <c r="I7"/>
      <c r="J7" s="14">
        <f>E11/SUM(E7:E11)</f>
        <v>2.5773195876288658E-2</v>
      </c>
      <c r="K7"/>
      <c r="L7"/>
      <c r="M7" s="17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4">
        <f t="shared" si="0"/>
        <v>4.6399999999999997</v>
      </c>
      <c r="G8" s="14">
        <f>ROUND($E8/SUM($E$7:$E$11)*100,3)</f>
        <v>41.237000000000002</v>
      </c>
      <c r="H8">
        <f>E8*8</f>
        <v>640</v>
      </c>
      <c r="I8"/>
      <c r="J8" s="14">
        <f>(E11+E10)/SUM(E7:E11)</f>
        <v>5.6701030927835051E-2</v>
      </c>
      <c r="K8"/>
      <c r="L8"/>
      <c r="M8" s="17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4">
        <f t="shared" si="0"/>
        <v>1.28</v>
      </c>
      <c r="G9" s="14">
        <f>ROUND($E9/SUM($E$7:$E$11)*100,3)</f>
        <v>11.34</v>
      </c>
      <c r="H9">
        <f>E9*6</f>
        <v>132</v>
      </c>
      <c r="I9"/>
      <c r="J9" s="14">
        <f>(E11+E10+E9)/SUM(E7:E11)</f>
        <v>0.17010309278350516</v>
      </c>
      <c r="K9"/>
      <c r="L9"/>
      <c r="M9" s="17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4">
        <f t="shared" si="0"/>
        <v>0.35</v>
      </c>
      <c r="G10" s="14">
        <f>ROUND($E10/SUM($E$7:$E$11)*100,3)</f>
        <v>3.093</v>
      </c>
      <c r="H10">
        <f>E10*4</f>
        <v>24</v>
      </c>
      <c r="I10"/>
      <c r="J10" s="14">
        <f>(E11+E10+E9+E8)/SUM(E7:E11)</f>
        <v>0.58247422680412375</v>
      </c>
      <c r="K10"/>
      <c r="L10"/>
      <c r="M10" s="17"/>
      <c r="N10"/>
      <c r="O10"/>
    </row>
    <row r="11" spans="1:15" x14ac:dyDescent="0.25">
      <c r="A11"/>
      <c r="B11" s="16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4">
        <f t="shared" si="0"/>
        <v>0.28999999999999998</v>
      </c>
      <c r="G11" s="14">
        <f>ROUND($E11/SUM($E$7:$E$11)*100,3)</f>
        <v>2.577</v>
      </c>
      <c r="H11">
        <f>E11*2</f>
        <v>10</v>
      </c>
      <c r="I11"/>
      <c r="J11" s="14">
        <f>(E11+E10+E9+E8+E7)/SUM(E7:E11)</f>
        <v>1</v>
      </c>
      <c r="K11"/>
      <c r="L11"/>
      <c r="M11" s="17"/>
      <c r="N11"/>
      <c r="O11"/>
    </row>
    <row r="12" spans="1:15" x14ac:dyDescent="0.25">
      <c r="A12"/>
      <c r="B12" s="8" t="s">
        <v>315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5">
        <f t="shared" si="0"/>
        <v>100</v>
      </c>
      <c r="G12" s="15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L12"/>
      <c r="M12" s="17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30"/>
      <c r="K13"/>
      <c r="L13"/>
      <c r="M13" s="17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1" t="s">
        <v>316</v>
      </c>
      <c r="C15" s="21" t="s">
        <v>317</v>
      </c>
      <c r="D15" s="9" t="s">
        <v>308</v>
      </c>
      <c r="E15" s="10" t="s">
        <v>311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4" t="s">
        <v>318</v>
      </c>
      <c r="C16" s="34" t="s">
        <v>22</v>
      </c>
      <c r="D16" s="18">
        <f>SUM(C10:C11)</f>
        <v>4</v>
      </c>
      <c r="E16" s="19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5" t="s">
        <v>319</v>
      </c>
      <c r="C17" s="35" t="s">
        <v>320</v>
      </c>
      <c r="D17" s="18">
        <f>C6</f>
        <v>767</v>
      </c>
      <c r="E17" s="19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6" t="s">
        <v>321</v>
      </c>
      <c r="C18" s="36" t="s">
        <v>24</v>
      </c>
      <c r="D18" s="18">
        <f>C9</f>
        <v>6</v>
      </c>
      <c r="E18" s="19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7" t="s">
        <v>322</v>
      </c>
      <c r="C19" s="37" t="s">
        <v>26</v>
      </c>
      <c r="D19" s="26">
        <f>SUM(C7:C8)</f>
        <v>56</v>
      </c>
      <c r="E19" s="27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20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20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1" t="s">
        <v>316</v>
      </c>
      <c r="C22" s="21" t="s">
        <v>317</v>
      </c>
      <c r="D22" s="9" t="s">
        <v>309</v>
      </c>
      <c r="E22" s="10" t="s">
        <v>311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4" t="s">
        <v>318</v>
      </c>
      <c r="C23" s="34" t="s">
        <v>22</v>
      </c>
      <c r="D23" s="18">
        <f>SUM(D10:D11)</f>
        <v>7</v>
      </c>
      <c r="E23" s="19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8" t="s">
        <v>319</v>
      </c>
      <c r="C24" s="38" t="s">
        <v>320</v>
      </c>
      <c r="D24" s="18">
        <f>D6</f>
        <v>446</v>
      </c>
      <c r="E24" s="19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6" t="s">
        <v>321</v>
      </c>
      <c r="C25" s="36" t="s">
        <v>24</v>
      </c>
      <c r="D25" s="18">
        <f>D9</f>
        <v>16</v>
      </c>
      <c r="E25" s="19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7" t="s">
        <v>322</v>
      </c>
      <c r="C26" s="37" t="s">
        <v>26</v>
      </c>
      <c r="D26" s="26">
        <f>SUM(D7:D8)</f>
        <v>105</v>
      </c>
      <c r="E26" s="27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3" t="s">
        <v>29</v>
      </c>
      <c r="C29" s="24" t="s">
        <v>279</v>
      </c>
      <c r="D29" s="25" t="s">
        <v>280</v>
      </c>
      <c r="E29" s="25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323</v>
      </c>
      <c r="C30" s="31">
        <f>I12</f>
        <v>10</v>
      </c>
      <c r="D30" s="31">
        <f>H12</f>
        <v>8.3298969072164954</v>
      </c>
      <c r="E30" s="31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F9" sqref="F9"/>
    </sheetView>
  </sheetViews>
  <sheetFormatPr defaultRowHeight="12.75" x14ac:dyDescent="0.2"/>
  <cols>
    <col min="1" max="1" width="5.85546875" customWidth="1"/>
  </cols>
  <sheetData>
    <row r="1" spans="1:7" ht="15" x14ac:dyDescent="0.25">
      <c r="A1" s="8" t="s">
        <v>83</v>
      </c>
      <c r="B1" s="8"/>
    </row>
    <row r="2" spans="1:7" ht="15" x14ac:dyDescent="0.25">
      <c r="A2" s="8" t="str">
        <f>TEXT(A1,"0.000")</f>
        <v>5.53</v>
      </c>
      <c r="B2" s="8" t="str">
        <f>VLOOKUP(A$2, Eixo5[], 3, FALSE)</f>
        <v>Você utilizou as unidades e/ou serviços da Pró-reitoria de Graduação e Educação Profissional e Tecnológica (PROGRAD) em 2021?</v>
      </c>
    </row>
    <row r="3" spans="1:7" ht="15" x14ac:dyDescent="0.25">
      <c r="A3" s="8" t="s">
        <v>306</v>
      </c>
      <c r="B3" s="8" t="str">
        <f>VLOOKUP(A$2, Eixo5[], 4, FALSE)</f>
        <v>Eixo 5: questão 53</v>
      </c>
    </row>
    <row r="5" spans="1:7" ht="15" x14ac:dyDescent="0.25">
      <c r="B5" s="9" t="s">
        <v>307</v>
      </c>
      <c r="C5" s="9" t="s">
        <v>324</v>
      </c>
      <c r="D5" s="9" t="s">
        <v>309</v>
      </c>
      <c r="E5" s="9" t="s">
        <v>310</v>
      </c>
      <c r="F5" s="10" t="s">
        <v>311</v>
      </c>
      <c r="G5" s="9" t="s">
        <v>312</v>
      </c>
    </row>
    <row r="6" spans="1:7" ht="15" x14ac:dyDescent="0.25">
      <c r="B6" s="8" t="s">
        <v>325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COUNTIFS(Resp5[Vínculo],"tecnico",Resp5[5.53],B7)</f>
        <v>135</v>
      </c>
      <c r="D7" s="11">
        <f>COUNTIFS(Resp5[Vínculo],"docente",Resp5[5.53],B7)</f>
        <v>185</v>
      </c>
      <c r="E7" s="8">
        <f>COUNTIF(Resp5[5.53],B7)</f>
        <v>320</v>
      </c>
      <c r="F7" s="11">
        <f t="shared" ref="F7:F9" si="0">ROUND($E7/E$9*100,2)</f>
        <v>22.74</v>
      </c>
      <c r="G7" s="11">
        <f>ROUND($E7/SUM($E$7:$E$8)*100,2)</f>
        <v>22.74</v>
      </c>
    </row>
    <row r="8" spans="1:7" ht="15" x14ac:dyDescent="0.25">
      <c r="B8" s="8" t="s">
        <v>235</v>
      </c>
      <c r="C8" s="11">
        <f>COUNTIFS(Resp5[Vínculo],"tecnico",Resp5[5.53],B8)</f>
        <v>698</v>
      </c>
      <c r="D8" s="11">
        <f>COUNTIFS(Resp5[Vínculo],"docente",Resp5[5.53],B8)</f>
        <v>389</v>
      </c>
      <c r="E8" s="8">
        <f>COUNTIF(Resp5[5.53],B8)</f>
        <v>1087</v>
      </c>
      <c r="F8" s="11">
        <f t="shared" si="0"/>
        <v>77.260000000000005</v>
      </c>
      <c r="G8" s="11">
        <f>ROUND($E8/SUM($E$7:$E$8)*100,2)</f>
        <v>77.260000000000005</v>
      </c>
    </row>
    <row r="9" spans="1:7" ht="15" x14ac:dyDescent="0.25">
      <c r="B9" s="12" t="s">
        <v>315</v>
      </c>
      <c r="C9" s="12">
        <f>SUM(C6:C8)</f>
        <v>833</v>
      </c>
      <c r="D9" s="12">
        <f>SUM(D6:D8)</f>
        <v>574</v>
      </c>
      <c r="E9" s="12">
        <f>SUM(C9:D9)</f>
        <v>1407</v>
      </c>
      <c r="F9" s="13">
        <f t="shared" si="0"/>
        <v>100</v>
      </c>
      <c r="G9" s="12">
        <f>SUM(G7:G8)</f>
        <v>100</v>
      </c>
    </row>
    <row r="17" spans="3:3" x14ac:dyDescent="0.2">
      <c r="C17" s="2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5" max="5" width="11" customWidth="1"/>
    <col min="8" max="10" width="0" hidden="1" customWidth="1"/>
    <col min="11" max="11" width="9" customWidth="1"/>
  </cols>
  <sheetData>
    <row r="1" spans="1:13" ht="15" x14ac:dyDescent="0.25">
      <c r="A1" s="8" t="s">
        <v>84</v>
      </c>
      <c r="B1" s="8"/>
      <c r="C1" s="8"/>
    </row>
    <row r="2" spans="1:13" ht="15" x14ac:dyDescent="0.25">
      <c r="A2" s="8" t="str">
        <f>TEXT(A1,"0.000")</f>
        <v>5.54</v>
      </c>
      <c r="B2" s="8" t="str">
        <f>VLOOKUP(A$2, Eixo5[], 3, FALSE)</f>
        <v>Avalie os serviços prestados pelas unidades da PROGRAD que você utilizou em 2021: [Direção: Administrativo e Financeiro]</v>
      </c>
    </row>
    <row r="3" spans="1:13" ht="15" x14ac:dyDescent="0.25">
      <c r="A3" s="8" t="s">
        <v>306</v>
      </c>
      <c r="B3" s="8" t="str">
        <f>VLOOKUP(A$2, Eixo5[], 4, FALSE)</f>
        <v>Eixo 5: questão 54</v>
      </c>
    </row>
    <row r="5" spans="1:13" ht="15" x14ac:dyDescent="0.25">
      <c r="B5" s="9" t="s">
        <v>307</v>
      </c>
      <c r="C5" s="9" t="s">
        <v>308</v>
      </c>
      <c r="D5" s="9" t="s">
        <v>309</v>
      </c>
      <c r="E5" s="9" t="s">
        <v>310</v>
      </c>
      <c r="F5" s="10" t="s">
        <v>311</v>
      </c>
      <c r="G5" s="10" t="s">
        <v>312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313</v>
      </c>
      <c r="B6" s="8" t="s">
        <v>314</v>
      </c>
      <c r="C6" s="8">
        <f>COUNTIF(Resp5[],"tecnico")-SUM(C$7:C$11)</f>
        <v>777</v>
      </c>
      <c r="D6" s="8">
        <f>COUNTIF(Resp5[],"docente")-SUM(D$7:D$11)</f>
        <v>494</v>
      </c>
      <c r="E6" s="11">
        <f>E12-SUM(E7:E11)</f>
        <v>1271</v>
      </c>
      <c r="F6" s="14">
        <f>ROUND($E6/E$12*100,2)</f>
        <v>90.33</v>
      </c>
      <c r="G6" s="14"/>
      <c r="J6" s="29"/>
    </row>
    <row r="7" spans="1:13" ht="15" x14ac:dyDescent="0.25">
      <c r="B7" s="8" t="s">
        <v>244</v>
      </c>
      <c r="C7" s="11">
        <f>COUNTIFS(Resp5[Vínculo],"tecnico",Resp5[5.54],B7)</f>
        <v>26</v>
      </c>
      <c r="D7" s="11">
        <f>COUNTIFS(Resp5[Vínculo],"docente",Resp5[5.54],B7)</f>
        <v>18</v>
      </c>
      <c r="E7" s="11">
        <f>COUNTIF(Resp5[5.54],B7)</f>
        <v>44</v>
      </c>
      <c r="F7" s="14">
        <f t="shared" ref="F7:F12" si="0">ROUND($E7/E$12*100,2)</f>
        <v>3.13</v>
      </c>
      <c r="G7" s="14">
        <f>ROUND($E7/SUM($E$7:$E$11)*100,3)</f>
        <v>32.353000000000002</v>
      </c>
      <c r="H7">
        <f>E7*10</f>
        <v>440</v>
      </c>
      <c r="J7" s="14">
        <f>E11/SUM(E7:E11)</f>
        <v>0.11029411764705882</v>
      </c>
      <c r="M7" s="17"/>
    </row>
    <row r="8" spans="1:13" ht="15" x14ac:dyDescent="0.25">
      <c r="B8" s="8" t="s">
        <v>239</v>
      </c>
      <c r="C8" s="11">
        <f>COUNTIFS(Resp5[Vínculo],"tecnico",Resp5[5.54],B8)</f>
        <v>17</v>
      </c>
      <c r="D8" s="11">
        <f>COUNTIFS(Resp5[Vínculo],"docente",Resp5[5.54],B8)</f>
        <v>25</v>
      </c>
      <c r="E8" s="11">
        <f>COUNTIF(Resp5[5.54],B8)</f>
        <v>42</v>
      </c>
      <c r="F8" s="14">
        <f t="shared" si="0"/>
        <v>2.99</v>
      </c>
      <c r="G8" s="14">
        <f>ROUND($E8/SUM($E$7:$E$11)*100,3)</f>
        <v>30.882000000000001</v>
      </c>
      <c r="H8">
        <f>E8*8</f>
        <v>336</v>
      </c>
      <c r="J8" s="14">
        <f>(E11+E10)/SUM(E7:E11)</f>
        <v>0.20588235294117646</v>
      </c>
      <c r="M8" s="17"/>
    </row>
    <row r="9" spans="1:13" ht="15" x14ac:dyDescent="0.25">
      <c r="B9" s="8" t="s">
        <v>237</v>
      </c>
      <c r="C9" s="11">
        <f>COUNTIFS(Resp5[Vínculo],"tecnico",Resp5[5.54],B9)</f>
        <v>5</v>
      </c>
      <c r="D9" s="11">
        <f>COUNTIFS(Resp5[Vínculo],"docente",Resp5[5.54],B9)</f>
        <v>17</v>
      </c>
      <c r="E9" s="11">
        <f>COUNTIF(Resp5[5.54],B9)</f>
        <v>22</v>
      </c>
      <c r="F9" s="14">
        <f t="shared" si="0"/>
        <v>1.56</v>
      </c>
      <c r="G9" s="14">
        <f>ROUND($E9/SUM($E$7:$E$11)*100,3)</f>
        <v>16.175999999999998</v>
      </c>
      <c r="H9">
        <f>E9*6</f>
        <v>132</v>
      </c>
      <c r="J9" s="14">
        <f>(E11+E10+E9)/SUM(E7:E11)</f>
        <v>0.36764705882352944</v>
      </c>
      <c r="M9" s="17"/>
    </row>
    <row r="10" spans="1:13" ht="15" x14ac:dyDescent="0.25">
      <c r="B10" s="8" t="s">
        <v>242</v>
      </c>
      <c r="C10" s="11">
        <f>COUNTIFS(Resp5[Vínculo],"tecnico",Resp5[5.54],B10)</f>
        <v>6</v>
      </c>
      <c r="D10" s="11">
        <f>COUNTIFS(Resp5[Vínculo],"docente",Resp5[5.54],B10)</f>
        <v>7</v>
      </c>
      <c r="E10" s="11">
        <f>COUNTIF(Resp5[5.54],B10)</f>
        <v>13</v>
      </c>
      <c r="F10" s="14">
        <f t="shared" si="0"/>
        <v>0.92</v>
      </c>
      <c r="G10" s="14">
        <f>ROUND($E10/SUM($E$7:$E$11)*100,3)</f>
        <v>9.5589999999999993</v>
      </c>
      <c r="H10">
        <f>E10*4</f>
        <v>52</v>
      </c>
      <c r="J10" s="14">
        <f>(E11+E10+E9+E8)/SUM(E7:E11)</f>
        <v>0.67647058823529416</v>
      </c>
      <c r="M10" s="17"/>
    </row>
    <row r="11" spans="1:13" ht="15" x14ac:dyDescent="0.25">
      <c r="B11" s="16" t="s">
        <v>241</v>
      </c>
      <c r="C11" s="11">
        <f>COUNTIFS(Resp5[Vínculo],"tecnico",Resp5[5.54],B11)</f>
        <v>2</v>
      </c>
      <c r="D11" s="11">
        <f>COUNTIFS(Resp5[Vínculo],"docente",Resp5[5.54],B11)</f>
        <v>13</v>
      </c>
      <c r="E11" s="11">
        <f>COUNTIF(Resp5[5.54],B11)</f>
        <v>15</v>
      </c>
      <c r="F11" s="14">
        <f t="shared" si="0"/>
        <v>1.07</v>
      </c>
      <c r="G11" s="14">
        <f>ROUND($E11/SUM($E$7:$E$11)*100,3)</f>
        <v>11.029</v>
      </c>
      <c r="H11">
        <f>E11*2</f>
        <v>30</v>
      </c>
      <c r="J11" s="14">
        <f>(E11+E10+E9+E8+E7)/SUM(E7:E11)</f>
        <v>1</v>
      </c>
      <c r="M11" s="17"/>
    </row>
    <row r="12" spans="1:13" ht="15" x14ac:dyDescent="0.25">
      <c r="B12" s="8" t="s">
        <v>315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99.998999999999995</v>
      </c>
      <c r="H12">
        <f>SUM(H7:H11)/SUM(E7:E11)</f>
        <v>7.2794117647058822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316</v>
      </c>
      <c r="C15" s="21" t="s">
        <v>317</v>
      </c>
      <c r="D15" s="9" t="s">
        <v>308</v>
      </c>
      <c r="E15" s="10" t="s">
        <v>311</v>
      </c>
    </row>
    <row r="16" spans="1:13" ht="15" x14ac:dyDescent="0.25">
      <c r="B16" s="34" t="s">
        <v>318</v>
      </c>
      <c r="C16" s="34" t="s">
        <v>22</v>
      </c>
      <c r="D16" s="18">
        <f>SUM(C10:C11)</f>
        <v>8</v>
      </c>
      <c r="E16" s="19">
        <f>ROUND(D16/SUM(D$16:D$18)*100,3)</f>
        <v>14.286</v>
      </c>
    </row>
    <row r="17" spans="2:5" ht="15" x14ac:dyDescent="0.25">
      <c r="B17" s="36" t="s">
        <v>321</v>
      </c>
      <c r="C17" s="36" t="s">
        <v>24</v>
      </c>
      <c r="D17" s="18">
        <f>C9</f>
        <v>5</v>
      </c>
      <c r="E17" s="19">
        <f>ROUND(D17/SUM(D$16:D$18)*100,3)</f>
        <v>8.9290000000000003</v>
      </c>
    </row>
    <row r="18" spans="2:5" ht="15" x14ac:dyDescent="0.25">
      <c r="B18" s="39" t="s">
        <v>322</v>
      </c>
      <c r="C18" s="39" t="s">
        <v>26</v>
      </c>
      <c r="D18" s="26">
        <f>SUM(C7:C8)</f>
        <v>43</v>
      </c>
      <c r="E18" s="27">
        <f>ROUND(D18/SUM(D$16:D$18)*100,3)</f>
        <v>76.786000000000001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316</v>
      </c>
      <c r="C21" s="21" t="s">
        <v>317</v>
      </c>
      <c r="D21" s="9" t="s">
        <v>309</v>
      </c>
      <c r="E21" s="10" t="s">
        <v>311</v>
      </c>
    </row>
    <row r="22" spans="2:5" ht="15" x14ac:dyDescent="0.25">
      <c r="B22" s="34" t="s">
        <v>318</v>
      </c>
      <c r="C22" s="34" t="s">
        <v>22</v>
      </c>
      <c r="D22" s="18">
        <f>SUM(D10:D11)</f>
        <v>20</v>
      </c>
      <c r="E22" s="19">
        <f>ROUND(D22/SUM(D$22:D$24)*100,3)</f>
        <v>25</v>
      </c>
    </row>
    <row r="23" spans="2:5" ht="15" x14ac:dyDescent="0.25">
      <c r="B23" s="36" t="s">
        <v>321</v>
      </c>
      <c r="C23" s="36" t="s">
        <v>24</v>
      </c>
      <c r="D23" s="18">
        <f>D9</f>
        <v>17</v>
      </c>
      <c r="E23" s="19">
        <f>ROUND(D23/SUM(D$22:D$24)*100,3)</f>
        <v>21.25</v>
      </c>
    </row>
    <row r="24" spans="2:5" ht="15" x14ac:dyDescent="0.25">
      <c r="B24" s="39" t="s">
        <v>322</v>
      </c>
      <c r="C24" s="39" t="s">
        <v>26</v>
      </c>
      <c r="D24" s="26">
        <f>SUM(D7:D8)</f>
        <v>43</v>
      </c>
      <c r="E24" s="27">
        <f>ROUND(D24/SUM(D$22:D$24)*100,3)</f>
        <v>53.75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323</v>
      </c>
      <c r="C28" s="31">
        <f>I12</f>
        <v>10</v>
      </c>
      <c r="D28" s="31">
        <f>H12</f>
        <v>7.2794117647058822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85</v>
      </c>
      <c r="B1" s="8"/>
      <c r="C1" s="8"/>
    </row>
    <row r="2" spans="1:13" ht="15" x14ac:dyDescent="0.25">
      <c r="A2" s="8" t="str">
        <f>TEXT(A1,"0.000")</f>
        <v>5.55</v>
      </c>
      <c r="B2" s="8" t="str">
        <f>VLOOKUP(A$2, Eixo5[], 3, FALSE)</f>
        <v>Avalie os serviços prestados pelas unidades da PROGRAD que você utilizou em 2021: [Coordenadoria de Integração de Políticas de Educação a Distância – CIPEAD]</v>
      </c>
    </row>
    <row r="3" spans="1:13" ht="15" x14ac:dyDescent="0.25">
      <c r="A3" s="8" t="s">
        <v>306</v>
      </c>
      <c r="B3" s="8" t="str">
        <f>VLOOKUP(A$2, Eixo5[], 4, FALSE)</f>
        <v>Eixo 5: questão 55</v>
      </c>
    </row>
    <row r="5" spans="1:13" ht="15" x14ac:dyDescent="0.25">
      <c r="B5" s="9" t="s">
        <v>307</v>
      </c>
      <c r="C5" s="9" t="s">
        <v>308</v>
      </c>
      <c r="D5" s="9" t="s">
        <v>309</v>
      </c>
      <c r="E5" s="9" t="s">
        <v>310</v>
      </c>
      <c r="F5" s="10" t="s">
        <v>311</v>
      </c>
      <c r="G5" s="10" t="s">
        <v>312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313</v>
      </c>
      <c r="B6" s="8" t="s">
        <v>314</v>
      </c>
      <c r="C6" s="8">
        <f>COUNTIF(Resp5[],"tecnico")-SUM(C$7:C$11)</f>
        <v>773</v>
      </c>
      <c r="D6" s="8">
        <f>COUNTIF(Resp5[],"docente")-SUM(D$7:D$11)</f>
        <v>447</v>
      </c>
      <c r="E6" s="11">
        <f>E12-SUM(E7:E11)</f>
        <v>1220</v>
      </c>
      <c r="F6" s="14">
        <f>ROUND($E6/E$12*100,2)</f>
        <v>86.71</v>
      </c>
      <c r="G6" s="14"/>
      <c r="J6" s="29"/>
    </row>
    <row r="7" spans="1:13" ht="15" x14ac:dyDescent="0.25">
      <c r="B7" s="8" t="s">
        <v>244</v>
      </c>
      <c r="C7" s="11">
        <f>COUNTIFS(Resp5[Vínculo],"tecnico",Resp5[5.55],B7)</f>
        <v>31</v>
      </c>
      <c r="D7" s="11">
        <f>COUNTIFS(Resp5[Vínculo],"docente",Resp5[5.55],B7)</f>
        <v>35</v>
      </c>
      <c r="E7" s="11">
        <f>COUNTIF(Resp5[5.55],B7)</f>
        <v>66</v>
      </c>
      <c r="F7" s="14">
        <f t="shared" ref="F7:F12" si="0">ROUND($E7/E$12*100,2)</f>
        <v>4.6900000000000004</v>
      </c>
      <c r="G7" s="14">
        <f>ROUND($E7/SUM($E$7:$E$11)*100,3)</f>
        <v>35.293999999999997</v>
      </c>
      <c r="H7">
        <f>E7*10</f>
        <v>660</v>
      </c>
      <c r="J7" s="14">
        <f>E11/SUM(E7:E11)</f>
        <v>7.4866310160427801E-2</v>
      </c>
      <c r="M7" s="17"/>
    </row>
    <row r="8" spans="1:13" ht="15" x14ac:dyDescent="0.25">
      <c r="B8" s="8" t="s">
        <v>239</v>
      </c>
      <c r="C8" s="11">
        <f>COUNTIFS(Resp5[Vínculo],"tecnico",Resp5[5.55],B8)</f>
        <v>19</v>
      </c>
      <c r="D8" s="11">
        <f>COUNTIFS(Resp5[Vínculo],"docente",Resp5[5.55],B8)</f>
        <v>48</v>
      </c>
      <c r="E8" s="11">
        <f>COUNTIF(Resp5[5.55],B8)</f>
        <v>67</v>
      </c>
      <c r="F8" s="14">
        <f t="shared" si="0"/>
        <v>4.76</v>
      </c>
      <c r="G8" s="14">
        <f>ROUND($E8/SUM($E$7:$E$11)*100,3)</f>
        <v>35.829000000000001</v>
      </c>
      <c r="H8">
        <f>E8*8</f>
        <v>536</v>
      </c>
      <c r="J8" s="14">
        <f>(E11+E10)/SUM(E7:E11)</f>
        <v>0.16577540106951871</v>
      </c>
      <c r="M8" s="17"/>
    </row>
    <row r="9" spans="1:13" ht="15" x14ac:dyDescent="0.25">
      <c r="B9" s="8" t="s">
        <v>237</v>
      </c>
      <c r="C9" s="11">
        <f>COUNTIFS(Resp5[Vínculo],"tecnico",Resp5[5.55],B9)</f>
        <v>5</v>
      </c>
      <c r="D9" s="11">
        <f>COUNTIFS(Resp5[Vínculo],"docente",Resp5[5.55],B9)</f>
        <v>18</v>
      </c>
      <c r="E9" s="11">
        <f>COUNTIF(Resp5[5.55],B9)</f>
        <v>23</v>
      </c>
      <c r="F9" s="14">
        <f t="shared" si="0"/>
        <v>1.63</v>
      </c>
      <c r="G9" s="14">
        <f>ROUND($E9/SUM($E$7:$E$11)*100,3)</f>
        <v>12.298999999999999</v>
      </c>
      <c r="H9">
        <f>E9*6</f>
        <v>138</v>
      </c>
      <c r="J9" s="14">
        <f>(E11+E10+E9)/SUM(E7:E11)</f>
        <v>0.28877005347593582</v>
      </c>
      <c r="M9" s="17"/>
    </row>
    <row r="10" spans="1:13" ht="15" x14ac:dyDescent="0.25">
      <c r="B10" s="8" t="s">
        <v>242</v>
      </c>
      <c r="C10" s="11">
        <f>COUNTIFS(Resp5[Vínculo],"tecnico",Resp5[5.55],B10)</f>
        <v>4</v>
      </c>
      <c r="D10" s="11">
        <f>COUNTIFS(Resp5[Vínculo],"docente",Resp5[5.55],B10)</f>
        <v>13</v>
      </c>
      <c r="E10" s="11">
        <f>COUNTIF(Resp5[5.55],B10)</f>
        <v>17</v>
      </c>
      <c r="F10" s="14">
        <f t="shared" si="0"/>
        <v>1.21</v>
      </c>
      <c r="G10" s="14">
        <f>ROUND($E10/SUM($E$7:$E$11)*100,3)</f>
        <v>9.0909999999999993</v>
      </c>
      <c r="H10">
        <f>E10*4</f>
        <v>68</v>
      </c>
      <c r="J10" s="14">
        <f>(E11+E10+E9+E8)/SUM(E7:E11)</f>
        <v>0.6470588235294118</v>
      </c>
      <c r="M10" s="17"/>
    </row>
    <row r="11" spans="1:13" ht="15" x14ac:dyDescent="0.25">
      <c r="B11" s="16" t="s">
        <v>241</v>
      </c>
      <c r="C11" s="11">
        <f>COUNTIFS(Resp5[Vínculo],"tecnico",Resp5[5.55],B11)</f>
        <v>1</v>
      </c>
      <c r="D11" s="11">
        <f>COUNTIFS(Resp5[Vínculo],"docente",Resp5[5.55],B11)</f>
        <v>13</v>
      </c>
      <c r="E11" s="11">
        <f>COUNTIF(Resp5[5.55],B11)</f>
        <v>14</v>
      </c>
      <c r="F11" s="14">
        <f t="shared" si="0"/>
        <v>1</v>
      </c>
      <c r="G11" s="14">
        <f>ROUND($E11/SUM($E$7:$E$11)*100,3)</f>
        <v>7.4870000000000001</v>
      </c>
      <c r="H11">
        <f>E11*2</f>
        <v>28</v>
      </c>
      <c r="J11" s="14">
        <f>(E11+E10+E9+E8+E7)/SUM(E7:E11)</f>
        <v>1</v>
      </c>
      <c r="M11" s="17"/>
    </row>
    <row r="12" spans="1:13" ht="15" x14ac:dyDescent="0.25">
      <c r="B12" s="8" t="s">
        <v>315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99.999999999999986</v>
      </c>
      <c r="H12">
        <f>SUM(H7:H11)/SUM(E7:E11)</f>
        <v>7.6470588235294121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316</v>
      </c>
      <c r="C15" s="21" t="s">
        <v>317</v>
      </c>
      <c r="D15" s="9" t="s">
        <v>308</v>
      </c>
      <c r="E15" s="10" t="s">
        <v>311</v>
      </c>
    </row>
    <row r="16" spans="1:13" ht="15" x14ac:dyDescent="0.25">
      <c r="B16" s="34" t="s">
        <v>318</v>
      </c>
      <c r="C16" s="34" t="s">
        <v>22</v>
      </c>
      <c r="D16" s="18">
        <f>SUM(C10:C11)</f>
        <v>5</v>
      </c>
      <c r="E16" s="19">
        <f>ROUND(D16/SUM(D$16:D$18)*100,3)</f>
        <v>8.3330000000000002</v>
      </c>
    </row>
    <row r="17" spans="2:5" ht="15" x14ac:dyDescent="0.25">
      <c r="B17" s="36" t="s">
        <v>321</v>
      </c>
      <c r="C17" s="36" t="s">
        <v>24</v>
      </c>
      <c r="D17" s="18">
        <f>C9</f>
        <v>5</v>
      </c>
      <c r="E17" s="19">
        <f>ROUND(D17/SUM(D$16:D$18)*100,3)</f>
        <v>8.3330000000000002</v>
      </c>
    </row>
    <row r="18" spans="2:5" ht="15" x14ac:dyDescent="0.25">
      <c r="B18" s="39" t="s">
        <v>322</v>
      </c>
      <c r="C18" s="39" t="s">
        <v>26</v>
      </c>
      <c r="D18" s="26">
        <f>SUM(C7:C8)</f>
        <v>50</v>
      </c>
      <c r="E18" s="27">
        <f>ROUND(D18/SUM(D$16:D$18)*100,3)</f>
        <v>83.332999999999998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316</v>
      </c>
      <c r="C21" s="21" t="s">
        <v>317</v>
      </c>
      <c r="D21" s="9" t="s">
        <v>309</v>
      </c>
      <c r="E21" s="10" t="s">
        <v>311</v>
      </c>
    </row>
    <row r="22" spans="2:5" ht="15" x14ac:dyDescent="0.25">
      <c r="B22" s="34" t="s">
        <v>318</v>
      </c>
      <c r="C22" s="34" t="s">
        <v>22</v>
      </c>
      <c r="D22" s="18">
        <f>SUM(D10:D11)</f>
        <v>26</v>
      </c>
      <c r="E22" s="19">
        <f>ROUND(D22/SUM(D$22:D$24)*100,3)</f>
        <v>20.472000000000001</v>
      </c>
    </row>
    <row r="23" spans="2:5" ht="15" x14ac:dyDescent="0.25">
      <c r="B23" s="36" t="s">
        <v>321</v>
      </c>
      <c r="C23" s="36" t="s">
        <v>24</v>
      </c>
      <c r="D23" s="18">
        <f>D9</f>
        <v>18</v>
      </c>
      <c r="E23" s="19">
        <f>ROUND(D23/SUM(D$22:D$24)*100,3)</f>
        <v>14.173</v>
      </c>
    </row>
    <row r="24" spans="2:5" ht="15" x14ac:dyDescent="0.25">
      <c r="B24" s="39" t="s">
        <v>322</v>
      </c>
      <c r="C24" s="39" t="s">
        <v>26</v>
      </c>
      <c r="D24" s="26">
        <f>SUM(D7:D8)</f>
        <v>83</v>
      </c>
      <c r="E24" s="27">
        <f>ROUND(D24/SUM(D$22:D$24)*100,3)</f>
        <v>65.353999999999999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323</v>
      </c>
      <c r="C28" s="31">
        <f>I12</f>
        <v>8</v>
      </c>
      <c r="D28" s="31">
        <f>H12</f>
        <v>7.6470588235294121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86</v>
      </c>
      <c r="B1" s="8"/>
      <c r="C1" s="8"/>
    </row>
    <row r="2" spans="1:13" ht="15" x14ac:dyDescent="0.25">
      <c r="A2" s="8" t="str">
        <f>TEXT(A1,"0.000")</f>
        <v>5.56</v>
      </c>
      <c r="B2" s="8" t="str">
        <f>VLOOKUP(A$2, Eixo5[], 3, FALSE)</f>
        <v>Avalie os serviços prestados pelas unidades da PROGRAD que você utilizou em 2021: [Coordenação de Projetos e Análise Curricular – COPAC]</v>
      </c>
    </row>
    <row r="3" spans="1:13" ht="15" x14ac:dyDescent="0.25">
      <c r="A3" s="8" t="s">
        <v>306</v>
      </c>
      <c r="B3" s="8" t="str">
        <f>VLOOKUP(A$2, Eixo5[], 4, FALSE)</f>
        <v>Eixo 5: questão 56</v>
      </c>
    </row>
    <row r="5" spans="1:13" ht="15" x14ac:dyDescent="0.25">
      <c r="B5" s="9" t="s">
        <v>307</v>
      </c>
      <c r="C5" s="9" t="s">
        <v>308</v>
      </c>
      <c r="D5" s="9" t="s">
        <v>309</v>
      </c>
      <c r="E5" s="9" t="s">
        <v>310</v>
      </c>
      <c r="F5" s="10" t="s">
        <v>311</v>
      </c>
      <c r="G5" s="10" t="s">
        <v>312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313</v>
      </c>
      <c r="B6" s="8" t="s">
        <v>314</v>
      </c>
      <c r="C6" s="8">
        <f>COUNTIF(Resp5[],"tecnico")-SUM(C$7:C$11)</f>
        <v>771</v>
      </c>
      <c r="D6" s="8">
        <f>COUNTIF(Resp5[],"docente")-SUM(D$7:D$11)</f>
        <v>446</v>
      </c>
      <c r="E6" s="11">
        <f>E12-SUM(E7:E11)</f>
        <v>1266</v>
      </c>
      <c r="F6" s="14">
        <f>ROUND($E6/E$12*100,2)</f>
        <v>89.98</v>
      </c>
      <c r="G6" s="14"/>
      <c r="J6" s="29"/>
    </row>
    <row r="7" spans="1:13" ht="15" x14ac:dyDescent="0.25">
      <c r="B7" s="8" t="s">
        <v>244</v>
      </c>
      <c r="C7" s="11">
        <f>COUNTIFS(Resp5[Vínculo],"tecnico",Resp5[5.56],B7)</f>
        <v>34</v>
      </c>
      <c r="D7" s="11">
        <f>COUNTIFS(Resp5[Vínculo],"docente",Resp5[5.42],B7)</f>
        <v>45</v>
      </c>
      <c r="E7" s="11">
        <f>COUNTIF(Resp5[5.56],B7)</f>
        <v>62</v>
      </c>
      <c r="F7" s="14">
        <f t="shared" ref="F7:F12" si="0">ROUND($E7/E$12*100,2)</f>
        <v>4.41</v>
      </c>
      <c r="G7" s="14">
        <f>ROUND($E7/SUM($E$7:$E$11)*100,3)</f>
        <v>43.972000000000001</v>
      </c>
      <c r="H7">
        <f>E7*10</f>
        <v>620</v>
      </c>
      <c r="J7" s="14">
        <f>E11/SUM(E7:E11)</f>
        <v>4.2553191489361701E-2</v>
      </c>
      <c r="M7" s="17"/>
    </row>
    <row r="8" spans="1:13" ht="15" x14ac:dyDescent="0.25">
      <c r="B8" s="8" t="s">
        <v>239</v>
      </c>
      <c r="C8" s="11">
        <f>COUNTIFS(Resp5[Vínculo],"tecnico",Resp5[5.56],B8)</f>
        <v>22</v>
      </c>
      <c r="D8" s="11">
        <f>COUNTIFS(Resp5[Vínculo],"docente",Resp5[5.42],B8)</f>
        <v>60</v>
      </c>
      <c r="E8" s="11">
        <f>COUNTIF(Resp5[5.56],B8)</f>
        <v>48</v>
      </c>
      <c r="F8" s="14">
        <f t="shared" si="0"/>
        <v>3.41</v>
      </c>
      <c r="G8" s="14">
        <f>ROUND($E8/SUM($E$7:$E$11)*100,3)</f>
        <v>34.042999999999999</v>
      </c>
      <c r="H8">
        <f>E8*8</f>
        <v>384</v>
      </c>
      <c r="J8" s="14">
        <f>(E11+E10)/SUM(E7:E11)</f>
        <v>9.9290780141843976E-2</v>
      </c>
      <c r="M8" s="17"/>
    </row>
    <row r="9" spans="1:13" ht="15" x14ac:dyDescent="0.25">
      <c r="B9" s="8" t="s">
        <v>237</v>
      </c>
      <c r="C9" s="11">
        <f>COUNTIFS(Resp5[Vínculo],"tecnico",Resp5[5.56],B9)</f>
        <v>3</v>
      </c>
      <c r="D9" s="11">
        <f>COUNTIFS(Resp5[Vínculo],"docente",Resp5[5.42],B9)</f>
        <v>16</v>
      </c>
      <c r="E9" s="11">
        <f>COUNTIF(Resp5[5.56],B9)</f>
        <v>17</v>
      </c>
      <c r="F9" s="14">
        <f t="shared" si="0"/>
        <v>1.21</v>
      </c>
      <c r="G9" s="14">
        <f>ROUND($E9/SUM($E$7:$E$11)*100,3)</f>
        <v>12.057</v>
      </c>
      <c r="H9">
        <f>E9*6</f>
        <v>102</v>
      </c>
      <c r="J9" s="14">
        <f>(E11+E10+E9)/SUM(E7:E11)</f>
        <v>0.21985815602836881</v>
      </c>
      <c r="M9" s="17"/>
    </row>
    <row r="10" spans="1:13" ht="15" x14ac:dyDescent="0.25">
      <c r="B10" s="8" t="s">
        <v>242</v>
      </c>
      <c r="C10" s="11">
        <f>COUNTIFS(Resp5[Vínculo],"tecnico",Resp5[5.56],B10)</f>
        <v>2</v>
      </c>
      <c r="D10" s="11">
        <f>COUNTIFS(Resp5[Vínculo],"docente",Resp5[5.42],B10)</f>
        <v>3</v>
      </c>
      <c r="E10" s="11">
        <f>COUNTIF(Resp5[5.56],B10)</f>
        <v>8</v>
      </c>
      <c r="F10" s="14">
        <f t="shared" si="0"/>
        <v>0.56999999999999995</v>
      </c>
      <c r="G10" s="14">
        <f>ROUND($E10/SUM($E$7:$E$11)*100,3)</f>
        <v>5.6740000000000004</v>
      </c>
      <c r="H10">
        <f>E10*4</f>
        <v>32</v>
      </c>
      <c r="J10" s="14">
        <f>(E11+E10+E9+E8)/SUM(E7:E11)</f>
        <v>0.56028368794326244</v>
      </c>
      <c r="M10" s="17"/>
    </row>
    <row r="11" spans="1:13" ht="15" x14ac:dyDescent="0.25">
      <c r="B11" s="16" t="s">
        <v>241</v>
      </c>
      <c r="C11" s="11">
        <f>COUNTIFS(Resp5[Vínculo],"tecnico",Resp5[5.56],B11)</f>
        <v>1</v>
      </c>
      <c r="D11" s="11">
        <f>COUNTIFS(Resp5[Vínculo],"docente",Resp5[5.42],B11)</f>
        <v>4</v>
      </c>
      <c r="E11" s="11">
        <f>COUNTIF(Resp5[5.56],B11)</f>
        <v>6</v>
      </c>
      <c r="F11" s="14">
        <f t="shared" si="0"/>
        <v>0.43</v>
      </c>
      <c r="G11" s="14">
        <f>ROUND($E11/SUM($E$7:$E$11)*100,3)</f>
        <v>4.2549999999999999</v>
      </c>
      <c r="H11">
        <f>E11*2</f>
        <v>12</v>
      </c>
      <c r="J11" s="14">
        <f>(E11+E10+E9+E8+E7)/SUM(E7:E11)</f>
        <v>1</v>
      </c>
      <c r="M11" s="17"/>
    </row>
    <row r="12" spans="1:13" ht="15" x14ac:dyDescent="0.25">
      <c r="B12" s="8" t="s">
        <v>315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100.001</v>
      </c>
      <c r="H12">
        <f>SUM(H7:H11)/SUM(E7:E11)</f>
        <v>8.1560283687943258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316</v>
      </c>
      <c r="C15" s="21" t="s">
        <v>317</v>
      </c>
      <c r="D15" s="9" t="s">
        <v>308</v>
      </c>
      <c r="E15" s="10" t="s">
        <v>311</v>
      </c>
    </row>
    <row r="16" spans="1:13" ht="15" x14ac:dyDescent="0.25">
      <c r="B16" s="34" t="s">
        <v>318</v>
      </c>
      <c r="C16" s="34" t="s">
        <v>22</v>
      </c>
      <c r="D16" s="18">
        <f>SUM(C10:C11)</f>
        <v>3</v>
      </c>
      <c r="E16" s="19">
        <f>ROUND(D16/SUM(D$16:D$18)*100,3)</f>
        <v>4.8390000000000004</v>
      </c>
    </row>
    <row r="17" spans="2:5" ht="15" x14ac:dyDescent="0.25">
      <c r="B17" s="36" t="s">
        <v>321</v>
      </c>
      <c r="C17" s="36" t="s">
        <v>24</v>
      </c>
      <c r="D17" s="18">
        <f>C9</f>
        <v>3</v>
      </c>
      <c r="E17" s="19">
        <f>ROUND(D17/SUM(D$16:D$18)*100,3)</f>
        <v>4.8390000000000004</v>
      </c>
    </row>
    <row r="18" spans="2:5" ht="15" x14ac:dyDescent="0.25">
      <c r="B18" s="39" t="s">
        <v>322</v>
      </c>
      <c r="C18" s="39" t="s">
        <v>26</v>
      </c>
      <c r="D18" s="26">
        <f>SUM(C7:C8)</f>
        <v>56</v>
      </c>
      <c r="E18" s="27">
        <f>ROUND(D18/SUM(D$16:D$18)*100,3)</f>
        <v>90.322999999999993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316</v>
      </c>
      <c r="C21" s="21" t="s">
        <v>317</v>
      </c>
      <c r="D21" s="9" t="s">
        <v>309</v>
      </c>
      <c r="E21" s="10" t="s">
        <v>311</v>
      </c>
    </row>
    <row r="22" spans="2:5" ht="15" x14ac:dyDescent="0.25">
      <c r="B22" s="34" t="s">
        <v>318</v>
      </c>
      <c r="C22" s="34" t="s">
        <v>22</v>
      </c>
      <c r="D22" s="18">
        <f>SUM(D10:D11)</f>
        <v>7</v>
      </c>
      <c r="E22" s="19">
        <f>ROUND(D22/SUM(D$22:D$24)*100,3)</f>
        <v>5.4690000000000003</v>
      </c>
    </row>
    <row r="23" spans="2:5" ht="15" x14ac:dyDescent="0.25">
      <c r="B23" s="36" t="s">
        <v>321</v>
      </c>
      <c r="C23" s="36" t="s">
        <v>24</v>
      </c>
      <c r="D23" s="18">
        <f>D9</f>
        <v>16</v>
      </c>
      <c r="E23" s="19">
        <f>ROUND(D23/SUM(D$22:D$24)*100,3)</f>
        <v>12.5</v>
      </c>
    </row>
    <row r="24" spans="2:5" ht="15" x14ac:dyDescent="0.25">
      <c r="B24" s="39" t="s">
        <v>322</v>
      </c>
      <c r="C24" s="39" t="s">
        <v>26</v>
      </c>
      <c r="D24" s="26">
        <f>SUM(D7:D8)</f>
        <v>105</v>
      </c>
      <c r="E24" s="27">
        <f>ROUND(D24/SUM(D$22:D$24)*100,3)</f>
        <v>82.031000000000006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323</v>
      </c>
      <c r="C28" s="31">
        <f>I12</f>
        <v>10</v>
      </c>
      <c r="D28" s="31">
        <f>H12</f>
        <v>8.1560283687943258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87</v>
      </c>
      <c r="B1" s="8"/>
      <c r="C1" s="8"/>
    </row>
    <row r="2" spans="1:13" ht="15" x14ac:dyDescent="0.25">
      <c r="A2" s="8" t="str">
        <f>TEXT(A1,"0.000")</f>
        <v>5.57</v>
      </c>
      <c r="B2" s="8" t="str">
        <f>VLOOKUP(A$2, Eixo5[], 3, FALSE)</f>
        <v>Avalie os serviços prestados pelas unidades da PROGRAD que você utilizou em 2021: [Coordenação de Políticas de Ensino de Graduação – COPEG]</v>
      </c>
    </row>
    <row r="3" spans="1:13" ht="15" x14ac:dyDescent="0.25">
      <c r="A3" s="8" t="s">
        <v>306</v>
      </c>
      <c r="B3" s="8" t="str">
        <f>VLOOKUP(A$2, Eixo5[], 4, FALSE)</f>
        <v>Eixo 5: questão 57</v>
      </c>
    </row>
    <row r="5" spans="1:13" ht="15" x14ac:dyDescent="0.25">
      <c r="B5" s="9" t="s">
        <v>307</v>
      </c>
      <c r="C5" s="9" t="s">
        <v>308</v>
      </c>
      <c r="D5" s="9" t="s">
        <v>309</v>
      </c>
      <c r="E5" s="9" t="s">
        <v>310</v>
      </c>
      <c r="F5" s="10" t="s">
        <v>311</v>
      </c>
      <c r="G5" s="10" t="s">
        <v>312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313</v>
      </c>
      <c r="B6" s="8" t="s">
        <v>314</v>
      </c>
      <c r="C6" s="8">
        <f>COUNTIF(Resp5[],"tecnico")-SUM(C$7:C$11)</f>
        <v>762</v>
      </c>
      <c r="D6" s="8">
        <f>COUNTIF(Resp5[],"docente")-SUM(D$7:D$11)</f>
        <v>485</v>
      </c>
      <c r="E6" s="11">
        <f>E12-SUM(E7:E11)</f>
        <v>1247</v>
      </c>
      <c r="F6" s="14">
        <f>ROUND($E6/E$12*100,2)</f>
        <v>88.63</v>
      </c>
      <c r="G6" s="14"/>
      <c r="J6" s="29"/>
    </row>
    <row r="7" spans="1:13" ht="15" x14ac:dyDescent="0.25">
      <c r="B7" s="8" t="s">
        <v>244</v>
      </c>
      <c r="C7" s="11">
        <f>COUNTIFS(Resp5[Vínculo],"tecnico",Resp5[5.57],B7)</f>
        <v>33</v>
      </c>
      <c r="D7" s="11">
        <f>COUNTIFS(Resp5[Vínculo],"docente",Resp5[5.57],B7)</f>
        <v>20</v>
      </c>
      <c r="E7" s="11">
        <f>COUNTIF(Resp5[5.57],B7)</f>
        <v>53</v>
      </c>
      <c r="F7" s="14">
        <f t="shared" ref="F7:F12" si="0">ROUND($E7/E$12*100,2)</f>
        <v>3.77</v>
      </c>
      <c r="G7" s="14">
        <f>ROUND($E7/SUM($E$7:$E$11)*100,3)</f>
        <v>33.125</v>
      </c>
      <c r="H7">
        <f>E7*10</f>
        <v>530</v>
      </c>
      <c r="J7" s="14">
        <f>E11/SUM(E7:E11)</f>
        <v>6.25E-2</v>
      </c>
      <c r="M7" s="17"/>
    </row>
    <row r="8" spans="1:13" ht="15" x14ac:dyDescent="0.25">
      <c r="B8" s="8" t="s">
        <v>239</v>
      </c>
      <c r="C8" s="11">
        <f>COUNTIFS(Resp5[Vínculo],"tecnico",Resp5[5.57],B8)</f>
        <v>29</v>
      </c>
      <c r="D8" s="11">
        <f>COUNTIFS(Resp5[Vínculo],"docente",Resp5[5.57],B8)</f>
        <v>36</v>
      </c>
      <c r="E8" s="11">
        <f>COUNTIF(Resp5[5.57],B8)</f>
        <v>65</v>
      </c>
      <c r="F8" s="14">
        <f t="shared" si="0"/>
        <v>4.62</v>
      </c>
      <c r="G8" s="14">
        <f>ROUND($E8/SUM($E$7:$E$11)*100,3)</f>
        <v>40.625</v>
      </c>
      <c r="H8">
        <f>E8*8</f>
        <v>520</v>
      </c>
      <c r="J8" s="14">
        <f>(E11+E10)/SUM(E7:E11)</f>
        <v>0.14374999999999999</v>
      </c>
      <c r="M8" s="17"/>
    </row>
    <row r="9" spans="1:13" ht="15" x14ac:dyDescent="0.25">
      <c r="B9" s="8" t="s">
        <v>237</v>
      </c>
      <c r="C9" s="11">
        <f>COUNTIFS(Resp5[Vínculo],"tecnico",Resp5[5.57],B9)</f>
        <v>4</v>
      </c>
      <c r="D9" s="11">
        <f>COUNTIFS(Resp5[Vínculo],"docente",Resp5[5.57],B9)</f>
        <v>15</v>
      </c>
      <c r="E9" s="11">
        <f>COUNTIF(Resp5[5.57],B9)</f>
        <v>19</v>
      </c>
      <c r="F9" s="14">
        <f t="shared" si="0"/>
        <v>1.35</v>
      </c>
      <c r="G9" s="14">
        <f>ROUND($E9/SUM($E$7:$E$11)*100,3)</f>
        <v>11.875</v>
      </c>
      <c r="H9">
        <f>E9*6</f>
        <v>114</v>
      </c>
      <c r="J9" s="14">
        <f>(E11+E10+E9)/SUM(E7:E11)</f>
        <v>0.26250000000000001</v>
      </c>
      <c r="M9" s="17"/>
    </row>
    <row r="10" spans="1:13" ht="15" x14ac:dyDescent="0.25">
      <c r="B10" s="8" t="s">
        <v>242</v>
      </c>
      <c r="C10" s="11">
        <f>COUNTIFS(Resp5[Vínculo],"tecnico",Resp5[5.57],B10)</f>
        <v>2</v>
      </c>
      <c r="D10" s="11">
        <f>COUNTIFS(Resp5[Vínculo],"docente",Resp5[5.57],B10)</f>
        <v>11</v>
      </c>
      <c r="E10" s="11">
        <f>COUNTIF(Resp5[5.57],B10)</f>
        <v>13</v>
      </c>
      <c r="F10" s="14">
        <f t="shared" si="0"/>
        <v>0.92</v>
      </c>
      <c r="G10" s="14">
        <f>ROUND($E10/SUM($E$7:$E$11)*100,3)</f>
        <v>8.125</v>
      </c>
      <c r="H10">
        <f>E10*4</f>
        <v>52</v>
      </c>
      <c r="J10" s="14">
        <f>(E11+E10+E9+E8)/SUM(E7:E11)</f>
        <v>0.66874999999999996</v>
      </c>
      <c r="M10" s="17"/>
    </row>
    <row r="11" spans="1:13" ht="15" x14ac:dyDescent="0.25">
      <c r="B11" s="16" t="s">
        <v>241</v>
      </c>
      <c r="C11" s="11">
        <f>COUNTIFS(Resp5[Vínculo],"tecnico",Resp5[5.57],B11)</f>
        <v>3</v>
      </c>
      <c r="D11" s="11">
        <f>COUNTIFS(Resp5[Vínculo],"docente",Resp5[5.57],B11)</f>
        <v>7</v>
      </c>
      <c r="E11" s="11">
        <f>COUNTIF(Resp5[5.57],B11)</f>
        <v>10</v>
      </c>
      <c r="F11" s="14">
        <f t="shared" si="0"/>
        <v>0.71</v>
      </c>
      <c r="G11" s="14">
        <f>ROUND($E11/SUM($E$7:$E$11)*100,3)</f>
        <v>6.25</v>
      </c>
      <c r="H11">
        <f>E11*2</f>
        <v>20</v>
      </c>
      <c r="J11" s="14">
        <f>(E11+E10+E9+E8+E7)/SUM(E7:E11)</f>
        <v>1</v>
      </c>
      <c r="M11" s="17"/>
    </row>
    <row r="12" spans="1:13" ht="15" x14ac:dyDescent="0.25">
      <c r="B12" s="8" t="s">
        <v>315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</v>
      </c>
      <c r="H12">
        <f>SUM(H7:H11)/SUM(E7:E11)</f>
        <v>7.7249999999999996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316</v>
      </c>
      <c r="C15" s="21" t="s">
        <v>317</v>
      </c>
      <c r="D15" s="9" t="s">
        <v>308</v>
      </c>
      <c r="E15" s="10" t="s">
        <v>311</v>
      </c>
    </row>
    <row r="16" spans="1:13" ht="15" x14ac:dyDescent="0.25">
      <c r="B16" s="34" t="s">
        <v>318</v>
      </c>
      <c r="C16" s="34" t="s">
        <v>22</v>
      </c>
      <c r="D16" s="18">
        <f>SUM(C10:C11)</f>
        <v>5</v>
      </c>
      <c r="E16" s="19">
        <f>ROUND(D16/SUM(D$16:D$18)*100,3)</f>
        <v>7.0419999999999998</v>
      </c>
    </row>
    <row r="17" spans="2:5" ht="15" x14ac:dyDescent="0.25">
      <c r="B17" s="36" t="s">
        <v>321</v>
      </c>
      <c r="C17" s="36" t="s">
        <v>24</v>
      </c>
      <c r="D17" s="18">
        <f>C9</f>
        <v>4</v>
      </c>
      <c r="E17" s="19">
        <f>ROUND(D17/SUM(D$16:D$18)*100,3)</f>
        <v>5.6340000000000003</v>
      </c>
    </row>
    <row r="18" spans="2:5" ht="15" x14ac:dyDescent="0.25">
      <c r="B18" s="39" t="s">
        <v>322</v>
      </c>
      <c r="C18" s="39" t="s">
        <v>26</v>
      </c>
      <c r="D18" s="26">
        <f>SUM(C7:C8)</f>
        <v>62</v>
      </c>
      <c r="E18" s="27">
        <f>ROUND(D18/SUM(D$16:D$18)*100,3)</f>
        <v>87.323999999999998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316</v>
      </c>
      <c r="C21" s="21" t="s">
        <v>317</v>
      </c>
      <c r="D21" s="9" t="s">
        <v>309</v>
      </c>
      <c r="E21" s="10" t="s">
        <v>311</v>
      </c>
    </row>
    <row r="22" spans="2:5" ht="15" x14ac:dyDescent="0.25">
      <c r="B22" s="34" t="s">
        <v>318</v>
      </c>
      <c r="C22" s="34" t="s">
        <v>22</v>
      </c>
      <c r="D22" s="18">
        <f>SUM(D10:D11)</f>
        <v>18</v>
      </c>
      <c r="E22" s="19">
        <f>ROUND(D22/SUM(D$22:D$24)*100,3)</f>
        <v>20.225000000000001</v>
      </c>
    </row>
    <row r="23" spans="2:5" ht="15" x14ac:dyDescent="0.25">
      <c r="B23" s="36" t="s">
        <v>321</v>
      </c>
      <c r="C23" s="36" t="s">
        <v>24</v>
      </c>
      <c r="D23" s="18">
        <f>D9</f>
        <v>15</v>
      </c>
      <c r="E23" s="19">
        <f>ROUND(D23/SUM(D$22:D$24)*100,3)</f>
        <v>16.853999999999999</v>
      </c>
    </row>
    <row r="24" spans="2:5" ht="15" x14ac:dyDescent="0.25">
      <c r="B24" s="39" t="s">
        <v>322</v>
      </c>
      <c r="C24" s="39" t="s">
        <v>26</v>
      </c>
      <c r="D24" s="26">
        <f>SUM(D7:D8)</f>
        <v>56</v>
      </c>
      <c r="E24" s="27">
        <f>ROUND(D24/SUM(D$22:D$24)*100,3)</f>
        <v>62.920999999999999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323</v>
      </c>
      <c r="C28" s="31">
        <f>I12</f>
        <v>8</v>
      </c>
      <c r="D28" s="31">
        <f>H12</f>
        <v>7.7249999999999996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88</v>
      </c>
      <c r="B1" s="8"/>
      <c r="C1" s="8"/>
    </row>
    <row r="2" spans="1:13" ht="15" x14ac:dyDescent="0.25">
      <c r="A2" s="8" t="str">
        <f>TEXT(A1,"0.000")</f>
        <v>5.58</v>
      </c>
      <c r="B2" s="8" t="str">
        <f>VLOOKUP(A$2, Eixo5[], 3, FALSE)</f>
        <v>Avalie os serviços prestados pelas unidades da PROGRAD que você utilizou em 2021: [Coordenação de Procedimentos Acadêmicos e Permanência – COPAP]</v>
      </c>
    </row>
    <row r="3" spans="1:13" ht="15" x14ac:dyDescent="0.25">
      <c r="A3" s="8" t="s">
        <v>306</v>
      </c>
      <c r="B3" s="8" t="str">
        <f>VLOOKUP(A$2, Eixo5[], 4, FALSE)</f>
        <v>Eixo 5: questão 58</v>
      </c>
    </row>
    <row r="5" spans="1:13" ht="15" x14ac:dyDescent="0.25">
      <c r="B5" s="9" t="s">
        <v>307</v>
      </c>
      <c r="C5" s="9" t="s">
        <v>308</v>
      </c>
      <c r="D5" s="9" t="s">
        <v>309</v>
      </c>
      <c r="E5" s="9" t="s">
        <v>310</v>
      </c>
      <c r="F5" s="10" t="s">
        <v>311</v>
      </c>
      <c r="G5" s="10" t="s">
        <v>312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313</v>
      </c>
      <c r="B6" s="8" t="s">
        <v>314</v>
      </c>
      <c r="C6" s="8">
        <f>COUNTIF(Resp5[],"tecnico")-SUM(C$7:C$11)</f>
        <v>729</v>
      </c>
      <c r="D6" s="8">
        <f>COUNTIF(Resp5[],"docente")-SUM(D$7:D$11)</f>
        <v>478</v>
      </c>
      <c r="E6" s="11">
        <f>E12-SUM(E7:E11)</f>
        <v>1207</v>
      </c>
      <c r="F6" s="14">
        <f>ROUND($E6/E$12*100,2)</f>
        <v>85.79</v>
      </c>
      <c r="G6" s="14"/>
      <c r="J6" s="29"/>
    </row>
    <row r="7" spans="1:13" ht="15" x14ac:dyDescent="0.25">
      <c r="B7" s="8" t="s">
        <v>244</v>
      </c>
      <c r="C7" s="11">
        <f>COUNTIFS(Resp5[Vínculo],"tecnico",Resp5[5.58],B7)</f>
        <v>42</v>
      </c>
      <c r="D7" s="11">
        <f>COUNTIFS(Resp5[Vínculo],"docente",Resp5[5.58],B7)</f>
        <v>22</v>
      </c>
      <c r="E7" s="11">
        <f>COUNTIF(Resp5[5.58],B7)</f>
        <v>64</v>
      </c>
      <c r="F7" s="14">
        <f t="shared" ref="F7:F12" si="0">ROUND($E7/E$12*100,2)</f>
        <v>4.55</v>
      </c>
      <c r="G7" s="14">
        <f>ROUND($E7/SUM($E$7:$E$11)*100,3)</f>
        <v>32</v>
      </c>
      <c r="H7">
        <f>E7*10</f>
        <v>640</v>
      </c>
      <c r="J7" s="14">
        <f>E11/SUM(E7:E11)</f>
        <v>7.0000000000000007E-2</v>
      </c>
      <c r="M7" s="17"/>
    </row>
    <row r="8" spans="1:13" ht="15" x14ac:dyDescent="0.25">
      <c r="B8" s="8" t="s">
        <v>239</v>
      </c>
      <c r="C8" s="11">
        <f>COUNTIFS(Resp5[Vínculo],"tecnico",Resp5[5.58],B8)</f>
        <v>35</v>
      </c>
      <c r="D8" s="11">
        <f>COUNTIFS(Resp5[Vínculo],"docente",Resp5[5.58],B8)</f>
        <v>31</v>
      </c>
      <c r="E8" s="11">
        <f>COUNTIF(Resp5[5.58],B8)</f>
        <v>66</v>
      </c>
      <c r="F8" s="14">
        <f t="shared" si="0"/>
        <v>4.6900000000000004</v>
      </c>
      <c r="G8" s="14">
        <f>ROUND($E8/SUM($E$7:$E$11)*100,3)</f>
        <v>33</v>
      </c>
      <c r="H8">
        <f>E8*8</f>
        <v>528</v>
      </c>
      <c r="J8" s="14">
        <f>(E11+E10)/SUM(E7:E11)</f>
        <v>0.185</v>
      </c>
      <c r="M8" s="17"/>
    </row>
    <row r="9" spans="1:13" ht="15" x14ac:dyDescent="0.25">
      <c r="B9" s="8" t="s">
        <v>237</v>
      </c>
      <c r="C9" s="11">
        <f>COUNTIFS(Resp5[Vínculo],"tecnico",Resp5[5.58],B9)</f>
        <v>12</v>
      </c>
      <c r="D9" s="11">
        <f>COUNTIFS(Resp5[Vínculo],"docente",Resp5[5.58],B9)</f>
        <v>21</v>
      </c>
      <c r="E9" s="11">
        <f>COUNTIF(Resp5[5.58],B9)</f>
        <v>33</v>
      </c>
      <c r="F9" s="14">
        <f t="shared" si="0"/>
        <v>2.35</v>
      </c>
      <c r="G9" s="14">
        <f>ROUND($E9/SUM($E$7:$E$11)*100,3)</f>
        <v>16.5</v>
      </c>
      <c r="H9">
        <f>E9*6</f>
        <v>198</v>
      </c>
      <c r="J9" s="14">
        <f>(E11+E10+E9)/SUM(E7:E11)</f>
        <v>0.35</v>
      </c>
      <c r="M9" s="17"/>
    </row>
    <row r="10" spans="1:13" ht="15" x14ac:dyDescent="0.25">
      <c r="B10" s="8" t="s">
        <v>242</v>
      </c>
      <c r="C10" s="11">
        <f>COUNTIFS(Resp5[Vínculo],"tecnico",Resp5[5.58],B10)</f>
        <v>10</v>
      </c>
      <c r="D10" s="11">
        <f>COUNTIFS(Resp5[Vínculo],"docente",Resp5[5.58],B10)</f>
        <v>13</v>
      </c>
      <c r="E10" s="11">
        <f>COUNTIF(Resp5[5.58],B10)</f>
        <v>23</v>
      </c>
      <c r="F10" s="14">
        <f t="shared" si="0"/>
        <v>1.63</v>
      </c>
      <c r="G10" s="14">
        <f>ROUND($E10/SUM($E$7:$E$11)*100,3)</f>
        <v>11.5</v>
      </c>
      <c r="H10">
        <f>E10*4</f>
        <v>92</v>
      </c>
      <c r="J10" s="14">
        <f>(E11+E10+E9+E8)/SUM(E7:E11)</f>
        <v>0.68</v>
      </c>
      <c r="M10" s="17"/>
    </row>
    <row r="11" spans="1:13" ht="15" x14ac:dyDescent="0.25">
      <c r="B11" s="16" t="s">
        <v>241</v>
      </c>
      <c r="C11" s="11">
        <f>COUNTIFS(Resp5[Vínculo],"tecnico",Resp5[5.58],B11)</f>
        <v>5</v>
      </c>
      <c r="D11" s="11">
        <f>COUNTIFS(Resp5[Vínculo],"docente",Resp5[5.58],B11)</f>
        <v>9</v>
      </c>
      <c r="E11" s="11">
        <f>COUNTIF(Resp5[5.58],B11)</f>
        <v>14</v>
      </c>
      <c r="F11" s="14">
        <f t="shared" si="0"/>
        <v>1</v>
      </c>
      <c r="G11" s="14">
        <f>ROUND($E11/SUM($E$7:$E$11)*100,3)</f>
        <v>7</v>
      </c>
      <c r="H11">
        <f>E11*2</f>
        <v>28</v>
      </c>
      <c r="J11" s="14">
        <f>(E11+E10+E9+E8+E7)/SUM(E7:E11)</f>
        <v>1</v>
      </c>
      <c r="M11" s="17"/>
    </row>
    <row r="12" spans="1:13" ht="15" x14ac:dyDescent="0.25">
      <c r="B12" s="8" t="s">
        <v>315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</v>
      </c>
      <c r="H12">
        <f>SUM(H7:H11)/SUM(E7:E11)</f>
        <v>7.43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316</v>
      </c>
      <c r="C15" s="21" t="s">
        <v>317</v>
      </c>
      <c r="D15" s="9" t="s">
        <v>308</v>
      </c>
      <c r="E15" s="10" t="s">
        <v>311</v>
      </c>
    </row>
    <row r="16" spans="1:13" ht="15" x14ac:dyDescent="0.25">
      <c r="B16" s="34" t="s">
        <v>318</v>
      </c>
      <c r="C16" s="34" t="s">
        <v>22</v>
      </c>
      <c r="D16" s="18">
        <f>SUM(C10:C11)</f>
        <v>15</v>
      </c>
      <c r="E16" s="19">
        <f>ROUND(D16/SUM(D$16:D$18)*100,3)</f>
        <v>14.423</v>
      </c>
    </row>
    <row r="17" spans="2:5" ht="15" x14ac:dyDescent="0.25">
      <c r="B17" s="36" t="s">
        <v>321</v>
      </c>
      <c r="C17" s="36" t="s">
        <v>24</v>
      </c>
      <c r="D17" s="18">
        <f>C9</f>
        <v>12</v>
      </c>
      <c r="E17" s="19">
        <f>ROUND(D17/SUM(D$16:D$18)*100,3)</f>
        <v>11.538</v>
      </c>
    </row>
    <row r="18" spans="2:5" ht="15" x14ac:dyDescent="0.25">
      <c r="B18" s="39" t="s">
        <v>322</v>
      </c>
      <c r="C18" s="39" t="s">
        <v>26</v>
      </c>
      <c r="D18" s="26">
        <f>SUM(C7:C8)</f>
        <v>77</v>
      </c>
      <c r="E18" s="27">
        <f>ROUND(D18/SUM(D$16:D$18)*100,3)</f>
        <v>74.037999999999997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316</v>
      </c>
      <c r="C21" s="21" t="s">
        <v>317</v>
      </c>
      <c r="D21" s="9" t="s">
        <v>309</v>
      </c>
      <c r="E21" s="10" t="s">
        <v>311</v>
      </c>
    </row>
    <row r="22" spans="2:5" ht="15" x14ac:dyDescent="0.25">
      <c r="B22" s="34" t="s">
        <v>318</v>
      </c>
      <c r="C22" s="34" t="s">
        <v>22</v>
      </c>
      <c r="D22" s="18">
        <f>SUM(D10:D11)</f>
        <v>22</v>
      </c>
      <c r="E22" s="19">
        <f>ROUND(D22/SUM(D$22:D$24)*100,3)</f>
        <v>22.917000000000002</v>
      </c>
    </row>
    <row r="23" spans="2:5" ht="15" x14ac:dyDescent="0.25">
      <c r="B23" s="36" t="s">
        <v>321</v>
      </c>
      <c r="C23" s="36" t="s">
        <v>24</v>
      </c>
      <c r="D23" s="18">
        <f>D9</f>
        <v>21</v>
      </c>
      <c r="E23" s="19">
        <f>ROUND(D23/SUM(D$22:D$24)*100,3)</f>
        <v>21.875</v>
      </c>
    </row>
    <row r="24" spans="2:5" ht="15" x14ac:dyDescent="0.25">
      <c r="B24" s="39" t="s">
        <v>322</v>
      </c>
      <c r="C24" s="39" t="s">
        <v>26</v>
      </c>
      <c r="D24" s="26">
        <f>SUM(D7:D8)</f>
        <v>53</v>
      </c>
      <c r="E24" s="27">
        <f>ROUND(D24/SUM(D$22:D$24)*100,3)</f>
        <v>55.207999999999998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323</v>
      </c>
      <c r="C28" s="31">
        <f>I12</f>
        <v>8</v>
      </c>
      <c r="D28" s="31">
        <f>H12</f>
        <v>7.43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89</v>
      </c>
      <c r="B1" s="8"/>
      <c r="C1" s="8"/>
    </row>
    <row r="2" spans="1:13" ht="15" x14ac:dyDescent="0.25">
      <c r="A2" s="8" t="str">
        <f>TEXT(A1,"0.000")</f>
        <v>5.59</v>
      </c>
      <c r="B2" s="8" t="str">
        <f>VLOOKUP(A$2, Eixo5[], 3, FALSE)</f>
        <v>Avalie os serviços prestados pelas unidades da PROGRAD que você utilizou em 2021: [Coordenação de Sistemas de Informação para a Gestão Acadêmica – COSIS]</v>
      </c>
    </row>
    <row r="3" spans="1:13" ht="15" x14ac:dyDescent="0.25">
      <c r="A3" s="8" t="s">
        <v>306</v>
      </c>
      <c r="B3" s="8" t="str">
        <f>VLOOKUP(A$2, Eixo5[], 4, FALSE)</f>
        <v>Eixo 5: questão 59</v>
      </c>
    </row>
    <row r="5" spans="1:13" ht="15" x14ac:dyDescent="0.25">
      <c r="B5" s="9" t="s">
        <v>307</v>
      </c>
      <c r="C5" s="9" t="s">
        <v>308</v>
      </c>
      <c r="D5" s="9" t="s">
        <v>309</v>
      </c>
      <c r="E5" s="9" t="s">
        <v>310</v>
      </c>
      <c r="F5" s="10" t="s">
        <v>311</v>
      </c>
      <c r="G5" s="10" t="s">
        <v>312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313</v>
      </c>
      <c r="B6" s="8" t="s">
        <v>314</v>
      </c>
      <c r="C6" s="8">
        <f>COUNTIF(Resp5[],"tecnico")-SUM(C$7:C$11)</f>
        <v>760</v>
      </c>
      <c r="D6" s="8">
        <f>COUNTIF(Resp5[],"docente")-SUM(D$7:D$11)</f>
        <v>501</v>
      </c>
      <c r="E6" s="11">
        <f>E12-SUM(E7:E11)</f>
        <v>1261</v>
      </c>
      <c r="F6" s="14">
        <f>ROUND($E6/E$12*100,2)</f>
        <v>89.62</v>
      </c>
      <c r="G6" s="14"/>
      <c r="J6" s="29"/>
    </row>
    <row r="7" spans="1:13" ht="15" x14ac:dyDescent="0.25">
      <c r="B7" s="8" t="s">
        <v>244</v>
      </c>
      <c r="C7" s="11">
        <f>COUNTIFS(Resp5[Vínculo],"tecnico",Resp5[5.59],B7)</f>
        <v>35</v>
      </c>
      <c r="D7" s="11">
        <f>COUNTIFS(Resp5[Vínculo],"docente",Resp5[5.59],B7)</f>
        <v>21</v>
      </c>
      <c r="E7" s="11">
        <f>COUNTIF(Resp5[5.59],B7)</f>
        <v>56</v>
      </c>
      <c r="F7" s="14">
        <f t="shared" ref="F7:F12" si="0">ROUND($E7/E$12*100,2)</f>
        <v>3.98</v>
      </c>
      <c r="G7" s="14">
        <f>ROUND($E7/SUM($E$7:$E$11)*100,3)</f>
        <v>38.356000000000002</v>
      </c>
      <c r="H7">
        <f>E7*10</f>
        <v>560</v>
      </c>
      <c r="J7" s="14">
        <f>E11/SUM(E7:E11)</f>
        <v>4.7945205479452052E-2</v>
      </c>
      <c r="M7" s="17"/>
    </row>
    <row r="8" spans="1:13" ht="15" x14ac:dyDescent="0.25">
      <c r="B8" s="8" t="s">
        <v>239</v>
      </c>
      <c r="C8" s="11">
        <f>COUNTIFS(Resp5[Vínculo],"tecnico",Resp5[5.59],B8)</f>
        <v>21</v>
      </c>
      <c r="D8" s="11">
        <f>COUNTIFS(Resp5[Vínculo],"docente",Resp5[5.59],B8)</f>
        <v>23</v>
      </c>
      <c r="E8" s="11">
        <f>COUNTIF(Resp5[5.59],B8)</f>
        <v>44</v>
      </c>
      <c r="F8" s="14">
        <f t="shared" si="0"/>
        <v>3.13</v>
      </c>
      <c r="G8" s="14">
        <f>ROUND($E8/SUM($E$7:$E$11)*100,3)</f>
        <v>30.137</v>
      </c>
      <c r="H8">
        <f>E8*8</f>
        <v>352</v>
      </c>
      <c r="J8" s="14">
        <f>(E11+E10)/SUM(E7:E11)</f>
        <v>0.13698630136986301</v>
      </c>
      <c r="M8" s="17"/>
    </row>
    <row r="9" spans="1:13" ht="15" x14ac:dyDescent="0.25">
      <c r="B9" s="8" t="s">
        <v>237</v>
      </c>
      <c r="C9" s="11">
        <f>COUNTIFS(Resp5[Vínculo],"tecnico",Resp5[5.59],B9)</f>
        <v>9</v>
      </c>
      <c r="D9" s="11">
        <f>COUNTIFS(Resp5[Vínculo],"docente",Resp5[5.59],B9)</f>
        <v>17</v>
      </c>
      <c r="E9" s="11">
        <f>COUNTIF(Resp5[5.59],B9)</f>
        <v>26</v>
      </c>
      <c r="F9" s="14">
        <f t="shared" si="0"/>
        <v>1.85</v>
      </c>
      <c r="G9" s="14">
        <f>ROUND($E9/SUM($E$7:$E$11)*100,3)</f>
        <v>17.808</v>
      </c>
      <c r="H9">
        <f>E9*6</f>
        <v>156</v>
      </c>
      <c r="J9" s="14">
        <f>(E11+E10+E9)/SUM(E7:E11)</f>
        <v>0.31506849315068491</v>
      </c>
      <c r="M9" s="17"/>
    </row>
    <row r="10" spans="1:13" ht="15" x14ac:dyDescent="0.25">
      <c r="B10" s="8" t="s">
        <v>242</v>
      </c>
      <c r="C10" s="11">
        <f>COUNTIFS(Resp5[Vínculo],"tecnico",Resp5[5.59],B10)</f>
        <v>5</v>
      </c>
      <c r="D10" s="11">
        <f>COUNTIFS(Resp5[Vínculo],"docente",Resp5[5.59],B10)</f>
        <v>8</v>
      </c>
      <c r="E10" s="11">
        <f>COUNTIF(Resp5[5.59],B10)</f>
        <v>13</v>
      </c>
      <c r="F10" s="14">
        <f t="shared" si="0"/>
        <v>0.92</v>
      </c>
      <c r="G10" s="14">
        <f>ROUND($E10/SUM($E$7:$E$11)*100,3)</f>
        <v>8.9039999999999999</v>
      </c>
      <c r="H10">
        <f>E10*4</f>
        <v>52</v>
      </c>
      <c r="J10" s="14">
        <f>(E11+E10+E9+E8)/SUM(E7:E11)</f>
        <v>0.61643835616438358</v>
      </c>
      <c r="M10" s="17"/>
    </row>
    <row r="11" spans="1:13" ht="15" x14ac:dyDescent="0.25">
      <c r="B11" s="16" t="s">
        <v>241</v>
      </c>
      <c r="C11" s="11">
        <f>COUNTIFS(Resp5[Vínculo],"tecnico",Resp5[5.59],B11)</f>
        <v>3</v>
      </c>
      <c r="D11" s="11">
        <f>COUNTIFS(Resp5[Vínculo],"docente",Resp5[5.59],B11)</f>
        <v>4</v>
      </c>
      <c r="E11" s="11">
        <f>COUNTIF(Resp5[5.59],B11)</f>
        <v>7</v>
      </c>
      <c r="F11" s="14">
        <f t="shared" si="0"/>
        <v>0.5</v>
      </c>
      <c r="G11" s="14">
        <f>ROUND($E11/SUM($E$7:$E$11)*100,3)</f>
        <v>4.7949999999999999</v>
      </c>
      <c r="H11">
        <f>E11*2</f>
        <v>14</v>
      </c>
      <c r="J11" s="14">
        <f>(E11+E10+E9+E8+E7)/SUM(E7:E11)</f>
        <v>1</v>
      </c>
      <c r="M11" s="17"/>
    </row>
    <row r="12" spans="1:13" ht="15" x14ac:dyDescent="0.25">
      <c r="B12" s="8" t="s">
        <v>315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99.999999999999986</v>
      </c>
      <c r="H12">
        <f>SUM(H7:H11)/SUM(E7:E11)</f>
        <v>7.7671232876712333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316</v>
      </c>
      <c r="C15" s="21" t="s">
        <v>317</v>
      </c>
      <c r="D15" s="9" t="s">
        <v>308</v>
      </c>
      <c r="E15" s="10" t="s">
        <v>311</v>
      </c>
    </row>
    <row r="16" spans="1:13" ht="15" x14ac:dyDescent="0.25">
      <c r="B16" s="34" t="s">
        <v>318</v>
      </c>
      <c r="C16" s="34" t="s">
        <v>22</v>
      </c>
      <c r="D16" s="18">
        <f>SUM(C10:C11)</f>
        <v>8</v>
      </c>
      <c r="E16" s="19">
        <f>ROUND(D16/SUM(D$16:D$18)*100,3)</f>
        <v>10.959</v>
      </c>
    </row>
    <row r="17" spans="2:5" ht="15" x14ac:dyDescent="0.25">
      <c r="B17" s="36" t="s">
        <v>321</v>
      </c>
      <c r="C17" s="36" t="s">
        <v>24</v>
      </c>
      <c r="D17" s="18">
        <f>C9</f>
        <v>9</v>
      </c>
      <c r="E17" s="19">
        <f>ROUND(D17/SUM(D$16:D$18)*100,3)</f>
        <v>12.329000000000001</v>
      </c>
    </row>
    <row r="18" spans="2:5" ht="15" x14ac:dyDescent="0.25">
      <c r="B18" s="39" t="s">
        <v>322</v>
      </c>
      <c r="C18" s="39" t="s">
        <v>26</v>
      </c>
      <c r="D18" s="26">
        <f>SUM(C7:C8)</f>
        <v>56</v>
      </c>
      <c r="E18" s="27">
        <f>ROUND(D18/SUM(D$16:D$18)*100,3)</f>
        <v>76.712000000000003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316</v>
      </c>
      <c r="C21" s="21" t="s">
        <v>317</v>
      </c>
      <c r="D21" s="9" t="s">
        <v>309</v>
      </c>
      <c r="E21" s="10" t="s">
        <v>311</v>
      </c>
    </row>
    <row r="22" spans="2:5" ht="15" x14ac:dyDescent="0.25">
      <c r="B22" s="34" t="s">
        <v>318</v>
      </c>
      <c r="C22" s="34" t="s">
        <v>22</v>
      </c>
      <c r="D22" s="18">
        <f>SUM(D10:D11)</f>
        <v>12</v>
      </c>
      <c r="E22" s="19">
        <f>ROUND(D22/SUM(D$22:D$24)*100,3)</f>
        <v>16.437999999999999</v>
      </c>
    </row>
    <row r="23" spans="2:5" ht="15" x14ac:dyDescent="0.25">
      <c r="B23" s="36" t="s">
        <v>321</v>
      </c>
      <c r="C23" s="36" t="s">
        <v>24</v>
      </c>
      <c r="D23" s="18">
        <f>D9</f>
        <v>17</v>
      </c>
      <c r="E23" s="19">
        <f>ROUND(D23/SUM(D$22:D$24)*100,3)</f>
        <v>23.288</v>
      </c>
    </row>
    <row r="24" spans="2:5" ht="15" x14ac:dyDescent="0.25">
      <c r="B24" s="39" t="s">
        <v>322</v>
      </c>
      <c r="C24" s="39" t="s">
        <v>26</v>
      </c>
      <c r="D24" s="26">
        <f>SUM(D7:D8)</f>
        <v>44</v>
      </c>
      <c r="E24" s="27">
        <f>ROUND(D24/SUM(D$22:D$24)*100,3)</f>
        <v>60.274000000000001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323</v>
      </c>
      <c r="C28" s="31">
        <f>I12</f>
        <v>10</v>
      </c>
      <c r="D28" s="31">
        <f>H12</f>
        <v>7.7671232876712333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90</v>
      </c>
      <c r="B1" s="8"/>
      <c r="C1" s="8"/>
    </row>
    <row r="2" spans="1:13" ht="15" x14ac:dyDescent="0.25">
      <c r="A2" s="8" t="str">
        <f>TEXT(A1,"0.000")</f>
        <v>5.60</v>
      </c>
      <c r="B2" s="8" t="str">
        <f>VLOOKUP(A$2, Eixo5[], 3, FALSE)</f>
        <v>Avalie os serviços prestados pelas unidades da PROGRAD que você utilizou em 2021: [Coordenação de Atividades Formativas e Estágios – COAFE]</v>
      </c>
    </row>
    <row r="3" spans="1:13" ht="15" x14ac:dyDescent="0.25">
      <c r="A3" s="8" t="s">
        <v>306</v>
      </c>
      <c r="B3" s="8" t="str">
        <f>VLOOKUP(A$2, Eixo5[], 4, FALSE)</f>
        <v>Eixo 5: questão 60</v>
      </c>
    </row>
    <row r="5" spans="1:13" ht="15" x14ac:dyDescent="0.25">
      <c r="B5" s="9" t="s">
        <v>307</v>
      </c>
      <c r="C5" s="9" t="s">
        <v>308</v>
      </c>
      <c r="D5" s="9" t="s">
        <v>309</v>
      </c>
      <c r="E5" s="9" t="s">
        <v>310</v>
      </c>
      <c r="F5" s="10" t="s">
        <v>311</v>
      </c>
      <c r="G5" s="10" t="s">
        <v>312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313</v>
      </c>
      <c r="B6" s="8" t="s">
        <v>314</v>
      </c>
      <c r="C6" s="8">
        <f>COUNTIF(Resp5[],"tecnico")-SUM(C$7:C$11)</f>
        <v>746</v>
      </c>
      <c r="D6" s="8">
        <f>COUNTIF(Resp5[],"docente")-SUM(D$7:D$11)</f>
        <v>436</v>
      </c>
      <c r="E6" s="11">
        <f>E12-SUM(E7:E11)</f>
        <v>1182</v>
      </c>
      <c r="F6" s="14">
        <f>ROUND($E6/E$12*100,2)</f>
        <v>84.01</v>
      </c>
      <c r="G6" s="14"/>
      <c r="J6" s="29"/>
    </row>
    <row r="7" spans="1:13" ht="15" x14ac:dyDescent="0.25">
      <c r="B7" s="8" t="s">
        <v>244</v>
      </c>
      <c r="C7" s="11">
        <f>COUNTIFS(Resp5[Vínculo],"tecnico",Resp5[5.60],B7)</f>
        <v>42</v>
      </c>
      <c r="D7" s="11">
        <f>COUNTIFS(Resp5[Vínculo],"docente",Resp5[5.60],B7)</f>
        <v>44</v>
      </c>
      <c r="E7" s="11">
        <f>COUNTIF(Resp5[5.60],B7)</f>
        <v>86</v>
      </c>
      <c r="F7" s="14">
        <f t="shared" ref="F7:F12" si="0">ROUND($E7/E$12*100,2)</f>
        <v>6.11</v>
      </c>
      <c r="G7" s="14">
        <f>ROUND($E7/SUM($E$7:$E$11)*100,3)</f>
        <v>38.222000000000001</v>
      </c>
      <c r="H7">
        <f>E7*10</f>
        <v>860</v>
      </c>
      <c r="J7" s="14">
        <f>E11/SUM(E7:E11)</f>
        <v>0.04</v>
      </c>
      <c r="M7" s="17"/>
    </row>
    <row r="8" spans="1:13" ht="15" x14ac:dyDescent="0.25">
      <c r="B8" s="8" t="s">
        <v>239</v>
      </c>
      <c r="C8" s="11">
        <f>COUNTIFS(Resp5[Vínculo],"tecnico",Resp5[5.60],B8)</f>
        <v>31</v>
      </c>
      <c r="D8" s="11">
        <f>COUNTIFS(Resp5[Vínculo],"docente",Resp5[5.60],B8)</f>
        <v>53</v>
      </c>
      <c r="E8" s="11">
        <f>COUNTIF(Resp5[5.60],B8)</f>
        <v>84</v>
      </c>
      <c r="F8" s="14">
        <f t="shared" si="0"/>
        <v>5.97</v>
      </c>
      <c r="G8" s="14">
        <f>ROUND($E8/SUM($E$7:$E$11)*100,3)</f>
        <v>37.332999999999998</v>
      </c>
      <c r="H8">
        <f>E8*8</f>
        <v>672</v>
      </c>
      <c r="J8" s="14">
        <f>(E11+E10)/SUM(E7:E11)</f>
        <v>8.8888888888888892E-2</v>
      </c>
      <c r="M8" s="17"/>
    </row>
    <row r="9" spans="1:13" ht="15" x14ac:dyDescent="0.25">
      <c r="B9" s="8" t="s">
        <v>237</v>
      </c>
      <c r="C9" s="11">
        <f>COUNTIFS(Resp5[Vínculo],"tecnico",Resp5[5.60],B9)</f>
        <v>9</v>
      </c>
      <c r="D9" s="11">
        <f>COUNTIFS(Resp5[Vínculo],"docente",Resp5[5.60],B9)</f>
        <v>26</v>
      </c>
      <c r="E9" s="11">
        <f>COUNTIF(Resp5[5.60],B9)</f>
        <v>35</v>
      </c>
      <c r="F9" s="14">
        <f t="shared" si="0"/>
        <v>2.4900000000000002</v>
      </c>
      <c r="G9" s="14">
        <f>ROUND($E9/SUM($E$7:$E$11)*100,3)</f>
        <v>15.555999999999999</v>
      </c>
      <c r="H9">
        <f>E9*6</f>
        <v>210</v>
      </c>
      <c r="J9" s="14">
        <f>(E11+E10+E9)/SUM(E7:E11)</f>
        <v>0.24444444444444444</v>
      </c>
      <c r="M9" s="17"/>
    </row>
    <row r="10" spans="1:13" ht="15" x14ac:dyDescent="0.25">
      <c r="B10" s="8" t="s">
        <v>242</v>
      </c>
      <c r="C10" s="11">
        <f>COUNTIFS(Resp5[Vínculo],"tecnico",Resp5[5.60],B10)</f>
        <v>3</v>
      </c>
      <c r="D10" s="11">
        <f>COUNTIFS(Resp5[Vínculo],"docente",Resp5[5.60],B10)</f>
        <v>8</v>
      </c>
      <c r="E10" s="11">
        <f>COUNTIF(Resp5[5.60],B10)</f>
        <v>11</v>
      </c>
      <c r="F10" s="14">
        <f t="shared" si="0"/>
        <v>0.78</v>
      </c>
      <c r="G10" s="14">
        <f>ROUND($E10/SUM($E$7:$E$11)*100,3)</f>
        <v>4.8890000000000002</v>
      </c>
      <c r="H10">
        <f>E10*4</f>
        <v>44</v>
      </c>
      <c r="J10" s="14">
        <f>(E11+E10+E9+E8)/SUM(E7:E11)</f>
        <v>0.61777777777777776</v>
      </c>
      <c r="M10" s="17"/>
    </row>
    <row r="11" spans="1:13" ht="15" x14ac:dyDescent="0.25">
      <c r="B11" s="16" t="s">
        <v>241</v>
      </c>
      <c r="C11" s="11">
        <f>COUNTIFS(Resp5[Vínculo],"tecnico",Resp5[5.60],B11)</f>
        <v>2</v>
      </c>
      <c r="D11" s="11">
        <f>COUNTIFS(Resp5[Vínculo],"docente",Resp5[5.60],B11)</f>
        <v>7</v>
      </c>
      <c r="E11" s="11">
        <f>COUNTIF(Resp5[5.60],B11)</f>
        <v>9</v>
      </c>
      <c r="F11" s="14">
        <f t="shared" si="0"/>
        <v>0.64</v>
      </c>
      <c r="G11" s="14">
        <f>ROUND($E11/SUM($E$7:$E$11)*100,3)</f>
        <v>4</v>
      </c>
      <c r="H11">
        <f>E11*2</f>
        <v>18</v>
      </c>
      <c r="J11" s="14">
        <f>(E11+E10+E9+E8+E7)/SUM(E7:E11)</f>
        <v>1</v>
      </c>
      <c r="M11" s="17"/>
    </row>
    <row r="12" spans="1:13" ht="15" x14ac:dyDescent="0.25">
      <c r="B12" s="8" t="s">
        <v>315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</v>
      </c>
      <c r="H12">
        <f>SUM(H7:H11)/SUM(E7:E11)</f>
        <v>8.017777777777777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316</v>
      </c>
      <c r="C15" s="21" t="s">
        <v>317</v>
      </c>
      <c r="D15" s="9" t="s">
        <v>308</v>
      </c>
      <c r="E15" s="10" t="s">
        <v>311</v>
      </c>
    </row>
    <row r="16" spans="1:13" ht="15" x14ac:dyDescent="0.25">
      <c r="B16" s="34" t="s">
        <v>318</v>
      </c>
      <c r="C16" s="34" t="s">
        <v>22</v>
      </c>
      <c r="D16" s="18">
        <f>SUM(C10:C11)</f>
        <v>5</v>
      </c>
      <c r="E16" s="19">
        <f>ROUND(D16/SUM(D$16:D$18)*100,3)</f>
        <v>5.7469999999999999</v>
      </c>
    </row>
    <row r="17" spans="2:5" ht="15" x14ac:dyDescent="0.25">
      <c r="B17" s="36" t="s">
        <v>321</v>
      </c>
      <c r="C17" s="36" t="s">
        <v>24</v>
      </c>
      <c r="D17" s="18">
        <f>C9</f>
        <v>9</v>
      </c>
      <c r="E17" s="19">
        <f>ROUND(D17/SUM(D$16:D$18)*100,3)</f>
        <v>10.345000000000001</v>
      </c>
    </row>
    <row r="18" spans="2:5" ht="15" x14ac:dyDescent="0.25">
      <c r="B18" s="39" t="s">
        <v>322</v>
      </c>
      <c r="C18" s="39" t="s">
        <v>26</v>
      </c>
      <c r="D18" s="26">
        <f>SUM(C7:C8)</f>
        <v>73</v>
      </c>
      <c r="E18" s="27">
        <f>ROUND(D18/SUM(D$16:D$18)*100,3)</f>
        <v>83.908000000000001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316</v>
      </c>
      <c r="C21" s="21" t="s">
        <v>317</v>
      </c>
      <c r="D21" s="9" t="s">
        <v>309</v>
      </c>
      <c r="E21" s="10" t="s">
        <v>311</v>
      </c>
    </row>
    <row r="22" spans="2:5" ht="15" x14ac:dyDescent="0.25">
      <c r="B22" s="34" t="s">
        <v>318</v>
      </c>
      <c r="C22" s="34" t="s">
        <v>22</v>
      </c>
      <c r="D22" s="18">
        <f>SUM(D10:D11)</f>
        <v>15</v>
      </c>
      <c r="E22" s="19">
        <f>ROUND(D22/SUM(D$22:D$24)*100,3)</f>
        <v>10.87</v>
      </c>
    </row>
    <row r="23" spans="2:5" ht="15" x14ac:dyDescent="0.25">
      <c r="B23" s="36" t="s">
        <v>321</v>
      </c>
      <c r="C23" s="36" t="s">
        <v>24</v>
      </c>
      <c r="D23" s="18">
        <f>D9</f>
        <v>26</v>
      </c>
      <c r="E23" s="19">
        <f>ROUND(D23/SUM(D$22:D$24)*100,3)</f>
        <v>18.841000000000001</v>
      </c>
    </row>
    <row r="24" spans="2:5" ht="15" x14ac:dyDescent="0.25">
      <c r="B24" s="39" t="s">
        <v>322</v>
      </c>
      <c r="C24" s="39" t="s">
        <v>26</v>
      </c>
      <c r="D24" s="26">
        <f>SUM(D7:D8)</f>
        <v>97</v>
      </c>
      <c r="E24" s="27">
        <f>ROUND(D24/SUM(D$22:D$24)*100,3)</f>
        <v>70.290000000000006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323</v>
      </c>
      <c r="C28" s="31">
        <f>I12</f>
        <v>10</v>
      </c>
      <c r="D28" s="31">
        <f>H12</f>
        <v>8.017777777777777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91</v>
      </c>
      <c r="B1" s="8"/>
      <c r="C1" s="8"/>
    </row>
    <row r="2" spans="1:13" ht="15" x14ac:dyDescent="0.25">
      <c r="A2" s="8" t="str">
        <f>TEXT(A1,"0.000")</f>
        <v>5.61</v>
      </c>
      <c r="B2" s="8" t="str">
        <f>VLOOKUP(A$2, Eixo5[], 3, FALSE)</f>
        <v>Avalie os serviços prestados pelas unidades da PROGRAD que você utilizou em 2021: [Núcleo de Concursos – NC]</v>
      </c>
    </row>
    <row r="3" spans="1:13" ht="15" x14ac:dyDescent="0.25">
      <c r="A3" s="8" t="s">
        <v>306</v>
      </c>
      <c r="B3" s="8" t="str">
        <f>VLOOKUP(A$2, Eixo5[], 4, FALSE)</f>
        <v>Eixo 5: questão 61</v>
      </c>
    </row>
    <row r="5" spans="1:13" ht="15" x14ac:dyDescent="0.25">
      <c r="B5" s="9" t="s">
        <v>307</v>
      </c>
      <c r="C5" s="9" t="s">
        <v>308</v>
      </c>
      <c r="D5" s="9" t="s">
        <v>309</v>
      </c>
      <c r="E5" s="9" t="s">
        <v>310</v>
      </c>
      <c r="F5" s="10" t="s">
        <v>311</v>
      </c>
      <c r="G5" s="10" t="s">
        <v>312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313</v>
      </c>
      <c r="B6" s="8" t="s">
        <v>314</v>
      </c>
      <c r="C6" s="8">
        <f>COUNTIF(Resp5[],"tecnico")-SUM(C$7:C$11)</f>
        <v>754</v>
      </c>
      <c r="D6" s="8">
        <f>COUNTIF(Resp5[],"docente")-SUM(D$7:D$11)</f>
        <v>495</v>
      </c>
      <c r="E6" s="11">
        <f>E12-SUM(E7:E11)</f>
        <v>1249</v>
      </c>
      <c r="F6" s="14">
        <f>ROUND($E6/E$12*100,2)</f>
        <v>88.77</v>
      </c>
      <c r="G6" s="14"/>
      <c r="J6" s="29"/>
    </row>
    <row r="7" spans="1:13" ht="15" x14ac:dyDescent="0.25">
      <c r="B7" s="8" t="s">
        <v>244</v>
      </c>
      <c r="C7" s="11">
        <f>COUNTIFS(Resp5[Vínculo],"tecnico",Resp5[5.61],B7)</f>
        <v>20</v>
      </c>
      <c r="D7" s="11">
        <f>COUNTIFS(Resp5[Vínculo],"docente",Resp5[5.61],B7)</f>
        <v>15</v>
      </c>
      <c r="E7" s="11">
        <f>COUNTIF(Resp5[5.61],B7)</f>
        <v>35</v>
      </c>
      <c r="F7" s="14">
        <f t="shared" ref="F7:F12" si="0">ROUND($E7/E$12*100,2)</f>
        <v>2.4900000000000002</v>
      </c>
      <c r="G7" s="14">
        <f>ROUND($E7/SUM($E$7:$E$11)*100,3)</f>
        <v>22.152000000000001</v>
      </c>
      <c r="H7">
        <f>E7*10</f>
        <v>350</v>
      </c>
      <c r="J7" s="14">
        <f>E11/SUM(E7:E11)</f>
        <v>0.21518987341772153</v>
      </c>
      <c r="M7" s="17"/>
    </row>
    <row r="8" spans="1:13" ht="15" x14ac:dyDescent="0.25">
      <c r="B8" s="8" t="s">
        <v>239</v>
      </c>
      <c r="C8" s="11">
        <f>COUNTIFS(Resp5[Vínculo],"tecnico",Resp5[5.61],B8)</f>
        <v>23</v>
      </c>
      <c r="D8" s="11">
        <f>COUNTIFS(Resp5[Vínculo],"docente",Resp5[5.61],B8)</f>
        <v>20</v>
      </c>
      <c r="E8" s="11">
        <f>COUNTIF(Resp5[5.61],B8)</f>
        <v>43</v>
      </c>
      <c r="F8" s="14">
        <f t="shared" si="0"/>
        <v>3.06</v>
      </c>
      <c r="G8" s="14">
        <f>ROUND($E8/SUM($E$7:$E$11)*100,3)</f>
        <v>27.215</v>
      </c>
      <c r="H8">
        <f>E8*8</f>
        <v>344</v>
      </c>
      <c r="J8" s="14">
        <f>(E11+E10)/SUM(E7:E11)</f>
        <v>0.31645569620253167</v>
      </c>
      <c r="M8" s="17"/>
    </row>
    <row r="9" spans="1:13" ht="15" x14ac:dyDescent="0.25">
      <c r="B9" s="8" t="s">
        <v>237</v>
      </c>
      <c r="C9" s="11">
        <f>COUNTIFS(Resp5[Vínculo],"tecnico",Resp5[5.61],B9)</f>
        <v>17</v>
      </c>
      <c r="D9" s="11">
        <f>COUNTIFS(Resp5[Vínculo],"docente",Resp5[5.61],B9)</f>
        <v>13</v>
      </c>
      <c r="E9" s="11">
        <f>COUNTIF(Resp5[5.61],B9)</f>
        <v>30</v>
      </c>
      <c r="F9" s="14">
        <f t="shared" si="0"/>
        <v>2.13</v>
      </c>
      <c r="G9" s="14">
        <f>ROUND($E9/SUM($E$7:$E$11)*100,3)</f>
        <v>18.986999999999998</v>
      </c>
      <c r="H9">
        <f>E9*6</f>
        <v>180</v>
      </c>
      <c r="J9" s="14">
        <f>(E11+E10+E9)/SUM(E7:E11)</f>
        <v>0.50632911392405067</v>
      </c>
      <c r="M9" s="17"/>
    </row>
    <row r="10" spans="1:13" ht="15" x14ac:dyDescent="0.25">
      <c r="B10" s="8" t="s">
        <v>242</v>
      </c>
      <c r="C10" s="11">
        <f>COUNTIFS(Resp5[Vínculo],"tecnico",Resp5[5.61],B10)</f>
        <v>3</v>
      </c>
      <c r="D10" s="11">
        <f>COUNTIFS(Resp5[Vínculo],"docente",Resp5[5.61],B10)</f>
        <v>13</v>
      </c>
      <c r="E10" s="11">
        <f>COUNTIF(Resp5[5.61],B10)</f>
        <v>16</v>
      </c>
      <c r="F10" s="14">
        <f t="shared" si="0"/>
        <v>1.1399999999999999</v>
      </c>
      <c r="G10" s="14">
        <f>ROUND($E10/SUM($E$7:$E$11)*100,3)</f>
        <v>10.127000000000001</v>
      </c>
      <c r="H10">
        <f>E10*4</f>
        <v>64</v>
      </c>
      <c r="J10" s="14">
        <f>(E11+E10+E9+E8)/SUM(E7:E11)</f>
        <v>0.77848101265822789</v>
      </c>
      <c r="M10" s="17"/>
    </row>
    <row r="11" spans="1:13" ht="15" x14ac:dyDescent="0.25">
      <c r="B11" s="16" t="s">
        <v>241</v>
      </c>
      <c r="C11" s="11">
        <f>COUNTIFS(Resp5[Vínculo],"tecnico",Resp5[5.61],B11)</f>
        <v>16</v>
      </c>
      <c r="D11" s="11">
        <f>COUNTIFS(Resp5[Vínculo],"docente",Resp5[5.61],B11)</f>
        <v>18</v>
      </c>
      <c r="E11" s="11">
        <f>COUNTIF(Resp5[5.61],B11)</f>
        <v>34</v>
      </c>
      <c r="F11" s="14">
        <f t="shared" si="0"/>
        <v>2.42</v>
      </c>
      <c r="G11" s="14">
        <f>ROUND($E11/SUM($E$7:$E$11)*100,3)</f>
        <v>21.518999999999998</v>
      </c>
      <c r="H11">
        <f>E11*2</f>
        <v>68</v>
      </c>
      <c r="J11" s="14">
        <f>(E11+E10+E9+E8+E7)/SUM(E7:E11)</f>
        <v>1</v>
      </c>
      <c r="M11" s="17"/>
    </row>
    <row r="12" spans="1:13" ht="15" x14ac:dyDescent="0.25">
      <c r="B12" s="8" t="s">
        <v>315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</v>
      </c>
      <c r="H12">
        <f>SUM(H7:H11)/SUM(E7:E11)</f>
        <v>6.3670886075949369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6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316</v>
      </c>
      <c r="C15" s="21" t="s">
        <v>317</v>
      </c>
      <c r="D15" s="9" t="s">
        <v>308</v>
      </c>
      <c r="E15" s="10" t="s">
        <v>311</v>
      </c>
    </row>
    <row r="16" spans="1:13" ht="15" x14ac:dyDescent="0.25">
      <c r="B16" s="34" t="s">
        <v>318</v>
      </c>
      <c r="C16" s="34" t="s">
        <v>22</v>
      </c>
      <c r="D16" s="18">
        <f>SUM(C10:C11)</f>
        <v>19</v>
      </c>
      <c r="E16" s="19">
        <f>ROUND(D16/SUM(D$16:D$18)*100,3)</f>
        <v>24.050999999999998</v>
      </c>
    </row>
    <row r="17" spans="2:5" ht="15" x14ac:dyDescent="0.25">
      <c r="B17" s="36" t="s">
        <v>321</v>
      </c>
      <c r="C17" s="36" t="s">
        <v>24</v>
      </c>
      <c r="D17" s="18">
        <f>C9</f>
        <v>17</v>
      </c>
      <c r="E17" s="19">
        <f>ROUND(D17/SUM(D$16:D$18)*100,3)</f>
        <v>21.518999999999998</v>
      </c>
    </row>
    <row r="18" spans="2:5" ht="15" x14ac:dyDescent="0.25">
      <c r="B18" s="39" t="s">
        <v>322</v>
      </c>
      <c r="C18" s="39" t="s">
        <v>26</v>
      </c>
      <c r="D18" s="26">
        <f>SUM(C7:C8)</f>
        <v>43</v>
      </c>
      <c r="E18" s="27">
        <f>ROUND(D18/SUM(D$16:D$18)*100,3)</f>
        <v>54.43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316</v>
      </c>
      <c r="C21" s="21" t="s">
        <v>317</v>
      </c>
      <c r="D21" s="9" t="s">
        <v>309</v>
      </c>
      <c r="E21" s="10" t="s">
        <v>311</v>
      </c>
    </row>
    <row r="22" spans="2:5" ht="15" x14ac:dyDescent="0.25">
      <c r="B22" s="34" t="s">
        <v>318</v>
      </c>
      <c r="C22" s="34" t="s">
        <v>22</v>
      </c>
      <c r="D22" s="18">
        <f>SUM(D10:D11)</f>
        <v>31</v>
      </c>
      <c r="E22" s="19">
        <f>ROUND(D22/SUM(D$22:D$24)*100,3)</f>
        <v>39.241</v>
      </c>
    </row>
    <row r="23" spans="2:5" ht="15" x14ac:dyDescent="0.25">
      <c r="B23" s="36" t="s">
        <v>321</v>
      </c>
      <c r="C23" s="36" t="s">
        <v>24</v>
      </c>
      <c r="D23" s="18">
        <f>D9</f>
        <v>13</v>
      </c>
      <c r="E23" s="19">
        <f>ROUND(D23/SUM(D$22:D$24)*100,3)</f>
        <v>16.456</v>
      </c>
    </row>
    <row r="24" spans="2:5" ht="15" x14ac:dyDescent="0.25">
      <c r="B24" s="39" t="s">
        <v>322</v>
      </c>
      <c r="C24" s="39" t="s">
        <v>26</v>
      </c>
      <c r="D24" s="26">
        <f>SUM(D7:D8)</f>
        <v>35</v>
      </c>
      <c r="E24" s="27">
        <f>ROUND(D24/SUM(D$22:D$24)*100,3)</f>
        <v>44.304000000000002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323</v>
      </c>
      <c r="C28" s="31">
        <f>I12</f>
        <v>8</v>
      </c>
      <c r="D28" s="31">
        <f>H12</f>
        <v>6.3670886075949369</v>
      </c>
      <c r="E28" s="31">
        <f>J12</f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OrientaçõesInformações</vt:lpstr>
      <vt:lpstr>Eixo 5</vt:lpstr>
      <vt:lpstr>TituloQuestões</vt:lpstr>
      <vt:lpstr>Q2.06</vt:lpstr>
      <vt:lpstr>Q5.53PROGRAD</vt:lpstr>
      <vt:lpstr>Q5.54</vt:lpstr>
      <vt:lpstr>Q5.55</vt:lpstr>
      <vt:lpstr>Q5.56</vt:lpstr>
      <vt:lpstr>Q5.57</vt:lpstr>
      <vt:lpstr>Q5.58</vt:lpstr>
      <vt:lpstr>Q5.59</vt:lpstr>
      <vt:lpstr>Q5.60</vt:lpstr>
      <vt:lpstr>Q5.61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2022-01-14T17:14:06Z</dcterms:modified>
  <cp:category/>
  <cp:contentStatus/>
</cp:coreProperties>
</file>