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PROGEPE/"/>
    </mc:Choice>
  </mc:AlternateContent>
  <xr:revisionPtr revIDLastSave="6" documentId="11_58B98369B6A0237EF0DBF9DEC2653CFF7E245694" xr6:coauthVersionLast="47" xr6:coauthVersionMax="47" xr10:uidLastSave="{2B3F829B-21FB-411C-ADAD-CBCF1E393A83}"/>
  <bookViews>
    <workbookView xWindow="22650" yWindow="270" windowWidth="23970" windowHeight="14535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47PROGEPE" sheetId="53" r:id="rId5"/>
    <sheet name="Q5.48" sheetId="54" r:id="rId6"/>
    <sheet name="Q5.49" sheetId="55" r:id="rId7"/>
    <sheet name="Q5.50" sheetId="56" r:id="rId8"/>
    <sheet name="Q5.51" sheetId="57" r:id="rId9"/>
    <sheet name="Q5.52" sheetId="5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E11" i="61" l="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E8" i="58"/>
  <c r="E9" i="58"/>
  <c r="E10" i="58"/>
  <c r="E11" i="58"/>
  <c r="E7" i="58"/>
  <c r="C8" i="58"/>
  <c r="D8" i="58"/>
  <c r="C9" i="58"/>
  <c r="D17" i="58" s="1"/>
  <c r="D9" i="58"/>
  <c r="D23" i="58" s="1"/>
  <c r="C10" i="58"/>
  <c r="D10" i="58"/>
  <c r="C11" i="58"/>
  <c r="D11" i="58"/>
  <c r="D7" i="58"/>
  <c r="C7" i="58"/>
  <c r="A2" i="58"/>
  <c r="C8" i="57"/>
  <c r="D8" i="57"/>
  <c r="E8" i="57"/>
  <c r="C9" i="57"/>
  <c r="D17" i="57" s="1"/>
  <c r="D9" i="57"/>
  <c r="D23" i="57" s="1"/>
  <c r="E9" i="57"/>
  <c r="C10" i="57"/>
  <c r="D10" i="57"/>
  <c r="E10" i="57"/>
  <c r="C11" i="57"/>
  <c r="D11" i="57"/>
  <c r="E11" i="57"/>
  <c r="E7" i="57"/>
  <c r="D7" i="57"/>
  <c r="D24" i="57" s="1"/>
  <c r="C7" i="57"/>
  <c r="A2" i="57"/>
  <c r="C8" i="56"/>
  <c r="D8" i="56"/>
  <c r="E8" i="56"/>
  <c r="C9" i="56"/>
  <c r="D17" i="56" s="1"/>
  <c r="D9" i="56"/>
  <c r="D23" i="56" s="1"/>
  <c r="E9" i="56"/>
  <c r="C10" i="56"/>
  <c r="D10" i="56"/>
  <c r="E10" i="56"/>
  <c r="C11" i="56"/>
  <c r="D11" i="56"/>
  <c r="E11" i="56"/>
  <c r="E7" i="56"/>
  <c r="D7" i="56"/>
  <c r="C7" i="56"/>
  <c r="A2" i="56"/>
  <c r="C8" i="55"/>
  <c r="D8" i="55"/>
  <c r="E8" i="55"/>
  <c r="C9" i="55"/>
  <c r="D17" i="55" s="1"/>
  <c r="D9" i="55"/>
  <c r="D23" i="55" s="1"/>
  <c r="E9" i="55"/>
  <c r="C10" i="55"/>
  <c r="D10" i="55"/>
  <c r="E10" i="55"/>
  <c r="C11" i="55"/>
  <c r="D11" i="55"/>
  <c r="E11" i="55"/>
  <c r="E7" i="55"/>
  <c r="D7" i="55"/>
  <c r="C7" i="55"/>
  <c r="A2" i="55"/>
  <c r="C8" i="54"/>
  <c r="D8" i="54"/>
  <c r="E8" i="54"/>
  <c r="C9" i="54"/>
  <c r="D17" i="54" s="1"/>
  <c r="D9" i="54"/>
  <c r="D23" i="54" s="1"/>
  <c r="E9" i="54"/>
  <c r="C10" i="54"/>
  <c r="D10" i="54"/>
  <c r="E10" i="54"/>
  <c r="C11" i="54"/>
  <c r="D11" i="54"/>
  <c r="E11" i="54"/>
  <c r="E7" i="54"/>
  <c r="D7" i="54"/>
  <c r="D24" i="54" s="1"/>
  <c r="C7" i="54"/>
  <c r="A2" i="54"/>
  <c r="C8" i="53"/>
  <c r="D8" i="53"/>
  <c r="E8" i="53"/>
  <c r="E7" i="53"/>
  <c r="D7" i="53"/>
  <c r="C7" i="53"/>
  <c r="A2" i="53"/>
  <c r="D24" i="56" l="1"/>
  <c r="D22" i="57"/>
  <c r="D18" i="58"/>
  <c r="D6" i="55"/>
  <c r="D24" i="55"/>
  <c r="D6" i="53"/>
  <c r="D9" i="53" s="1"/>
  <c r="D22" i="56"/>
  <c r="C6" i="54"/>
  <c r="C12" i="54" s="1"/>
  <c r="D16" i="54"/>
  <c r="E6" i="61"/>
  <c r="F6" i="61" s="1"/>
  <c r="D23" i="61"/>
  <c r="C6" i="53"/>
  <c r="C9" i="53" s="1"/>
  <c r="E9" i="53" s="1"/>
  <c r="F7" i="53" s="1"/>
  <c r="D6" i="61"/>
  <c r="D22" i="55"/>
  <c r="D6" i="56"/>
  <c r="D12" i="56" s="1"/>
  <c r="D6" i="57"/>
  <c r="D19" i="61"/>
  <c r="D22" i="58"/>
  <c r="D24" i="58"/>
  <c r="D18" i="54"/>
  <c r="D22" i="54"/>
  <c r="D6" i="58"/>
  <c r="C6" i="61"/>
  <c r="C12" i="61" s="1"/>
  <c r="D26" i="61"/>
  <c r="D16" i="61"/>
  <c r="D6" i="54"/>
  <c r="D16" i="56"/>
  <c r="C6" i="56"/>
  <c r="D18" i="56"/>
  <c r="D16" i="55"/>
  <c r="C6" i="55"/>
  <c r="D18" i="55"/>
  <c r="D16" i="57"/>
  <c r="C6" i="57"/>
  <c r="D18" i="57"/>
  <c r="D16" i="58"/>
  <c r="C6" i="58"/>
  <c r="B3" i="61"/>
  <c r="B2" i="61"/>
  <c r="D24" i="61"/>
  <c r="D12" i="61"/>
  <c r="E12" i="61"/>
  <c r="F12" i="61" s="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B3" i="58"/>
  <c r="B2" i="58"/>
  <c r="I12" i="58"/>
  <c r="C28" i="58" s="1"/>
  <c r="J8" i="58"/>
  <c r="J7" i="58"/>
  <c r="H7" i="58"/>
  <c r="G7" i="58"/>
  <c r="H8" i="58"/>
  <c r="G8" i="58"/>
  <c r="J9" i="58"/>
  <c r="H9" i="58"/>
  <c r="G9" i="58"/>
  <c r="J10" i="58"/>
  <c r="H10" i="58"/>
  <c r="G10" i="58"/>
  <c r="J11" i="58"/>
  <c r="H11" i="58"/>
  <c r="G11" i="58"/>
  <c r="B3" i="57"/>
  <c r="B2" i="57"/>
  <c r="I12" i="57"/>
  <c r="C28" i="57" s="1"/>
  <c r="J8" i="57"/>
  <c r="J7" i="57"/>
  <c r="H7" i="57"/>
  <c r="G7" i="57"/>
  <c r="H8" i="57"/>
  <c r="G8" i="57"/>
  <c r="J9" i="57"/>
  <c r="H9" i="57"/>
  <c r="G9" i="57"/>
  <c r="J10" i="57"/>
  <c r="H10" i="57"/>
  <c r="G10" i="57"/>
  <c r="J11" i="57"/>
  <c r="H11" i="57"/>
  <c r="G11" i="57"/>
  <c r="B3" i="56"/>
  <c r="B2" i="56"/>
  <c r="I12" i="56"/>
  <c r="C28" i="56" s="1"/>
  <c r="J8" i="56"/>
  <c r="J7" i="56"/>
  <c r="H7" i="56"/>
  <c r="G7" i="56"/>
  <c r="H8" i="56"/>
  <c r="G8" i="56"/>
  <c r="J9" i="56"/>
  <c r="H9" i="56"/>
  <c r="G9" i="56"/>
  <c r="J10" i="56"/>
  <c r="H10" i="56"/>
  <c r="G10" i="56"/>
  <c r="J11" i="56"/>
  <c r="H11" i="56"/>
  <c r="G11" i="56"/>
  <c r="B3" i="55"/>
  <c r="B2" i="55"/>
  <c r="I12" i="55"/>
  <c r="C28" i="55" s="1"/>
  <c r="J8" i="55"/>
  <c r="J7" i="55"/>
  <c r="H7" i="55"/>
  <c r="G7" i="55"/>
  <c r="H8" i="55"/>
  <c r="G8" i="55"/>
  <c r="J9" i="55"/>
  <c r="H9" i="55"/>
  <c r="G9" i="55"/>
  <c r="J10" i="55"/>
  <c r="H10" i="55"/>
  <c r="G10" i="55"/>
  <c r="J11" i="55"/>
  <c r="H11" i="55"/>
  <c r="G11" i="55"/>
  <c r="B3" i="54"/>
  <c r="B2" i="54"/>
  <c r="I12" i="54"/>
  <c r="C28" i="54" s="1"/>
  <c r="J8" i="54"/>
  <c r="J7" i="54"/>
  <c r="H7" i="54"/>
  <c r="G7" i="54"/>
  <c r="H8" i="54"/>
  <c r="G8" i="54"/>
  <c r="J9" i="54"/>
  <c r="H9" i="54"/>
  <c r="G9" i="54"/>
  <c r="J10" i="54"/>
  <c r="H10" i="54"/>
  <c r="G10" i="54"/>
  <c r="J11" i="54"/>
  <c r="H11" i="54"/>
  <c r="G11" i="54"/>
  <c r="B3" i="53"/>
  <c r="B2" i="53"/>
  <c r="G7" i="53"/>
  <c r="G8" i="53"/>
  <c r="D17" i="61" l="1"/>
  <c r="F8" i="53"/>
  <c r="D12" i="58"/>
  <c r="D12" i="57"/>
  <c r="D12" i="55"/>
  <c r="D12" i="54"/>
  <c r="E17" i="61"/>
  <c r="C12" i="57"/>
  <c r="E12" i="57" s="1"/>
  <c r="E6" i="53"/>
  <c r="F6" i="53" s="1"/>
  <c r="E18" i="57"/>
  <c r="C12" i="56"/>
  <c r="E12" i="56" s="1"/>
  <c r="F7" i="56" s="1"/>
  <c r="E22" i="55"/>
  <c r="E23" i="55"/>
  <c r="E18" i="61"/>
  <c r="E17" i="54"/>
  <c r="C12" i="58"/>
  <c r="E12" i="58" s="1"/>
  <c r="E16" i="58"/>
  <c r="C12" i="55"/>
  <c r="E16" i="56"/>
  <c r="E24" i="61"/>
  <c r="E25" i="61"/>
  <c r="E16" i="61"/>
  <c r="E26" i="61"/>
  <c r="F9" i="53"/>
  <c r="E16" i="57"/>
  <c r="E23" i="58"/>
  <c r="E19" i="61"/>
  <c r="E18" i="54"/>
  <c r="E22" i="56"/>
  <c r="E23" i="56"/>
  <c r="E24" i="56"/>
  <c r="E16" i="54"/>
  <c r="E23" i="54"/>
  <c r="E12" i="54"/>
  <c r="E6" i="54" s="1"/>
  <c r="F6" i="54" s="1"/>
  <c r="E23" i="57"/>
  <c r="E23" i="61"/>
  <c r="G12" i="61"/>
  <c r="H12" i="61"/>
  <c r="D30" i="61" s="1"/>
  <c r="J12" i="61"/>
  <c r="E30" i="61" s="1"/>
  <c r="E17" i="55"/>
  <c r="E24" i="57"/>
  <c r="E22" i="54"/>
  <c r="E16" i="55"/>
  <c r="E24" i="55"/>
  <c r="E18" i="56"/>
  <c r="E17" i="57"/>
  <c r="E22" i="58"/>
  <c r="E24" i="54"/>
  <c r="E18" i="55"/>
  <c r="E17" i="56"/>
  <c r="E22" i="57"/>
  <c r="E24" i="58"/>
  <c r="G12" i="58"/>
  <c r="H12" i="58"/>
  <c r="D28" i="58" s="1"/>
  <c r="J12" i="58"/>
  <c r="E28" i="58" s="1"/>
  <c r="G12" i="57"/>
  <c r="H12" i="57"/>
  <c r="D28" i="57" s="1"/>
  <c r="J12" i="57"/>
  <c r="E28" i="57" s="1"/>
  <c r="G12" i="56"/>
  <c r="H12" i="56"/>
  <c r="D28" i="56" s="1"/>
  <c r="J12" i="56"/>
  <c r="E28" i="56" s="1"/>
  <c r="G12" i="55"/>
  <c r="H12" i="55"/>
  <c r="D28" i="55" s="1"/>
  <c r="J12" i="55"/>
  <c r="E28" i="55" s="1"/>
  <c r="G12" i="54"/>
  <c r="H12" i="54"/>
  <c r="D28" i="54" s="1"/>
  <c r="J12" i="54"/>
  <c r="E28" i="54" s="1"/>
  <c r="G9" i="53"/>
  <c r="E12" i="55" l="1"/>
  <c r="F12" i="55" s="1"/>
  <c r="E6" i="57"/>
  <c r="F6" i="57" s="1"/>
  <c r="F12" i="57"/>
  <c r="F12" i="56"/>
  <c r="F11" i="56"/>
  <c r="E6" i="56"/>
  <c r="F6" i="56" s="1"/>
  <c r="F8" i="56"/>
  <c r="F12" i="54"/>
  <c r="F10" i="58"/>
  <c r="F8" i="58"/>
  <c r="E6" i="58"/>
  <c r="F6" i="58" s="1"/>
  <c r="F11" i="58"/>
  <c r="F12" i="58"/>
  <c r="F9" i="58"/>
  <c r="E6" i="55"/>
  <c r="F6" i="55" s="1"/>
  <c r="F7" i="58"/>
  <c r="F9" i="56"/>
  <c r="F10" i="56"/>
  <c r="E18" i="58"/>
  <c r="E17" i="58"/>
  <c r="F11" i="55"/>
  <c r="F9" i="55"/>
  <c r="F7" i="55"/>
  <c r="F8" i="55"/>
  <c r="F10" i="55"/>
  <c r="F11" i="54"/>
  <c r="F9" i="54"/>
  <c r="F7" i="54"/>
  <c r="F8" i="54"/>
  <c r="F10" i="54"/>
  <c r="F7" i="57"/>
  <c r="F11" i="57"/>
  <c r="F9" i="57"/>
  <c r="F8" i="57"/>
  <c r="F10" i="57"/>
</calcChain>
</file>

<file path=xl/sharedStrings.xml><?xml version="1.0" encoding="utf-8"?>
<sst xmlns="http://schemas.openxmlformats.org/spreadsheetml/2006/main" count="288983" uniqueCount="322">
  <si>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</si>
  <si>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</si>
  <si>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</si>
  <si>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</si>
  <si>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</si>
  <si>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</si>
  <si>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</si>
  <si>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</si>
  <si>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</si>
  <si>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</si>
  <si>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</si>
  <si>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</si>
  <si>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</si>
  <si>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</si>
  <si>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</si>
  <si>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</si>
  <si>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</si>
  <si>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</si>
  <si>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</si>
  <si>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</si>
  <si>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</si>
  <si>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</si>
  <si>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</si>
  <si>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</si>
  <si>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</si>
  <si>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</si>
  <si>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</si>
  <si>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</si>
  <si>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</si>
  <si>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</si>
  <si>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</si>
  <si>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</si>
  <si>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</si>
  <si>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</si>
  <si>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</si>
  <si>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</si>
  <si>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</si>
  <si>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</si>
  <si>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</si>
  <si>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</si>
  <si>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</si>
  <si>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</si>
  <si>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</si>
  <si>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</si>
  <si>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</si>
  <si>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</si>
  <si>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</si>
  <si>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</si>
  <si>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</si>
  <si>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</si>
  <si>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</si>
  <si>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</si>
  <si>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</si>
  <si>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</si>
  <si>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</si>
  <si>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</si>
  <si>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</si>
  <si>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</si>
  <si>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</si>
  <si>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</si>
  <si>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</si>
  <si>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</si>
  <si>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</si>
  <si>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</si>
  <si>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</si>
  <si>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</si>
  <si>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</si>
  <si>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</si>
  <si>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</si>
  <si>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</si>
  <si>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</si>
  <si>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</si>
  <si>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</si>
  <si>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</si>
  <si>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</si>
  <si>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</si>
  <si>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</si>
  <si>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</si>
  <si>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</si>
  <si>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</si>
  <si>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</si>
  <si>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</si>
  <si>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</si>
  <si>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</si>
  <si>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</si>
  <si>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</si>
  <si>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</si>
  <si>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</si>
  <si>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</si>
  <si>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</si>
  <si>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</si>
  <si>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</si>
  <si>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</si>
  <si>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</si>
  <si>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</si>
  <si>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</si>
  <si>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</si>
  <si>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</si>
  <si>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</si>
  <si>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</si>
  <si>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</si>
  <si>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</si>
  <si>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</si>
  <si>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</si>
  <si>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</si>
  <si>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</si>
  <si>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</si>
  <si>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</si>
  <si>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</si>
  <si>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</si>
  <si>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</si>
  <si>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</si>
  <si>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</si>
  <si>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</si>
  <si>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</si>
  <si>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</si>
  <si>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</si>
  <si>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</si>
  <si>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</si>
  <si>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</si>
  <si>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</si>
  <si>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</si>
  <si>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</si>
  <si>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</si>
  <si>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</si>
  <si>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</si>
  <si>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</si>
  <si>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</si>
  <si>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</si>
  <si>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</si>
  <si>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</si>
  <si>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</si>
  <si>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</si>
  <si>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</si>
  <si>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</si>
  <si>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</si>
  <si>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</si>
  <si>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</si>
  <si>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</si>
  <si>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</si>
  <si>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</si>
  <si>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</si>
  <si>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</si>
  <si>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</si>
  <si>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</si>
  <si>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</si>
  <si>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</si>
  <si>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</si>
  <si>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</si>
  <si>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</si>
  <si>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</si>
  <si>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</si>
  <si>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</si>
  <si>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</si>
  <si>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</si>
  <si>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</si>
  <si>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</si>
  <si>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</si>
  <si>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</si>
  <si>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</si>
  <si>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</si>
  <si>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</si>
  <si>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</si>
  <si>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</si>
  <si>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</si>
  <si>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</si>
  <si>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</si>
  <si>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</si>
  <si>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</si>
  <si>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</si>
  <si>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</si>
  <si>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</si>
  <si>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</si>
  <si>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</si>
  <si>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</si>
  <si>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</si>
  <si>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</si>
  <si>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</si>
  <si>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</si>
  <si>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</si>
  <si>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</si>
  <si>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</si>
  <si>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</si>
  <si>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</si>
  <si>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</si>
  <si>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</si>
  <si>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</si>
  <si>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</si>
  <si>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</si>
  <si>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</si>
  <si>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</si>
  <si>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</si>
  <si>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</si>
  <si>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</si>
  <si>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</si>
  <si>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</si>
  <si>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</si>
  <si>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</si>
  <si>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</si>
  <si>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</si>
  <si>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</si>
  <si>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</si>
  <si>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</si>
  <si>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</si>
  <si>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</si>
  <si>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</si>
  <si>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</si>
  <si>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</si>
  <si>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</si>
  <si>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</si>
  <si>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</si>
  <si>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</si>
  <si>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</si>
  <si>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</si>
  <si>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</si>
  <si>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</si>
  <si>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</si>
  <si>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</si>
  <si>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</si>
  <si>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</si>
  <si>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</si>
  <si>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</si>
  <si>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</si>
  <si>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</si>
  <si>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</si>
  <si>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</si>
  <si>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</si>
  <si>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</si>
  <si>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</si>
  <si>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</si>
  <si>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</si>
  <si>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</si>
  <si>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</si>
  <si>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</si>
  <si>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</si>
  <si>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</si>
  <si>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</si>
  <si>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</si>
  <si>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</si>
  <si>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</si>
  <si>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</si>
  <si>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</si>
  <si>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</si>
  <si>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</si>
  <si>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</si>
  <si>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</si>
  <si>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</si>
  <si>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</si>
  <si>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</si>
  <si>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</si>
  <si>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</si>
  <si>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</si>
  <si>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</si>
  <si>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</si>
  <si>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</si>
  <si>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</si>
  <si>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</si>
  <si>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</si>
  <si>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</si>
  <si>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</si>
  <si>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</si>
  <si>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</si>
  <si>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</si>
  <si>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</si>
  <si>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</si>
  <si>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</si>
  <si>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</si>
  <si>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</si>
  <si>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</si>
  <si>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</si>
  <si>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</si>
  <si>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</si>
  <si>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</si>
  <si>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</si>
  <si>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</si>
  <si>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</si>
  <si>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</si>
  <si>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</si>
  <si>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</si>
  <si>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</si>
  <si>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</si>
  <si>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</si>
  <si>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>Número_Questão</t>
  </si>
  <si>
    <t>Tipo_Questão</t>
  </si>
  <si>
    <t>Título_Questão</t>
  </si>
  <si>
    <t>TítuloGráfico</t>
  </si>
  <si>
    <t>Observações</t>
  </si>
  <si>
    <t>Você utilizou as unidades e/ou serviços da Pró-reitoria de Gestão de Pessoas (PROGEPE) em 2021?</t>
  </si>
  <si>
    <t>Eixo 5: questão 47</t>
  </si>
  <si>
    <t xml:space="preserve">Avalie os serviços prestados pelas unidades da PROGEPE que você utilizou em 2021: [Direção: Central de Atendimento, TI, Apoio Administrativo, Financeiro, Almoxarifado, Assessorias] </t>
  </si>
  <si>
    <t>Eixo 5: questão 48</t>
  </si>
  <si>
    <t xml:space="preserve">Avalie os serviços prestados pelas unidades da PROGEPE que você utilizou em 2021: [Coordenadoria de Desenvolvimento de Pessoas - CDP (avaliação de desempenho, estágio probatório, análise de títulos, capacitação, qualificação)] </t>
  </si>
  <si>
    <t>Eixo 5: questão 49</t>
  </si>
  <si>
    <t xml:space="preserve">Avalie os serviços prestados pelas unidades da PROGEPE que você utilizou em 2021: [Coordenadoria de Planejamento de Pessoal - CPP (movimentação, recrutamento)] </t>
  </si>
  <si>
    <t>Eixo 5: questão 50</t>
  </si>
  <si>
    <t xml:space="preserve">Avalie os serviços prestados pelas unidades da PROGEPE que você utilizou em 2021: [Coordenadoria de Atenção Integral à Saúde do Servidor - CAISS (casas, perícia, serviço social, convênios, saúde ocupacional, segurança do trabalho)] </t>
  </si>
  <si>
    <t>Eixo 5: questão 51</t>
  </si>
  <si>
    <t xml:space="preserve">Avalie os serviços prestados pelas unidades da PROGEPE que você utilizou em 2021: [Departamento de Administração de Pessoal - DAP (processos judiciais, arquivo, benefícios, pagamento, portarias, normatização, cadastro)] </t>
  </si>
  <si>
    <t>Eixo 5: questão 52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</si>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</sst>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0" fontId="8" fillId="0" borderId="3" xfId="0" quotePrefix="1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1691D12E-8E71-4D18-9F04-67D42971988D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6341504"/>
        <c:axId val="106343040"/>
      </c:barChart>
      <c:catAx>
        <c:axId val="106341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43040"/>
        <c:crosses val="autoZero"/>
        <c:auto val="1"/>
        <c:lblAlgn val="ctr"/>
        <c:lblOffset val="100"/>
        <c:noMultiLvlLbl val="0"/>
      </c:catAx>
      <c:valAx>
        <c:axId val="106343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06341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'Q5.47PROGEPE'!$C$5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'Q5.47PROGEPE'!$B$6:$B$8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'Q5.47PROGEPE'!$C$6:$C$8</c:f>
              <c:numCache>
                <c:formatCode>General</c:formatCode>
                <c:ptCount val="3"/>
                <c:pt idx="0">
                  <c:v>0</c:v>
                </c:pt>
                <c:pt idx="1">
                  <c:v>475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39-4703-B943-BF0856B11588}"/>
            </c:ext>
          </c:extLst>
        </c:ser>
        <c:ser>
          <c:idx val="1"/>
          <c:order val="1"/>
          <c:tx>
            <c:strRef>
              <c:f>'Q5.47PROGEPE'!$D$5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'Q5.47PROGEPE'!$B$6:$B$8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'Q5.47PROGEPE'!$D$6:$D$8</c:f>
              <c:numCache>
                <c:formatCode>General</c:formatCode>
                <c:ptCount val="3"/>
                <c:pt idx="0">
                  <c:v>0</c:v>
                </c:pt>
                <c:pt idx="1">
                  <c:v>260</c:v>
                </c:pt>
                <c:pt idx="2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39-4703-B943-BF0856B11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0678784"/>
        <c:axId val="200680576"/>
      </c:barChart>
      <c:catAx>
        <c:axId val="200678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680576"/>
        <c:crosses val="autoZero"/>
        <c:auto val="1"/>
        <c:lblAlgn val="ctr"/>
        <c:lblOffset val="100"/>
        <c:noMultiLvlLbl val="0"/>
      </c:catAx>
      <c:valAx>
        <c:axId val="20068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0678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'Q5.48'!$C$6:$C$11</c:f>
              <c:numCache>
                <c:formatCode>General</c:formatCode>
                <c:ptCount val="6"/>
                <c:pt idx="0">
                  <c:v>580</c:v>
                </c:pt>
                <c:pt idx="1">
                  <c:v>87</c:v>
                </c:pt>
                <c:pt idx="2">
                  <c:v>98</c:v>
                </c:pt>
                <c:pt idx="3">
                  <c:v>38</c:v>
                </c:pt>
                <c:pt idx="4">
                  <c:v>13</c:v>
                </c:pt>
                <c:pt idx="5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F3-407B-9EA5-E1722054B8A1}"/>
            </c:ext>
          </c:extLst>
        </c:ser>
        <c:ser>
          <c:idx val="1"/>
          <c:order val="1"/>
          <c:tx>
            <c:strRef>
              <c:f>'Q5.48'!$D$5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'Q5.48'!$D$6:$D$11</c:f>
              <c:numCache>
                <c:formatCode>General</c:formatCode>
                <c:ptCount val="6"/>
                <c:pt idx="0">
                  <c:v>425</c:v>
                </c:pt>
                <c:pt idx="1">
                  <c:v>33</c:v>
                </c:pt>
                <c:pt idx="2">
                  <c:v>68</c:v>
                </c:pt>
                <c:pt idx="3">
                  <c:v>21</c:v>
                </c:pt>
                <c:pt idx="4">
                  <c:v>18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F3-407B-9EA5-E1722054B8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1071360"/>
        <c:axId val="211072896"/>
      </c:barChart>
      <c:catAx>
        <c:axId val="211071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072896"/>
        <c:crosses val="autoZero"/>
        <c:auto val="1"/>
        <c:lblAlgn val="ctr"/>
        <c:lblOffset val="100"/>
        <c:noMultiLvlLbl val="0"/>
      </c:catAx>
      <c:valAx>
        <c:axId val="2110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107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7E1-4A74-A7CE-0F6165FDB75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7E1-4A74-A7CE-0F6165FDB75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7E1-4A74-A7CE-0F6165FDB75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'Q5.48'!$D$16:$D$18</c:f>
              <c:numCache>
                <c:formatCode>General</c:formatCode>
                <c:ptCount val="3"/>
                <c:pt idx="0">
                  <c:v>30</c:v>
                </c:pt>
                <c:pt idx="1">
                  <c:v>38</c:v>
                </c:pt>
                <c:pt idx="2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E1-4A74-A7CE-0F6165FDB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627-453D-9EBB-5D9D94D70AD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627-453D-9EBB-5D9D94D70AD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627-453D-9EBB-5D9D94D70AD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'Q5.48'!$D$22:$D$24</c:f>
              <c:numCache>
                <c:formatCode>General</c:formatCode>
                <c:ptCount val="3"/>
                <c:pt idx="0">
                  <c:v>27</c:v>
                </c:pt>
                <c:pt idx="1">
                  <c:v>21</c:v>
                </c:pt>
                <c:pt idx="2">
                  <c:v>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7-453D-9EBB-5D9D94D70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'Q5.48'!$C$28:$E$28</c:f>
              <c:numCache>
                <c:formatCode>0.00</c:formatCode>
                <c:ptCount val="3"/>
                <c:pt idx="0">
                  <c:v>8</c:v>
                </c:pt>
                <c:pt idx="1">
                  <c:v>7.6069651741293534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35-4F97-B56D-D8E7C2E31A5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914176"/>
        <c:axId val="217973888"/>
      </c:lineChart>
      <c:catAx>
        <c:axId val="2169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7973888"/>
        <c:crosses val="autoZero"/>
        <c:auto val="1"/>
        <c:lblAlgn val="ctr"/>
        <c:lblOffset val="100"/>
        <c:noMultiLvlLbl val="0"/>
      </c:catAx>
      <c:valAx>
        <c:axId val="2179738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691417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49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'Q5.49'!$C$5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'Q5.49'!$C$6:$C$11</c:f>
              <c:numCache>
                <c:formatCode>General</c:formatCode>
                <c:ptCount val="6"/>
                <c:pt idx="0">
                  <c:v>500</c:v>
                </c:pt>
                <c:pt idx="1">
                  <c:v>107</c:v>
                </c:pt>
                <c:pt idx="2">
                  <c:v>135</c:v>
                </c:pt>
                <c:pt idx="3">
                  <c:v>51</c:v>
                </c:pt>
                <c:pt idx="4">
                  <c:v>18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0F-418E-B35A-E48C45DE68AE}"/>
            </c:ext>
          </c:extLst>
        </c:ser>
        <c:ser>
          <c:idx val="1"/>
          <c:order val="1"/>
          <c:tx>
            <c:strRef>
              <c:f>'Q5.49'!$D$5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'Q5.49'!$B$6:$B$11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'Q5.49'!$D$6:$D$11</c:f>
              <c:numCache>
                <c:formatCode>General</c:formatCode>
                <c:ptCount val="6"/>
                <c:pt idx="0">
                  <c:v>387</c:v>
                </c:pt>
                <c:pt idx="1">
                  <c:v>63</c:v>
                </c:pt>
                <c:pt idx="2">
                  <c:v>78</c:v>
                </c:pt>
                <c:pt idx="3">
                  <c:v>22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0F-418E-B35A-E48C45DE68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19103232"/>
        <c:axId val="219104768"/>
      </c:barChart>
      <c:catAx>
        <c:axId val="21910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104768"/>
        <c:crosses val="autoZero"/>
        <c:auto val="1"/>
        <c:lblAlgn val="ctr"/>
        <c:lblOffset val="100"/>
        <c:noMultiLvlLbl val="0"/>
      </c:catAx>
      <c:valAx>
        <c:axId val="21910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10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69-47CB-9D4F-E2E4F42AF0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69-47CB-9D4F-E2E4F42AF0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69-47CB-9D4F-E2E4F42AF0D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'Q5.49'!$C$16:$C$18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'Q5.49'!$D$16:$D$18</c:f>
              <c:numCache>
                <c:formatCode>General</c:formatCode>
                <c:ptCount val="3"/>
                <c:pt idx="0">
                  <c:v>40</c:v>
                </c:pt>
                <c:pt idx="1">
                  <c:v>51</c:v>
                </c:pt>
                <c:pt idx="2">
                  <c:v>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A69-47CB-9D4F-E2E4F42AF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21-4DEC-BB31-8FD74D14AA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21-4DEC-BB31-8FD74D14AA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21-4DEC-BB31-8FD74D14AA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'Q5.49'!$C$22:$C$24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'Q5.49'!$D$22:$D$24</c:f>
              <c:numCache>
                <c:formatCode>General</c:formatCode>
                <c:ptCount val="3"/>
                <c:pt idx="0">
                  <c:v>24</c:v>
                </c:pt>
                <c:pt idx="1">
                  <c:v>22</c:v>
                </c:pt>
                <c:pt idx="2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21-4DEC-BB31-8FD74D14A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'Q5.49'!$B$28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'Q5.49'!$C$27:$E$27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'Q5.49'!$C$28:$E$28</c:f>
              <c:numCache>
                <c:formatCode>0.00</c:formatCode>
                <c:ptCount val="3"/>
                <c:pt idx="0">
                  <c:v>8</c:v>
                </c:pt>
                <c:pt idx="1">
                  <c:v>7.7576923076923077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DC-48F3-9E58-380D1FF21C3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9211648"/>
        <c:axId val="219316992"/>
      </c:lineChart>
      <c:catAx>
        <c:axId val="21921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316992"/>
        <c:crosses val="autoZero"/>
        <c:auto val="1"/>
        <c:lblAlgn val="ctr"/>
        <c:lblOffset val="100"/>
        <c:noMultiLvlLbl val="0"/>
      </c:catAx>
      <c:valAx>
        <c:axId val="21931699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92116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'Q5.50'!$C$5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'Q5.50'!$C$6:$C$11</c:f>
              <c:numCache>
                <c:formatCode>General</c:formatCode>
                <c:ptCount val="6"/>
                <c:pt idx="0">
                  <c:v>593</c:v>
                </c:pt>
                <c:pt idx="1">
                  <c:v>88</c:v>
                </c:pt>
                <c:pt idx="2">
                  <c:v>82</c:v>
                </c:pt>
                <c:pt idx="3">
                  <c:v>34</c:v>
                </c:pt>
                <c:pt idx="4">
                  <c:v>16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7-4397-8CC1-5B46B74B6D17}"/>
            </c:ext>
          </c:extLst>
        </c:ser>
        <c:ser>
          <c:idx val="1"/>
          <c:order val="1"/>
          <c:tx>
            <c:strRef>
              <c:f>'Q5.50'!$D$5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'Q5.50'!$B$6:$B$11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'Q5.50'!$D$6:$D$11</c:f>
              <c:numCache>
                <c:formatCode>General</c:formatCode>
                <c:ptCount val="6"/>
                <c:pt idx="0">
                  <c:v>451</c:v>
                </c:pt>
                <c:pt idx="1">
                  <c:v>43</c:v>
                </c:pt>
                <c:pt idx="2">
                  <c:v>42</c:v>
                </c:pt>
                <c:pt idx="3">
                  <c:v>14</c:v>
                </c:pt>
                <c:pt idx="4">
                  <c:v>14</c:v>
                </c:pt>
                <c:pt idx="5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7-4397-8CC1-5B46B74B6D1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6882304"/>
        <c:axId val="246883840"/>
      </c:barChart>
      <c:catAx>
        <c:axId val="24688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6883840"/>
        <c:crosses val="autoZero"/>
        <c:auto val="1"/>
        <c:lblAlgn val="ctr"/>
        <c:lblOffset val="100"/>
        <c:noMultiLvlLbl val="0"/>
      </c:catAx>
      <c:valAx>
        <c:axId val="24688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4688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6C5-4600-A328-F9CA7287C0C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6C5-4600-A328-F9CA7287C0C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6C5-4600-A328-F9CA7287C0C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'Q5.50'!$C$16:$C$18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'Q5.50'!$D$16:$D$18</c:f>
              <c:numCache>
                <c:formatCode>General</c:formatCode>
                <c:ptCount val="3"/>
                <c:pt idx="0">
                  <c:v>36</c:v>
                </c:pt>
                <c:pt idx="1">
                  <c:v>34</c:v>
                </c:pt>
                <c:pt idx="2">
                  <c:v>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C5-4600-A328-F9CA7287C0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E7-435A-80E9-392ABD3D0D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E7-435A-80E9-392ABD3D0D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E7-435A-80E9-392ABD3D0D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'Q5.50'!$C$22:$C$24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'Q5.50'!$D$22:$D$24</c:f>
              <c:numCache>
                <c:formatCode>General</c:formatCode>
                <c:ptCount val="3"/>
                <c:pt idx="0">
                  <c:v>24</c:v>
                </c:pt>
                <c:pt idx="1">
                  <c:v>14</c:v>
                </c:pt>
                <c:pt idx="2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E7-435A-80E9-392ABD3D0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'Q5.50'!$B$28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'Q5.50'!$C$27:$E$27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'Q5.50'!$C$28:$E$28</c:f>
              <c:numCache>
                <c:formatCode>0.00</c:formatCode>
                <c:ptCount val="3"/>
                <c:pt idx="0">
                  <c:v>10</c:v>
                </c:pt>
                <c:pt idx="1">
                  <c:v>7.6308539944903577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69-4A9C-8A0B-BBBCABEC945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8927104"/>
        <c:axId val="328954624"/>
      </c:lineChart>
      <c:catAx>
        <c:axId val="328927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954624"/>
        <c:crosses val="autoZero"/>
        <c:auto val="1"/>
        <c:lblAlgn val="ctr"/>
        <c:lblOffset val="100"/>
        <c:noMultiLvlLbl val="0"/>
      </c:catAx>
      <c:valAx>
        <c:axId val="328954624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289271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'Q5.51'!$C$5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'Q5.51'!$C$6:$C$11</c:f>
              <c:numCache>
                <c:formatCode>General</c:formatCode>
                <c:ptCount val="6"/>
                <c:pt idx="0">
                  <c:v>580</c:v>
                </c:pt>
                <c:pt idx="1">
                  <c:v>85</c:v>
                </c:pt>
                <c:pt idx="2">
                  <c:v>83</c:v>
                </c:pt>
                <c:pt idx="3">
                  <c:v>37</c:v>
                </c:pt>
                <c:pt idx="4">
                  <c:v>28</c:v>
                </c:pt>
                <c:pt idx="5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1F-4CAD-B256-0765CB9D9E0D}"/>
            </c:ext>
          </c:extLst>
        </c:ser>
        <c:ser>
          <c:idx val="1"/>
          <c:order val="1"/>
          <c:tx>
            <c:strRef>
              <c:f>'Q5.51'!$D$5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'Q5.51'!$B$6:$B$11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'Q5.51'!$D$6:$D$11</c:f>
              <c:numCache>
                <c:formatCode>General</c:formatCode>
                <c:ptCount val="6"/>
                <c:pt idx="0">
                  <c:v>456</c:v>
                </c:pt>
                <c:pt idx="1">
                  <c:v>34</c:v>
                </c:pt>
                <c:pt idx="2">
                  <c:v>39</c:v>
                </c:pt>
                <c:pt idx="3">
                  <c:v>13</c:v>
                </c:pt>
                <c:pt idx="4">
                  <c:v>17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1F-4CAD-B256-0765CB9D9E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9245568"/>
        <c:axId val="369247360"/>
      </c:barChart>
      <c:catAx>
        <c:axId val="36924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9247360"/>
        <c:crosses val="autoZero"/>
        <c:auto val="1"/>
        <c:lblAlgn val="ctr"/>
        <c:lblOffset val="100"/>
        <c:noMultiLvlLbl val="0"/>
      </c:catAx>
      <c:valAx>
        <c:axId val="36924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924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3B-4027-90E6-B111F2F74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3B-4027-90E6-B111F2F747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B3B-4027-90E6-B111F2F74740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'Q5.51'!$C$16:$C$18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'Q5.51'!$D$16:$D$18</c:f>
              <c:numCache>
                <c:formatCode>General</c:formatCode>
                <c:ptCount val="3"/>
                <c:pt idx="0">
                  <c:v>48</c:v>
                </c:pt>
                <c:pt idx="1">
                  <c:v>37</c:v>
                </c:pt>
                <c:pt idx="2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B3B-4027-90E6-B111F2F74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9E1-4F4E-A605-FE65B912B9C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9E1-4F4E-A605-FE65B912B9C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9E1-4F4E-A605-FE65B912B9C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'Q5.51'!$C$22:$C$24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'Q5.51'!$D$22:$D$24</c:f>
              <c:numCache>
                <c:formatCode>General</c:formatCode>
                <c:ptCount val="3"/>
                <c:pt idx="0">
                  <c:v>32</c:v>
                </c:pt>
                <c:pt idx="1">
                  <c:v>13</c:v>
                </c:pt>
                <c:pt idx="2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E1-4F4E-A605-FE65B912B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'Q5.51'!$B$28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'Q5.51'!$C$27:$E$27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'Q5.51'!$C$28:$E$28</c:f>
              <c:numCache>
                <c:formatCode>0.00</c:formatCode>
                <c:ptCount val="3"/>
                <c:pt idx="0">
                  <c:v>8</c:v>
                </c:pt>
                <c:pt idx="1">
                  <c:v>7.3207547169811322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7C-4E4D-ABC4-A4AF6A7DC3C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3528064"/>
        <c:axId val="373531008"/>
      </c:lineChart>
      <c:catAx>
        <c:axId val="373528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531008"/>
        <c:crosses val="autoZero"/>
        <c:auto val="1"/>
        <c:lblAlgn val="ctr"/>
        <c:lblOffset val="100"/>
        <c:noMultiLvlLbl val="0"/>
      </c:catAx>
      <c:valAx>
        <c:axId val="37353100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352806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52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'Q5.52'!$C$5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'Q5.52'!$C$6:$C$11</c:f>
              <c:numCache>
                <c:formatCode>General</c:formatCode>
                <c:ptCount val="6"/>
                <c:pt idx="0">
                  <c:v>507</c:v>
                </c:pt>
                <c:pt idx="1">
                  <c:v>111</c:v>
                </c:pt>
                <c:pt idx="2">
                  <c:v>138</c:v>
                </c:pt>
                <c:pt idx="3">
                  <c:v>42</c:v>
                </c:pt>
                <c:pt idx="4">
                  <c:v>16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26-47EC-8281-3442CA6D5C47}"/>
            </c:ext>
          </c:extLst>
        </c:ser>
        <c:ser>
          <c:idx val="1"/>
          <c:order val="1"/>
          <c:tx>
            <c:strRef>
              <c:f>'Q5.52'!$D$5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'Q5.52'!$B$6:$B$11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'Q5.52'!$D$6:$D$11</c:f>
              <c:numCache>
                <c:formatCode>General</c:formatCode>
                <c:ptCount val="6"/>
                <c:pt idx="0">
                  <c:v>393</c:v>
                </c:pt>
                <c:pt idx="1">
                  <c:v>48</c:v>
                </c:pt>
                <c:pt idx="2">
                  <c:v>78</c:v>
                </c:pt>
                <c:pt idx="3">
                  <c:v>25</c:v>
                </c:pt>
                <c:pt idx="4">
                  <c:v>14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26-47EC-8281-3442CA6D5C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75401472"/>
        <c:axId val="375411456"/>
      </c:barChart>
      <c:catAx>
        <c:axId val="37540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411456"/>
        <c:crosses val="autoZero"/>
        <c:auto val="1"/>
        <c:lblAlgn val="ctr"/>
        <c:lblOffset val="100"/>
        <c:noMultiLvlLbl val="0"/>
      </c:catAx>
      <c:valAx>
        <c:axId val="37541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540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C13-4ED1-A1E0-F3F0E0944D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C13-4ED1-A1E0-F3F0E0944D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C13-4ED1-A1E0-F3F0E0944DD4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'Q5.52'!$C$16:$C$18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'Q5.52'!$D$16:$D$18</c:f>
              <c:numCache>
                <c:formatCode>General</c:formatCode>
                <c:ptCount val="3"/>
                <c:pt idx="0">
                  <c:v>35</c:v>
                </c:pt>
                <c:pt idx="1">
                  <c:v>42</c:v>
                </c:pt>
                <c:pt idx="2">
                  <c:v>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13-4ED1-A1E0-F3F0E0944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885-41AE-BA3E-113B13EE51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885-41AE-BA3E-113B13EE51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885-41AE-BA3E-113B13EE51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'Q5.52'!$C$22:$C$24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'Q5.52'!$D$22:$D$24</c:f>
              <c:numCache>
                <c:formatCode>General</c:formatCode>
                <c:ptCount val="3"/>
                <c:pt idx="0">
                  <c:v>30</c:v>
                </c:pt>
                <c:pt idx="1">
                  <c:v>25</c:v>
                </c:pt>
                <c:pt idx="2">
                  <c:v>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85-41AE-BA3E-113B13EE5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'Q5.52'!$B$28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'Q5.52'!$C$27:$E$27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'Q5.52'!$C$28:$E$28</c:f>
              <c:numCache>
                <c:formatCode>0.00</c:formatCode>
                <c:ptCount val="3"/>
                <c:pt idx="0">
                  <c:v>8</c:v>
                </c:pt>
                <c:pt idx="1">
                  <c:v>7.7120315581854042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C8-45CF-9DDC-FA5788E18DF4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76779904"/>
        <c:axId val="376791040"/>
      </c:lineChart>
      <c:catAx>
        <c:axId val="376779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6791040"/>
        <c:crosses val="autoZero"/>
        <c:auto val="1"/>
        <c:lblAlgn val="ctr"/>
        <c:lblOffset val="100"/>
        <c:noMultiLvlLbl val="0"/>
      </c:catAx>
      <c:valAx>
        <c:axId val="37679104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767799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590550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7BA696-4F86-481B-A597-B18A68340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FE45EC-FB6C-49D5-9446-F03E3868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861EDD4-2EDF-4D90-A830-664C03CD49BA}"/>
            </a:ext>
            <a:ext uri="{147F2762-F138-4A5C-976F-8EAC2B608ADB}">
              <a16:predDERef xmlns:a16="http://schemas.microsoft.com/office/drawing/2014/main" pred="{CAFE45EC-FB6C-49D5-9446-F03E3868E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67118D6-36C7-411E-A699-011950112410}"/>
            </a:ext>
            <a:ext uri="{147F2762-F138-4A5C-976F-8EAC2B608ADB}">
              <a16:predDERef xmlns:a16="http://schemas.microsoft.com/office/drawing/2014/main" pred="{4861EDD4-2EDF-4D90-A830-664C03CD4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136D6CF7-D8A1-41EE-9725-73C687AB5816}"/>
            </a:ext>
            <a:ext uri="{147F2762-F138-4A5C-976F-8EAC2B608ADB}">
              <a16:predDERef xmlns:a16="http://schemas.microsoft.com/office/drawing/2014/main" pred="{567118D6-36C7-411E-A699-0119501124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EA5F55F-327A-4EA9-8E45-F7A8D11F8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1CD5481B-2172-4E6C-B7C2-316275FBF0D1}"/>
            </a:ext>
            <a:ext uri="{147F2762-F138-4A5C-976F-8EAC2B608ADB}">
              <a16:predDERef xmlns:a16="http://schemas.microsoft.com/office/drawing/2014/main" pred="{0EA5F55F-327A-4EA9-8E45-F7A8D11F8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5B5BBE18-6A37-4EE9-BC36-C8EA40D93517}"/>
            </a:ext>
            <a:ext uri="{147F2762-F138-4A5C-976F-8EAC2B608ADB}">
              <a16:predDERef xmlns:a16="http://schemas.microsoft.com/office/drawing/2014/main" pred="{1CD5481B-2172-4E6C-B7C2-316275FBF0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462A7B94-FB97-488E-B120-3B181B647E6A}"/>
            </a:ext>
            <a:ext uri="{147F2762-F138-4A5C-976F-8EAC2B608ADB}">
              <a16:predDERef xmlns:a16="http://schemas.microsoft.com/office/drawing/2014/main" pred="{5B5BBE18-6A37-4EE9-BC36-C8EA40D935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6703937-2360-4E8B-9C58-A99FC095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0F50A153-FF5F-4B3E-A4F4-053272621BDC}"/>
            </a:ext>
            <a:ext uri="{147F2762-F138-4A5C-976F-8EAC2B608ADB}">
              <a16:predDERef xmlns:a16="http://schemas.microsoft.com/office/drawing/2014/main" pred="{16703937-2360-4E8B-9C58-A99FC095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E2F8CC3-26E3-44E3-A6CB-927F1B356DAA}"/>
            </a:ext>
            <a:ext uri="{147F2762-F138-4A5C-976F-8EAC2B608ADB}">
              <a16:predDERef xmlns:a16="http://schemas.microsoft.com/office/drawing/2014/main" pred="{0F50A153-FF5F-4B3E-A4F4-053272621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963CDEE-45E6-47E4-9916-35EEB1F51622}"/>
            </a:ext>
            <a:ext uri="{147F2762-F138-4A5C-976F-8EAC2B608ADB}">
              <a16:predDERef xmlns:a16="http://schemas.microsoft.com/office/drawing/2014/main" pred="{8E2F8CC3-26E3-44E3-A6CB-927F1B356D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324B68-79B1-4667-AD26-B3A80927B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D7FAF726-164B-4FD3-8BAE-22F89D8CE1D6}"/>
            </a:ext>
            <a:ext uri="{147F2762-F138-4A5C-976F-8EAC2B608ADB}">
              <a16:predDERef xmlns:a16="http://schemas.microsoft.com/office/drawing/2014/main" pred="{BE324B68-79B1-4667-AD26-B3A80927B8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62B463CE-C0F4-46F8-A81E-1D311315EA1C}"/>
            </a:ext>
            <a:ext uri="{147F2762-F138-4A5C-976F-8EAC2B608ADB}">
              <a16:predDERef xmlns:a16="http://schemas.microsoft.com/office/drawing/2014/main" pred="{D7FAF726-164B-4FD3-8BAE-22F89D8CE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7C80B8C2-B4D6-4097-9314-0C2000070704}"/>
            </a:ext>
            <a:ext uri="{147F2762-F138-4A5C-976F-8EAC2B608ADB}">
              <a16:predDERef xmlns:a16="http://schemas.microsoft.com/office/drawing/2014/main" pred="{62B463CE-C0F4-46F8-A81E-1D311315E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98538A6-AA58-4DDA-A786-A1505DA2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FB732A8B-EF67-48C7-BD5C-EE60EF98FE80}"/>
            </a:ext>
            <a:ext uri="{147F2762-F138-4A5C-976F-8EAC2B608ADB}">
              <a16:predDERef xmlns:a16="http://schemas.microsoft.com/office/drawing/2014/main" pred="{498538A6-AA58-4DDA-A786-A1505DA20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F379598-6C70-4D10-9F0D-CDB376695B02}"/>
            </a:ext>
            <a:ext uri="{147F2762-F138-4A5C-976F-8EAC2B608ADB}">
              <a16:predDERef xmlns:a16="http://schemas.microsoft.com/office/drawing/2014/main" pred="{FB732A8B-EF67-48C7-BD5C-EE60EF98FE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4DF80A8C-2EBF-4D20-B59B-0AAD6B27897A}"/>
            </a:ext>
            <a:ext uri="{147F2762-F138-4A5C-976F-8EAC2B608ADB}">
              <a16:predDERef xmlns:a16="http://schemas.microsoft.com/office/drawing/2014/main" pred="{BF379598-6C70-4D10-9F0D-CDB376695B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12" zoomScale="50" zoomScaleNormal="50" workbookViewId="0">
      <selection activeCell="H43" sqref="H43"/>
    </sheetView>
  </sheetViews>
  <sheetFormatPr defaultRowHeight="15" x14ac:dyDescent="0.2"/>
  <cols>
    <col min="1" max="1" width="9" style="41" customWidth="1"/>
    <col min="2" max="2" width="26.42578125" style="41" customWidth="1"/>
    <col min="3" max="3" width="19.28515625" style="41" customWidth="1"/>
    <col min="4" max="4" width="25.85546875" style="41" customWidth="1"/>
    <col min="5" max="5" width="33" style="41" customWidth="1"/>
    <col min="6" max="6" width="26.42578125" style="41" customWidth="1"/>
    <col min="7" max="7" width="34" style="41" customWidth="1"/>
    <col min="8" max="8" width="11.85546875" style="41" customWidth="1"/>
    <col min="9" max="9" width="26.42578125" style="41" customWidth="1"/>
    <col min="10" max="10" width="37.140625" style="41" customWidth="1"/>
    <col min="11" max="16384" width="9.140625" style="41"/>
  </cols>
  <sheetData>
    <row r="1" spans="1:15" ht="15.75" x14ac:dyDescent="0.25">
      <c r="A1" s="40" t="s">
        <v>0</v>
      </c>
    </row>
    <row r="3" spans="1:15" ht="15.75" x14ac:dyDescent="0.25">
      <c r="A3" s="43" t="s">
        <v>1</v>
      </c>
      <c r="B3" s="43"/>
      <c r="C3" s="43"/>
      <c r="D3" s="43"/>
      <c r="E3" s="43"/>
      <c r="F3" s="43"/>
      <c r="H3" s="44"/>
      <c r="I3" s="44"/>
      <c r="J3" s="44"/>
      <c r="K3" s="45"/>
      <c r="L3" s="45"/>
      <c r="M3" s="45"/>
      <c r="N3" s="45"/>
      <c r="O3" s="45"/>
    </row>
    <row r="4" spans="1:15" x14ac:dyDescent="0.2">
      <c r="A4" s="46" t="s">
        <v>2</v>
      </c>
      <c r="B4" s="47" t="s">
        <v>3</v>
      </c>
      <c r="C4" s="63"/>
      <c r="H4" s="48"/>
      <c r="I4" s="48"/>
      <c r="J4" s="48"/>
      <c r="K4" s="48"/>
      <c r="L4" s="49"/>
      <c r="M4" s="49"/>
      <c r="N4" s="45"/>
      <c r="O4" s="45"/>
    </row>
    <row r="5" spans="1:15" x14ac:dyDescent="0.2">
      <c r="A5" s="46" t="s">
        <v>4</v>
      </c>
      <c r="B5" s="62" t="s">
        <v>5</v>
      </c>
      <c r="C5" s="42"/>
      <c r="H5" s="50"/>
      <c r="I5" s="45"/>
      <c r="J5" s="45"/>
      <c r="K5" s="45"/>
      <c r="L5" s="51"/>
      <c r="M5" s="51"/>
      <c r="N5" s="45"/>
      <c r="O5" s="45"/>
    </row>
    <row r="6" spans="1:15" x14ac:dyDescent="0.2">
      <c r="H6" s="45"/>
      <c r="I6" s="45"/>
      <c r="J6" s="45"/>
      <c r="K6" s="45"/>
      <c r="L6" s="45"/>
      <c r="M6" s="45"/>
      <c r="N6" s="45"/>
      <c r="O6" s="45"/>
    </row>
    <row r="7" spans="1:15" x14ac:dyDescent="0.2">
      <c r="A7" s="41" t="s">
        <v>6</v>
      </c>
    </row>
    <row r="8" spans="1:15" x14ac:dyDescent="0.2">
      <c r="A8" s="41" t="s">
        <v>7</v>
      </c>
    </row>
    <row r="10" spans="1:15" x14ac:dyDescent="0.2">
      <c r="A10" s="41" t="s">
        <v>8</v>
      </c>
    </row>
    <row r="11" spans="1:15" ht="100.5" customHeight="1" x14ac:dyDescent="0.2">
      <c r="A11" s="69" t="s">
        <v>9</v>
      </c>
      <c r="B11" s="69"/>
      <c r="C11" s="69"/>
      <c r="D11" s="69"/>
      <c r="E11" s="69"/>
      <c r="F11" s="69"/>
    </row>
    <row r="12" spans="1:15" x14ac:dyDescent="0.2">
      <c r="A12" s="64"/>
    </row>
    <row r="13" spans="1:15" x14ac:dyDescent="0.2">
      <c r="A13" s="44" t="s">
        <v>10</v>
      </c>
    </row>
    <row r="14" spans="1:15" s="55" customFormat="1" x14ac:dyDescent="0.2">
      <c r="A14" s="53"/>
      <c r="B14" s="71" t="s">
        <v>11</v>
      </c>
      <c r="C14" s="72"/>
      <c r="D14" s="53" t="s">
        <v>12</v>
      </c>
      <c r="E14" s="54" t="s">
        <v>13</v>
      </c>
      <c r="F14" s="49"/>
    </row>
    <row r="15" spans="1:15" x14ac:dyDescent="0.2">
      <c r="A15" s="61" t="s">
        <v>14</v>
      </c>
      <c r="B15" s="73">
        <f>COUNTIF(Resp5[Vínculo],A15)</f>
        <v>833</v>
      </c>
      <c r="C15" s="74"/>
      <c r="D15" s="56">
        <v>2019</v>
      </c>
      <c r="E15" s="57">
        <f>ROUND(B15/$D15*100,3)</f>
        <v>41.258000000000003</v>
      </c>
      <c r="F15" s="51"/>
    </row>
    <row r="16" spans="1:15" x14ac:dyDescent="0.2">
      <c r="A16" s="58" t="s">
        <v>15</v>
      </c>
      <c r="B16" s="73">
        <f>COUNTIF(Resp5[Vínculo],A16)</f>
        <v>574</v>
      </c>
      <c r="C16" s="74"/>
      <c r="D16" s="56">
        <v>2675</v>
      </c>
      <c r="E16" s="57">
        <f t="shared" ref="E16:E17" si="0">ROUND(B16/$D16*100,3)</f>
        <v>21.457999999999998</v>
      </c>
      <c r="F16" s="51"/>
    </row>
    <row r="17" spans="1:29" x14ac:dyDescent="0.2">
      <c r="A17" s="59" t="s">
        <v>16</v>
      </c>
      <c r="B17" s="73">
        <f>SUM(B15:B16)</f>
        <v>1407</v>
      </c>
      <c r="C17" s="74"/>
      <c r="D17" s="56">
        <f>SUM(D15:D16)</f>
        <v>4694</v>
      </c>
      <c r="E17" s="57">
        <f t="shared" si="0"/>
        <v>29.974</v>
      </c>
      <c r="F17" s="51"/>
    </row>
    <row r="18" spans="1:29" x14ac:dyDescent="0.2">
      <c r="A18" s="52">
        <v>1</v>
      </c>
      <c r="B18" s="70" t="s">
        <v>17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</row>
    <row r="19" spans="1:29" x14ac:dyDescent="0.2">
      <c r="A19" s="52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</row>
    <row r="20" spans="1:29" x14ac:dyDescent="0.2">
      <c r="A20" s="52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</row>
    <row r="21" spans="1:29" x14ac:dyDescent="0.2">
      <c r="A21" s="41" t="s">
        <v>18</v>
      </c>
    </row>
    <row r="22" spans="1:29" ht="39.75" customHeight="1" x14ac:dyDescent="0.2">
      <c r="A22" s="69" t="s">
        <v>19</v>
      </c>
      <c r="B22" s="69"/>
      <c r="C22" s="69"/>
      <c r="D22" s="69"/>
      <c r="E22" s="69"/>
      <c r="F22" s="69"/>
      <c r="G22" s="69"/>
      <c r="H22" s="69"/>
      <c r="I22" s="69"/>
    </row>
    <row r="23" spans="1:29" x14ac:dyDescent="0.2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</row>
    <row r="24" spans="1:29" ht="15.75" x14ac:dyDescent="0.25">
      <c r="A24" s="85" t="s">
        <v>20</v>
      </c>
      <c r="B24" s="85"/>
      <c r="C24"/>
      <c r="D24" s="86" t="s">
        <v>5</v>
      </c>
      <c r="E24" s="87"/>
      <c r="F24" s="76"/>
      <c r="G24" s="76"/>
      <c r="H24" s="76"/>
      <c r="I24" s="77"/>
      <c r="J24" s="76"/>
      <c r="K24" s="76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</row>
    <row r="25" spans="1:29" ht="15.75" x14ac:dyDescent="0.25">
      <c r="A25" s="88" t="s">
        <v>21</v>
      </c>
      <c r="B25" s="88"/>
      <c r="C25"/>
      <c r="D25" s="89" t="s">
        <v>22</v>
      </c>
      <c r="E25" s="89" t="s">
        <v>319</v>
      </c>
      <c r="F25" s="77"/>
      <c r="G25" s="76"/>
      <c r="H25" s="76"/>
      <c r="I25" s="79"/>
      <c r="J25" s="79"/>
      <c r="K25" s="76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</row>
    <row r="26" spans="1:29" ht="15.75" x14ac:dyDescent="0.25">
      <c r="A26" s="88" t="s">
        <v>23</v>
      </c>
      <c r="B26" s="88"/>
      <c r="C26"/>
      <c r="D26" s="90" t="s">
        <v>24</v>
      </c>
      <c r="E26" s="91" t="s">
        <v>25</v>
      </c>
      <c r="F26" s="79"/>
      <c r="G26" s="79"/>
      <c r="H26" s="76"/>
      <c r="I26" s="79"/>
      <c r="J26" s="79"/>
      <c r="K26" s="76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</row>
    <row r="27" spans="1:29" ht="15.75" x14ac:dyDescent="0.25">
      <c r="A27" s="88" t="s">
        <v>320</v>
      </c>
      <c r="B27" s="88"/>
      <c r="C27"/>
      <c r="D27" s="92" t="s">
        <v>26</v>
      </c>
      <c r="E27" s="93" t="s">
        <v>321</v>
      </c>
      <c r="F27" s="79"/>
      <c r="G27" s="79"/>
      <c r="H27" s="76"/>
      <c r="I27" s="79"/>
      <c r="J27" s="79"/>
      <c r="K27" s="76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</row>
    <row r="28" spans="1:29" ht="15.75" x14ac:dyDescent="0.25">
      <c r="A28" s="88" t="s">
        <v>27</v>
      </c>
      <c r="B28" s="88"/>
      <c r="C28" s="94"/>
      <c r="D28" s="94"/>
      <c r="E28" s="95"/>
      <c r="F28" s="79"/>
      <c r="G28" s="79"/>
      <c r="H28" s="76"/>
      <c r="I28" s="79"/>
      <c r="J28" s="79"/>
      <c r="K28" s="76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</row>
    <row r="29" spans="1:29" ht="15.75" x14ac:dyDescent="0.25">
      <c r="A29" s="88" t="s">
        <v>28</v>
      </c>
      <c r="B29" s="88"/>
      <c r="C29" s="94"/>
      <c r="D29" s="94"/>
      <c r="E29" s="95"/>
      <c r="F29" s="81"/>
      <c r="G29" s="81"/>
      <c r="H29" s="76"/>
      <c r="I29" s="76"/>
      <c r="J29" s="76"/>
      <c r="K29" s="76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</row>
    <row r="30" spans="1:29" ht="15.75" x14ac:dyDescent="0.25">
      <c r="A30" s="76"/>
      <c r="B30" s="80"/>
      <c r="C30" s="81"/>
      <c r="D30" s="81"/>
      <c r="E30" s="81"/>
      <c r="F30" s="81"/>
      <c r="G30" s="81"/>
      <c r="H30" s="76"/>
      <c r="I30" s="77"/>
      <c r="J30" s="76"/>
      <c r="K30" s="76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</row>
    <row r="31" spans="1:29" ht="15.75" x14ac:dyDescent="0.25">
      <c r="A31" s="76"/>
      <c r="B31" s="80"/>
      <c r="C31" s="81"/>
      <c r="D31" s="81"/>
      <c r="E31" s="81"/>
      <c r="F31" s="81"/>
      <c r="G31" s="81"/>
      <c r="H31" s="76"/>
      <c r="I31" s="79"/>
      <c r="J31" s="79"/>
      <c r="K31" s="76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</row>
    <row r="32" spans="1:29" ht="15.75" x14ac:dyDescent="0.25">
      <c r="A32" s="76"/>
      <c r="B32" s="76"/>
      <c r="C32" s="76"/>
      <c r="D32" s="76"/>
      <c r="E32" s="76"/>
      <c r="F32" s="76"/>
      <c r="G32" s="76"/>
      <c r="H32" s="76"/>
      <c r="I32" s="79"/>
      <c r="J32" s="79"/>
      <c r="K32" s="76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</row>
    <row r="33" spans="1:29" ht="15.75" x14ac:dyDescent="0.25">
      <c r="A33" s="76"/>
      <c r="B33" s="76"/>
      <c r="C33" s="82"/>
      <c r="D33" s="82"/>
      <c r="E33" s="76"/>
      <c r="F33" s="76"/>
      <c r="G33" s="76"/>
      <c r="H33" s="76"/>
      <c r="I33" s="76"/>
      <c r="J33" s="76"/>
      <c r="K33" s="76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  <c r="AC33" s="75"/>
    </row>
    <row r="34" spans="1:29" ht="15.75" x14ac:dyDescent="0.25">
      <c r="A34" s="76"/>
      <c r="B34" s="76"/>
      <c r="C34" s="83"/>
      <c r="D34" s="84"/>
      <c r="E34" s="76"/>
      <c r="F34" s="76"/>
      <c r="G34" s="76"/>
      <c r="H34" s="76"/>
      <c r="I34" s="77"/>
      <c r="J34" s="76"/>
      <c r="K34" s="76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</row>
    <row r="35" spans="1:29" ht="15.75" x14ac:dyDescent="0.25">
      <c r="A35" s="76"/>
      <c r="B35" s="76"/>
      <c r="C35" s="83"/>
      <c r="D35" s="84"/>
      <c r="E35" s="76"/>
      <c r="F35" s="76"/>
      <c r="G35" s="76"/>
      <c r="H35" s="76"/>
      <c r="I35" s="79"/>
      <c r="J35" s="79"/>
      <c r="K35" s="76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</row>
    <row r="36" spans="1:29" ht="15.75" x14ac:dyDescent="0.25">
      <c r="A36" s="76"/>
      <c r="B36" s="76"/>
      <c r="C36" s="83"/>
      <c r="D36" s="78"/>
      <c r="E36" s="76"/>
      <c r="F36" s="76"/>
      <c r="G36" s="76"/>
      <c r="H36" s="76"/>
      <c r="I36" s="79"/>
      <c r="J36" s="79"/>
      <c r="K36" s="76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</row>
    <row r="37" spans="1:29" ht="15.75" x14ac:dyDescent="0.25">
      <c r="A37" s="76"/>
      <c r="B37" s="76"/>
      <c r="C37" s="76"/>
      <c r="D37" s="76"/>
      <c r="E37" s="76"/>
      <c r="F37" s="76"/>
      <c r="G37" s="76"/>
      <c r="H37" s="76"/>
      <c r="I37" s="75"/>
      <c r="J37" s="75"/>
      <c r="K37" s="76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  <c r="AC37" s="75"/>
    </row>
    <row r="38" spans="1:29" ht="15.75" x14ac:dyDescent="0.25">
      <c r="A38" s="76"/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</row>
    <row r="39" spans="1:29" ht="15.75" x14ac:dyDescent="0.25">
      <c r="A39" s="76"/>
      <c r="B39" s="76"/>
      <c r="C39" s="76"/>
      <c r="D39" s="76"/>
      <c r="E39" s="76"/>
      <c r="F39" s="76"/>
      <c r="G39" s="76"/>
      <c r="H39" s="76"/>
      <c r="I39" s="77"/>
      <c r="J39" s="76"/>
      <c r="K39" s="76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</row>
    <row r="40" spans="1:29" ht="15.75" x14ac:dyDescent="0.25">
      <c r="A40" s="76"/>
      <c r="B40" s="76"/>
      <c r="C40" s="76"/>
      <c r="D40" s="76"/>
      <c r="E40" s="76"/>
      <c r="F40" s="76"/>
      <c r="G40" s="76"/>
      <c r="H40" s="76"/>
      <c r="I40" s="79"/>
      <c r="J40" s="79"/>
      <c r="K40" s="76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</row>
    <row r="41" spans="1:29" ht="15.75" x14ac:dyDescent="0.25">
      <c r="A41" s="76"/>
      <c r="B41" s="76"/>
      <c r="C41" s="76"/>
      <c r="D41" s="76"/>
      <c r="E41" s="76"/>
      <c r="F41" s="76"/>
      <c r="G41" s="76"/>
      <c r="H41" s="76"/>
      <c r="I41" s="79"/>
      <c r="J41" s="79"/>
      <c r="K41" s="76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</row>
    <row r="42" spans="1:29" ht="15.75" x14ac:dyDescent="0.25">
      <c r="A42" s="76"/>
      <c r="B42" s="76"/>
      <c r="C42" s="76"/>
      <c r="D42" s="76"/>
      <c r="E42" s="76"/>
      <c r="F42" s="76"/>
      <c r="G42" s="76"/>
      <c r="H42" s="76"/>
      <c r="I42" s="79"/>
      <c r="J42" s="79"/>
      <c r="K42" s="76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</row>
    <row r="43" spans="1:29" ht="15.75" x14ac:dyDescent="0.25">
      <c r="A43" s="76"/>
      <c r="B43" s="76"/>
      <c r="C43" s="76"/>
      <c r="D43" s="76"/>
      <c r="E43" s="76"/>
      <c r="F43" s="76"/>
      <c r="G43" s="76"/>
      <c r="H43" s="76"/>
      <c r="I43" s="79"/>
      <c r="J43" s="79"/>
      <c r="K43" s="76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</row>
    <row r="44" spans="1:29" ht="15.75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</row>
    <row r="45" spans="1:29" ht="15.75" x14ac:dyDescent="0.25">
      <c r="A45" s="76"/>
      <c r="B45" s="76"/>
      <c r="C45" s="76"/>
      <c r="D45" s="76"/>
      <c r="E45" s="76"/>
      <c r="F45" s="76"/>
      <c r="G45" s="76"/>
      <c r="H45" s="76"/>
      <c r="I45" s="77"/>
      <c r="J45" s="76"/>
      <c r="K45" s="76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</row>
    <row r="46" spans="1:29" ht="15.75" x14ac:dyDescent="0.25">
      <c r="A46" s="76"/>
      <c r="B46" s="76"/>
      <c r="C46" s="76"/>
      <c r="D46" s="76"/>
      <c r="E46" s="76"/>
      <c r="F46" s="76"/>
      <c r="G46" s="76"/>
      <c r="H46" s="76"/>
      <c r="I46" s="79"/>
      <c r="J46" s="79"/>
      <c r="K46" s="76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</row>
    <row r="47" spans="1:29" ht="15.75" x14ac:dyDescent="0.25">
      <c r="A47" s="76"/>
      <c r="B47" s="76"/>
      <c r="C47" s="76"/>
      <c r="D47" s="76"/>
      <c r="E47" s="76"/>
      <c r="F47" s="76"/>
      <c r="G47" s="76"/>
      <c r="H47" s="76"/>
      <c r="I47" s="79"/>
      <c r="J47" s="79"/>
      <c r="K47" s="76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</row>
    <row r="48" spans="1:29" ht="15.75" x14ac:dyDescent="0.25">
      <c r="A48" s="60"/>
      <c r="B48" s="60"/>
      <c r="C48" s="60"/>
      <c r="D48" s="60"/>
      <c r="E48" s="60"/>
      <c r="F48" s="60"/>
      <c r="G48" s="60"/>
      <c r="H48" s="60"/>
      <c r="I48" s="67"/>
      <c r="J48" s="67"/>
      <c r="K48" s="60"/>
    </row>
    <row r="49" spans="2:11" ht="15.75" x14ac:dyDescent="0.25">
      <c r="B49" s="60"/>
      <c r="C49" s="60"/>
      <c r="D49" s="60"/>
      <c r="E49" s="60"/>
      <c r="F49" s="60"/>
      <c r="G49" s="60"/>
      <c r="H49" s="60"/>
      <c r="I49" s="68"/>
      <c r="J49" s="68"/>
    </row>
    <row r="50" spans="2:11" ht="15.75" x14ac:dyDescent="0.25">
      <c r="I50" s="65"/>
      <c r="J50" s="68"/>
    </row>
    <row r="51" spans="2:11" ht="15.75" x14ac:dyDescent="0.25">
      <c r="I51" s="66"/>
      <c r="J51" s="66"/>
      <c r="K51" s="60"/>
    </row>
    <row r="52" spans="2:11" x14ac:dyDescent="0.2">
      <c r="I52" s="68"/>
      <c r="J52" s="68"/>
    </row>
    <row r="53" spans="2:11" x14ac:dyDescent="0.2">
      <c r="I53" s="68"/>
      <c r="J53" s="68"/>
    </row>
    <row r="54" spans="2:11" x14ac:dyDescent="0.2">
      <c r="I54" s="68"/>
      <c r="J54" s="68"/>
    </row>
    <row r="55" spans="2:11" x14ac:dyDescent="0.2">
      <c r="I55" s="68"/>
      <c r="J55" s="68"/>
    </row>
    <row r="56" spans="2:11" x14ac:dyDescent="0.2">
      <c r="I56" s="68"/>
      <c r="J56" s="68"/>
    </row>
    <row r="57" spans="2:11" x14ac:dyDescent="0.2">
      <c r="I57" s="68"/>
      <c r="J57" s="68"/>
    </row>
    <row r="58" spans="2:11" x14ac:dyDescent="0.2">
      <c r="I58" s="68"/>
      <c r="J58" s="68"/>
    </row>
    <row r="59" spans="2:11" x14ac:dyDescent="0.2">
      <c r="I59" s="68"/>
      <c r="J59" s="68"/>
    </row>
    <row r="60" spans="2:11" x14ac:dyDescent="0.2">
      <c r="I60" s="68"/>
      <c r="J60" s="68"/>
    </row>
    <row r="61" spans="2:11" x14ac:dyDescent="0.2">
      <c r="I61" s="68"/>
      <c r="J61" s="68"/>
    </row>
    <row r="62" spans="2:11" x14ac:dyDescent="0.2">
      <c r="I62" s="68"/>
      <c r="J62" s="68"/>
    </row>
    <row r="63" spans="2:11" x14ac:dyDescent="0.2">
      <c r="I63" s="68"/>
      <c r="J63" s="68"/>
    </row>
    <row r="64" spans="2:11" x14ac:dyDescent="0.2">
      <c r="I64" s="68"/>
      <c r="J64" s="68"/>
    </row>
    <row r="65" spans="9:10" x14ac:dyDescent="0.2">
      <c r="I65" s="68"/>
      <c r="J65" s="68"/>
    </row>
    <row r="66" spans="9:10" x14ac:dyDescent="0.2">
      <c r="I66" s="68"/>
      <c r="J66" s="68"/>
    </row>
    <row r="67" spans="9:10" x14ac:dyDescent="0.2">
      <c r="I67" s="68"/>
      <c r="J67" s="68"/>
    </row>
    <row r="68" spans="9:10" x14ac:dyDescent="0.2">
      <c r="I68" s="68"/>
      <c r="J68" s="68"/>
    </row>
    <row r="69" spans="9:10" x14ac:dyDescent="0.2">
      <c r="I69" s="68"/>
      <c r="J69" s="68"/>
    </row>
    <row r="70" spans="9:10" x14ac:dyDescent="0.2">
      <c r="I70" s="68"/>
      <c r="J70" s="68"/>
    </row>
    <row r="71" spans="9:10" x14ac:dyDescent="0.2">
      <c r="I71" s="68"/>
      <c r="J71" s="68"/>
    </row>
    <row r="72" spans="9:10" x14ac:dyDescent="0.2">
      <c r="I72" s="68"/>
      <c r="J72" s="68"/>
    </row>
    <row r="73" spans="9:10" x14ac:dyDescent="0.2">
      <c r="I73" s="68"/>
      <c r="J73" s="68"/>
    </row>
    <row r="74" spans="9:10" x14ac:dyDescent="0.2">
      <c r="I74" s="68"/>
      <c r="J74" s="68"/>
    </row>
    <row r="75" spans="9:10" x14ac:dyDescent="0.2">
      <c r="I75" s="68"/>
      <c r="J75" s="68"/>
    </row>
    <row r="76" spans="9:10" x14ac:dyDescent="0.2">
      <c r="I76" s="68"/>
      <c r="J76" s="68"/>
    </row>
    <row r="77" spans="9:10" x14ac:dyDescent="0.2">
      <c r="I77" s="68"/>
      <c r="J77" s="68"/>
    </row>
    <row r="78" spans="9:10" x14ac:dyDescent="0.2">
      <c r="I78" s="68"/>
      <c r="J78" s="68"/>
    </row>
    <row r="79" spans="9:10" x14ac:dyDescent="0.2">
      <c r="I79" s="68"/>
      <c r="J79" s="68"/>
    </row>
    <row r="80" spans="9:10" x14ac:dyDescent="0.2">
      <c r="I80" s="68"/>
      <c r="J80" s="68"/>
    </row>
    <row r="81" spans="9:10" x14ac:dyDescent="0.2">
      <c r="I81" s="68"/>
      <c r="J81" s="68"/>
    </row>
    <row r="82" spans="9:10" x14ac:dyDescent="0.2">
      <c r="I82" s="68"/>
      <c r="J82" s="68"/>
    </row>
    <row r="83" spans="9:10" x14ac:dyDescent="0.2">
      <c r="I83" s="68"/>
      <c r="J83" s="68"/>
    </row>
    <row r="84" spans="9:10" x14ac:dyDescent="0.2">
      <c r="I84" s="68"/>
      <c r="J84" s="68"/>
    </row>
    <row r="85" spans="9:10" x14ac:dyDescent="0.2">
      <c r="I85" s="68"/>
      <c r="J85" s="68"/>
    </row>
    <row r="86" spans="9:10" x14ac:dyDescent="0.2">
      <c r="I86" s="68"/>
      <c r="J86" s="68"/>
    </row>
    <row r="87" spans="9:10" x14ac:dyDescent="0.2">
      <c r="I87" s="68"/>
      <c r="J87" s="68"/>
    </row>
    <row r="88" spans="9:10" x14ac:dyDescent="0.2">
      <c r="I88" s="68"/>
      <c r="J88" s="68"/>
    </row>
    <row r="89" spans="9:10" x14ac:dyDescent="0.2">
      <c r="I89" s="68"/>
      <c r="J89" s="68"/>
    </row>
    <row r="90" spans="9:10" x14ac:dyDescent="0.2">
      <c r="I90" s="68"/>
      <c r="J90" s="68"/>
    </row>
    <row r="91" spans="9:10" x14ac:dyDescent="0.2">
      <c r="I91" s="68"/>
      <c r="J91" s="68"/>
    </row>
    <row r="92" spans="9:10" x14ac:dyDescent="0.2">
      <c r="I92" s="68"/>
      <c r="J92" s="68"/>
    </row>
    <row r="93" spans="9:10" x14ac:dyDescent="0.2">
      <c r="I93" s="68"/>
      <c r="J93" s="68"/>
    </row>
    <row r="94" spans="9:10" x14ac:dyDescent="0.2">
      <c r="I94" s="68"/>
      <c r="J94" s="68"/>
    </row>
    <row r="95" spans="9:10" x14ac:dyDescent="0.2">
      <c r="I95" s="68"/>
      <c r="J95" s="68"/>
    </row>
    <row r="96" spans="9:10" x14ac:dyDescent="0.2">
      <c r="I96" s="68"/>
      <c r="J96" s="68"/>
    </row>
    <row r="97" spans="9:10" x14ac:dyDescent="0.2">
      <c r="I97" s="68"/>
      <c r="J97" s="68"/>
    </row>
    <row r="98" spans="9:10" x14ac:dyDescent="0.2">
      <c r="I98" s="68"/>
      <c r="J98" s="68"/>
    </row>
    <row r="99" spans="9:10" x14ac:dyDescent="0.2">
      <c r="I99" s="68"/>
      <c r="J99" s="68"/>
    </row>
    <row r="100" spans="9:10" x14ac:dyDescent="0.2">
      <c r="I100" s="68"/>
      <c r="J100" s="68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selection activeCell="C23" sqref="C23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282</v>
      </c>
      <c r="B1" s="3" t="s">
        <v>283</v>
      </c>
      <c r="C1" s="4" t="s">
        <v>284</v>
      </c>
      <c r="D1" s="4" t="s">
        <v>285</v>
      </c>
      <c r="E1" s="4" t="s">
        <v>286</v>
      </c>
    </row>
    <row r="2" spans="1:5" ht="15" x14ac:dyDescent="0.25">
      <c r="A2" t="s">
        <v>77</v>
      </c>
      <c r="B2" t="s">
        <v>2</v>
      </c>
      <c r="C2" s="1" t="s">
        <v>287</v>
      </c>
      <c r="D2" s="5" t="s">
        <v>288</v>
      </c>
      <c r="E2" s="6" t="s">
        <v>262</v>
      </c>
    </row>
    <row r="3" spans="1:5" ht="15" x14ac:dyDescent="0.25">
      <c r="A3" t="s">
        <v>78</v>
      </c>
      <c r="B3" s="1" t="s">
        <v>4</v>
      </c>
      <c r="C3" s="1" t="s">
        <v>289</v>
      </c>
      <c r="D3" s="5" t="s">
        <v>290</v>
      </c>
      <c r="E3" s="6"/>
    </row>
    <row r="4" spans="1:5" ht="15" x14ac:dyDescent="0.25">
      <c r="A4" t="s">
        <v>79</v>
      </c>
      <c r="B4" s="1" t="s">
        <v>4</v>
      </c>
      <c r="C4" s="1" t="s">
        <v>291</v>
      </c>
      <c r="D4" s="5" t="s">
        <v>292</v>
      </c>
      <c r="E4" s="6"/>
    </row>
    <row r="5" spans="1:5" ht="15" x14ac:dyDescent="0.25">
      <c r="A5" t="s">
        <v>80</v>
      </c>
      <c r="B5" s="1" t="s">
        <v>4</v>
      </c>
      <c r="C5" s="1" t="s">
        <v>293</v>
      </c>
      <c r="D5" s="5" t="s">
        <v>294</v>
      </c>
      <c r="E5" s="6"/>
    </row>
    <row r="6" spans="1:5" ht="15" x14ac:dyDescent="0.25">
      <c r="A6" t="s">
        <v>81</v>
      </c>
      <c r="B6" s="1" t="s">
        <v>4</v>
      </c>
      <c r="C6" s="1" t="s">
        <v>295</v>
      </c>
      <c r="D6" s="5" t="s">
        <v>296</v>
      </c>
      <c r="E6" s="6"/>
    </row>
    <row r="7" spans="1:5" ht="15" x14ac:dyDescent="0.25">
      <c r="A7" t="s">
        <v>82</v>
      </c>
      <c r="B7" s="1" t="s">
        <v>4</v>
      </c>
      <c r="C7" s="1" t="s">
        <v>297</v>
      </c>
      <c r="D7" s="5" t="s">
        <v>298</v>
      </c>
      <c r="E7" s="6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2" customWidth="1"/>
    <col min="2" max="2" width="23" style="32" customWidth="1"/>
    <col min="3" max="6" width="9.140625" style="32" customWidth="1"/>
    <col min="7" max="7" width="9.140625" style="33" customWidth="1"/>
    <col min="8" max="10" width="9.140625" style="32" hidden="1" customWidth="1"/>
    <col min="11" max="20" width="9.140625" style="32" customWidth="1"/>
    <col min="21" max="16384" width="9.140625" style="32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299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300</v>
      </c>
      <c r="C5" s="9" t="s">
        <v>301</v>
      </c>
      <c r="D5" s="9" t="s">
        <v>302</v>
      </c>
      <c r="E5" s="9" t="s">
        <v>303</v>
      </c>
      <c r="F5" s="10" t="s">
        <v>304</v>
      </c>
      <c r="G5" s="10" t="s">
        <v>305</v>
      </c>
      <c r="H5" t="s">
        <v>280</v>
      </c>
      <c r="I5" t="s">
        <v>279</v>
      </c>
      <c r="J5" s="22" t="s">
        <v>281</v>
      </c>
      <c r="K5"/>
      <c r="L5"/>
      <c r="M5"/>
      <c r="N5"/>
      <c r="O5"/>
    </row>
    <row r="6" spans="1:15" x14ac:dyDescent="0.25">
      <c r="A6" t="s">
        <v>306</v>
      </c>
      <c r="B6" s="8" t="s">
        <v>307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4">
        <f t="shared" ref="F6:F12" si="0">ROUND($E6/1724*100,2)</f>
        <v>88.75</v>
      </c>
      <c r="G6" s="14"/>
      <c r="H6"/>
      <c r="I6"/>
      <c r="J6" s="29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4">
        <f t="shared" si="0"/>
        <v>4.7</v>
      </c>
      <c r="G7" s="14">
        <f>ROUND($E7/SUM($E$7:$E$11)*100,3)</f>
        <v>41.753</v>
      </c>
      <c r="H7">
        <f>E7*10</f>
        <v>810</v>
      </c>
      <c r="I7"/>
      <c r="J7" s="14">
        <f>E11/SUM(E7:E11)</f>
        <v>2.5773195876288658E-2</v>
      </c>
      <c r="K7"/>
      <c r="L7"/>
      <c r="M7" s="17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4">
        <f t="shared" si="0"/>
        <v>4.6399999999999997</v>
      </c>
      <c r="G8" s="14">
        <f>ROUND($E8/SUM($E$7:$E$11)*100,3)</f>
        <v>41.237000000000002</v>
      </c>
      <c r="H8">
        <f>E8*8</f>
        <v>640</v>
      </c>
      <c r="I8"/>
      <c r="J8" s="14">
        <f>(E11+E10)/SUM(E7:E11)</f>
        <v>5.6701030927835051E-2</v>
      </c>
      <c r="K8"/>
      <c r="L8"/>
      <c r="M8" s="17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4">
        <f t="shared" si="0"/>
        <v>1.28</v>
      </c>
      <c r="G9" s="14">
        <f>ROUND($E9/SUM($E$7:$E$11)*100,3)</f>
        <v>11.34</v>
      </c>
      <c r="H9">
        <f>E9*6</f>
        <v>132</v>
      </c>
      <c r="I9"/>
      <c r="J9" s="14">
        <f>(E11+E10+E9)/SUM(E7:E11)</f>
        <v>0.17010309278350516</v>
      </c>
      <c r="K9"/>
      <c r="L9"/>
      <c r="M9" s="17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4">
        <f t="shared" si="0"/>
        <v>0.35</v>
      </c>
      <c r="G10" s="14">
        <f>ROUND($E10/SUM($E$7:$E$11)*100,3)</f>
        <v>3.093</v>
      </c>
      <c r="H10">
        <f>E10*4</f>
        <v>24</v>
      </c>
      <c r="I10"/>
      <c r="J10" s="14">
        <f>(E11+E10+E9+E8)/SUM(E7:E11)</f>
        <v>0.58247422680412375</v>
      </c>
      <c r="K10"/>
      <c r="L10"/>
      <c r="M10" s="17"/>
      <c r="N10"/>
      <c r="O10"/>
    </row>
    <row r="11" spans="1:15" x14ac:dyDescent="0.25">
      <c r="A11"/>
      <c r="B11" s="16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4">
        <f t="shared" si="0"/>
        <v>0.28999999999999998</v>
      </c>
      <c r="G11" s="14">
        <f>ROUND($E11/SUM($E$7:$E$11)*100,3)</f>
        <v>2.577</v>
      </c>
      <c r="H11">
        <f>E11*2</f>
        <v>10</v>
      </c>
      <c r="I11"/>
      <c r="J11" s="14">
        <f>(E11+E10+E9+E8+E7)/SUM(E7:E11)</f>
        <v>1</v>
      </c>
      <c r="K11"/>
      <c r="L11"/>
      <c r="M11" s="17"/>
      <c r="N11"/>
      <c r="O11"/>
    </row>
    <row r="12" spans="1:15" x14ac:dyDescent="0.25">
      <c r="A12"/>
      <c r="B12" s="8" t="s">
        <v>308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5">
        <f t="shared" si="0"/>
        <v>100</v>
      </c>
      <c r="G12" s="15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L12"/>
      <c r="M12" s="17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30"/>
      <c r="K13"/>
      <c r="L13"/>
      <c r="M13" s="17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1" t="s">
        <v>309</v>
      </c>
      <c r="C15" s="21" t="s">
        <v>310</v>
      </c>
      <c r="D15" s="9" t="s">
        <v>301</v>
      </c>
      <c r="E15" s="10" t="s">
        <v>304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4" t="s">
        <v>311</v>
      </c>
      <c r="C16" s="34" t="s">
        <v>22</v>
      </c>
      <c r="D16" s="18">
        <f>SUM(C10:C11)</f>
        <v>4</v>
      </c>
      <c r="E16" s="19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5" t="s">
        <v>312</v>
      </c>
      <c r="C17" s="35" t="s">
        <v>313</v>
      </c>
      <c r="D17" s="18">
        <f>C6</f>
        <v>767</v>
      </c>
      <c r="E17" s="19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6" t="s">
        <v>314</v>
      </c>
      <c r="C18" s="36" t="s">
        <v>24</v>
      </c>
      <c r="D18" s="18">
        <f>C9</f>
        <v>6</v>
      </c>
      <c r="E18" s="19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7" t="s">
        <v>315</v>
      </c>
      <c r="C19" s="37" t="s">
        <v>26</v>
      </c>
      <c r="D19" s="26">
        <f>SUM(C7:C8)</f>
        <v>56</v>
      </c>
      <c r="E19" s="27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20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20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1" t="s">
        <v>309</v>
      </c>
      <c r="C22" s="21" t="s">
        <v>310</v>
      </c>
      <c r="D22" s="9" t="s">
        <v>302</v>
      </c>
      <c r="E22" s="10" t="s">
        <v>304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4" t="s">
        <v>311</v>
      </c>
      <c r="C23" s="34" t="s">
        <v>22</v>
      </c>
      <c r="D23" s="18">
        <f>SUM(D10:D11)</f>
        <v>7</v>
      </c>
      <c r="E23" s="19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8" t="s">
        <v>312</v>
      </c>
      <c r="C24" s="38" t="s">
        <v>313</v>
      </c>
      <c r="D24" s="18">
        <f>D6</f>
        <v>446</v>
      </c>
      <c r="E24" s="19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6" t="s">
        <v>314</v>
      </c>
      <c r="C25" s="36" t="s">
        <v>24</v>
      </c>
      <c r="D25" s="18">
        <f>D9</f>
        <v>16</v>
      </c>
      <c r="E25" s="19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7" t="s">
        <v>315</v>
      </c>
      <c r="C26" s="37" t="s">
        <v>26</v>
      </c>
      <c r="D26" s="26">
        <f>SUM(D7:D8)</f>
        <v>105</v>
      </c>
      <c r="E26" s="27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3" t="s">
        <v>29</v>
      </c>
      <c r="C29" s="24" t="s">
        <v>279</v>
      </c>
      <c r="D29" s="25" t="s">
        <v>280</v>
      </c>
      <c r="E29" s="25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316</v>
      </c>
      <c r="C30" s="31">
        <f>I12</f>
        <v>10</v>
      </c>
      <c r="D30" s="31">
        <f>H12</f>
        <v>8.3298969072164954</v>
      </c>
      <c r="E30" s="31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F9" sqref="F9"/>
    </sheetView>
  </sheetViews>
  <sheetFormatPr defaultRowHeight="12.75" x14ac:dyDescent="0.2"/>
  <cols>
    <col min="1" max="1" width="5.85546875" customWidth="1"/>
  </cols>
  <sheetData>
    <row r="1" spans="1:7" ht="15" x14ac:dyDescent="0.25">
      <c r="A1" s="8" t="s">
        <v>77</v>
      </c>
      <c r="B1" s="8"/>
    </row>
    <row r="2" spans="1:7" ht="15" x14ac:dyDescent="0.25">
      <c r="A2" s="8" t="str">
        <f>TEXT(A1,"0.000")</f>
        <v>5.47</v>
      </c>
      <c r="B2" s="8" t="str">
        <f>VLOOKUP(A$2, Eixo5[], 3, FALSE)</f>
        <v>Você utilizou as unidades e/ou serviços da Pró-reitoria de Gestão de Pessoas (PROGEPE) em 2021?</v>
      </c>
    </row>
    <row r="3" spans="1:7" ht="15" x14ac:dyDescent="0.25">
      <c r="A3" s="8" t="s">
        <v>299</v>
      </c>
      <c r="B3" s="8" t="str">
        <f>VLOOKUP(A$2, Eixo5[], 4, FALSE)</f>
        <v>Eixo 5: questão 47</v>
      </c>
    </row>
    <row r="5" spans="1:7" ht="15" x14ac:dyDescent="0.25">
      <c r="B5" s="9" t="s">
        <v>300</v>
      </c>
      <c r="C5" s="9" t="s">
        <v>317</v>
      </c>
      <c r="D5" s="9" t="s">
        <v>302</v>
      </c>
      <c r="E5" s="9" t="s">
        <v>303</v>
      </c>
      <c r="F5" s="10" t="s">
        <v>304</v>
      </c>
      <c r="G5" s="9" t="s">
        <v>305</v>
      </c>
    </row>
    <row r="6" spans="1:7" ht="15" x14ac:dyDescent="0.25">
      <c r="B6" s="8" t="s">
        <v>318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COUNTIFS(Resp5[Vínculo],"tecnico",Resp5[5.47],B7)</f>
        <v>475</v>
      </c>
      <c r="D7" s="11">
        <f>COUNTIFS(Resp5[Vínculo],"docente",Resp5[5.47],B7)</f>
        <v>260</v>
      </c>
      <c r="E7" s="8">
        <f>COUNTIF(Resp5[5.47],B7)</f>
        <v>735</v>
      </c>
      <c r="F7" s="11">
        <f t="shared" ref="F7:F9" si="0">ROUND($E7/E$9*100,2)</f>
        <v>52.24</v>
      </c>
      <c r="G7" s="11">
        <f>ROUND($E7/SUM($E$7:$E$8)*100,2)</f>
        <v>52.24</v>
      </c>
    </row>
    <row r="8" spans="1:7" ht="15" x14ac:dyDescent="0.25">
      <c r="B8" s="8" t="s">
        <v>235</v>
      </c>
      <c r="C8" s="11">
        <f>COUNTIFS(Resp5[Vínculo],"tecnico",Resp5[5.47],B8)</f>
        <v>358</v>
      </c>
      <c r="D8" s="11">
        <f>COUNTIFS(Resp5[Vínculo],"docente",Resp5[5.47],B8)</f>
        <v>314</v>
      </c>
      <c r="E8" s="8">
        <f>COUNTIF(Resp5[5.47],B8)</f>
        <v>672</v>
      </c>
      <c r="F8" s="11">
        <f t="shared" si="0"/>
        <v>47.76</v>
      </c>
      <c r="G8" s="11">
        <f>ROUND($E8/SUM($E$7:$E$8)*100,2)</f>
        <v>47.76</v>
      </c>
    </row>
    <row r="9" spans="1:7" ht="15" x14ac:dyDescent="0.25">
      <c r="B9" s="12" t="s">
        <v>308</v>
      </c>
      <c r="C9" s="12">
        <f>SUM(C6:C8)</f>
        <v>833</v>
      </c>
      <c r="D9" s="12">
        <f>SUM(D6:D8)</f>
        <v>574</v>
      </c>
      <c r="E9" s="12">
        <f>SUM(C9:D9)</f>
        <v>1407</v>
      </c>
      <c r="F9" s="13">
        <f t="shared" si="0"/>
        <v>100</v>
      </c>
      <c r="G9" s="12">
        <f>SUM(G7:G8)</f>
        <v>100</v>
      </c>
    </row>
    <row r="17" spans="3:3" x14ac:dyDescent="0.2">
      <c r="C17" s="2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78</v>
      </c>
      <c r="B1" s="8"/>
      <c r="C1" s="8"/>
    </row>
    <row r="2" spans="1:13" ht="15" x14ac:dyDescent="0.25">
      <c r="A2" s="8" t="str">
        <f>TEXT(A1,"0.000")</f>
        <v>5.48</v>
      </c>
      <c r="B2" s="8" t="str">
        <f>VLOOKUP(A$2, Eixo5[], 3, FALSE)</f>
        <v xml:space="preserve">Avalie os serviços prestados pelas unidades da PROGEPE que você utilizou em 2021: [Direção: Central de Atendimento, TI, Apoio Administrativo, Financeiro, Almoxarifado, Assessorias] </v>
      </c>
    </row>
    <row r="3" spans="1:13" ht="15" x14ac:dyDescent="0.25">
      <c r="A3" s="8" t="s">
        <v>299</v>
      </c>
      <c r="B3" s="8" t="str">
        <f>VLOOKUP(A$2, Eixo5[], 4, FALSE)</f>
        <v>Eixo 5: questão 48</v>
      </c>
    </row>
    <row r="5" spans="1:13" ht="15" x14ac:dyDescent="0.25">
      <c r="B5" s="9" t="s">
        <v>300</v>
      </c>
      <c r="C5" s="9" t="s">
        <v>301</v>
      </c>
      <c r="D5" s="9" t="s">
        <v>302</v>
      </c>
      <c r="E5" s="9" t="s">
        <v>303</v>
      </c>
      <c r="F5" s="10" t="s">
        <v>304</v>
      </c>
      <c r="G5" s="10" t="s">
        <v>305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306</v>
      </c>
      <c r="B6" s="8" t="s">
        <v>307</v>
      </c>
      <c r="C6" s="8">
        <f>COUNTIF(Resp5[],"tecnico")-SUM(C$7:C$11)</f>
        <v>580</v>
      </c>
      <c r="D6" s="8">
        <f>COUNTIF(Resp5[],"docente")-SUM(D$7:D$11)</f>
        <v>425</v>
      </c>
      <c r="E6" s="11">
        <f>E12-SUM(E7:E11)</f>
        <v>1005</v>
      </c>
      <c r="F6" s="14">
        <f>ROUND($E6/E$12*100,2)</f>
        <v>71.430000000000007</v>
      </c>
      <c r="G6" s="14"/>
      <c r="J6" s="29"/>
    </row>
    <row r="7" spans="1:13" ht="15" x14ac:dyDescent="0.25">
      <c r="B7" s="8" t="s">
        <v>244</v>
      </c>
      <c r="C7" s="11">
        <f>COUNTIFS(Resp5[Vínculo],"tecnico",Resp5[5.48],B7)</f>
        <v>87</v>
      </c>
      <c r="D7" s="11">
        <f>COUNTIFS(Resp5[Vínculo],"docente",Resp5[5.48],B7)</f>
        <v>33</v>
      </c>
      <c r="E7" s="11">
        <f>COUNTIF(Resp5[5.48],B7)</f>
        <v>120</v>
      </c>
      <c r="F7" s="14">
        <f t="shared" ref="F7:F12" si="0">ROUND($E7/E$12*100,2)</f>
        <v>8.5299999999999994</v>
      </c>
      <c r="G7" s="14">
        <f>ROUND($E7/SUM($E$7:$E$11)*100,3)</f>
        <v>29.850999999999999</v>
      </c>
      <c r="H7">
        <f>E7*10</f>
        <v>1200</v>
      </c>
      <c r="J7" s="14">
        <f>E11/SUM(E7:E11)</f>
        <v>6.4676616915422883E-2</v>
      </c>
      <c r="M7" s="17"/>
    </row>
    <row r="8" spans="1:13" ht="15" x14ac:dyDescent="0.25">
      <c r="B8" s="8" t="s">
        <v>239</v>
      </c>
      <c r="C8" s="11">
        <f>COUNTIFS(Resp5[Vínculo],"tecnico",Resp5[5.48],B8)</f>
        <v>98</v>
      </c>
      <c r="D8" s="11">
        <f>COUNTIFS(Resp5[Vínculo],"docente",Resp5[5.48],B8)</f>
        <v>68</v>
      </c>
      <c r="E8" s="11">
        <f>COUNTIF(Resp5[5.48],B8)</f>
        <v>166</v>
      </c>
      <c r="F8" s="14">
        <f t="shared" si="0"/>
        <v>11.8</v>
      </c>
      <c r="G8" s="14">
        <f>ROUND($E8/SUM($E$7:$E$11)*100,3)</f>
        <v>41.293999999999997</v>
      </c>
      <c r="H8">
        <f>E8*8</f>
        <v>1328</v>
      </c>
      <c r="J8" s="14">
        <f>(E11+E10)/SUM(E7:E11)</f>
        <v>0.1417910447761194</v>
      </c>
      <c r="M8" s="17"/>
    </row>
    <row r="9" spans="1:13" ht="15" x14ac:dyDescent="0.25">
      <c r="B9" s="8" t="s">
        <v>237</v>
      </c>
      <c r="C9" s="11">
        <f>COUNTIFS(Resp5[Vínculo],"tecnico",Resp5[5.48],B9)</f>
        <v>38</v>
      </c>
      <c r="D9" s="11">
        <f>COUNTIFS(Resp5[Vínculo],"docente",Resp5[5.48],B9)</f>
        <v>21</v>
      </c>
      <c r="E9" s="11">
        <f>COUNTIF(Resp5[5.48],B9)</f>
        <v>59</v>
      </c>
      <c r="F9" s="14">
        <f t="shared" si="0"/>
        <v>4.1900000000000004</v>
      </c>
      <c r="G9" s="14">
        <f>ROUND($E9/SUM($E$7:$E$11)*100,3)</f>
        <v>14.677</v>
      </c>
      <c r="H9">
        <f>E9*6</f>
        <v>354</v>
      </c>
      <c r="J9" s="14">
        <f>(E11+E10+E9)/SUM(E7:E11)</f>
        <v>0.28855721393034828</v>
      </c>
      <c r="M9" s="17"/>
    </row>
    <row r="10" spans="1:13" ht="15" x14ac:dyDescent="0.25">
      <c r="B10" s="8" t="s">
        <v>242</v>
      </c>
      <c r="C10" s="11">
        <f>COUNTIFS(Resp5[Vínculo],"tecnico",Resp5[5.48],B10)</f>
        <v>13</v>
      </c>
      <c r="D10" s="11">
        <f>COUNTIFS(Resp5[Vínculo],"docente",Resp5[5.48],B10)</f>
        <v>18</v>
      </c>
      <c r="E10" s="11">
        <f>COUNTIF(Resp5[5.48],B10)</f>
        <v>31</v>
      </c>
      <c r="F10" s="14">
        <f t="shared" si="0"/>
        <v>2.2000000000000002</v>
      </c>
      <c r="G10" s="14">
        <f>ROUND($E10/SUM($E$7:$E$11)*100,3)</f>
        <v>7.7110000000000003</v>
      </c>
      <c r="H10">
        <f>E10*4</f>
        <v>124</v>
      </c>
      <c r="J10" s="14">
        <f>(E11+E10+E9+E8)/SUM(E7:E11)</f>
        <v>0.70149253731343286</v>
      </c>
      <c r="M10" s="17"/>
    </row>
    <row r="11" spans="1:13" ht="15" x14ac:dyDescent="0.25">
      <c r="B11" s="16" t="s">
        <v>241</v>
      </c>
      <c r="C11" s="11">
        <f>COUNTIFS(Resp5[Vínculo],"tecnico",Resp5[5.48],B11)</f>
        <v>17</v>
      </c>
      <c r="D11" s="11">
        <f>COUNTIFS(Resp5[Vínculo],"docente",Resp5[5.48],B11)</f>
        <v>9</v>
      </c>
      <c r="E11" s="11">
        <f>COUNTIF(Resp5[5.48],B11)</f>
        <v>26</v>
      </c>
      <c r="F11" s="14">
        <f t="shared" si="0"/>
        <v>1.85</v>
      </c>
      <c r="G11" s="14">
        <f>ROUND($E11/SUM($E$7:$E$11)*100,3)</f>
        <v>6.468</v>
      </c>
      <c r="H11">
        <f>E11*2</f>
        <v>52</v>
      </c>
      <c r="J11" s="14">
        <f>(E11+E10+E9+E8+E7)/SUM(E7:E11)</f>
        <v>1</v>
      </c>
      <c r="M11" s="17"/>
    </row>
    <row r="12" spans="1:13" ht="15" x14ac:dyDescent="0.25">
      <c r="B12" s="8" t="s">
        <v>308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100.001</v>
      </c>
      <c r="H12">
        <f>SUM(H7:H11)/SUM(E7:E11)</f>
        <v>7.6069651741293534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309</v>
      </c>
      <c r="C15" s="21" t="s">
        <v>310</v>
      </c>
      <c r="D15" s="9" t="s">
        <v>301</v>
      </c>
      <c r="E15" s="10" t="s">
        <v>304</v>
      </c>
    </row>
    <row r="16" spans="1:13" ht="15" x14ac:dyDescent="0.25">
      <c r="B16" s="34" t="s">
        <v>311</v>
      </c>
      <c r="C16" s="34" t="s">
        <v>22</v>
      </c>
      <c r="D16" s="18">
        <f>SUM(C10:C11)</f>
        <v>30</v>
      </c>
      <c r="E16" s="19">
        <f>ROUND(D16/SUM(D$16:D$18)*100,3)</f>
        <v>11.858000000000001</v>
      </c>
    </row>
    <row r="17" spans="2:5" ht="15" x14ac:dyDescent="0.25">
      <c r="B17" s="36" t="s">
        <v>314</v>
      </c>
      <c r="C17" s="36" t="s">
        <v>24</v>
      </c>
      <c r="D17" s="18">
        <f>C9</f>
        <v>38</v>
      </c>
      <c r="E17" s="19">
        <f>ROUND(D17/SUM(D$16:D$18)*100,3)</f>
        <v>15.02</v>
      </c>
    </row>
    <row r="18" spans="2:5" ht="15" x14ac:dyDescent="0.25">
      <c r="B18" s="39" t="s">
        <v>315</v>
      </c>
      <c r="C18" s="39" t="s">
        <v>26</v>
      </c>
      <c r="D18" s="26">
        <f>SUM(C7:C8)</f>
        <v>185</v>
      </c>
      <c r="E18" s="27">
        <f>ROUND(D18/SUM(D$16:D$18)*100,3)</f>
        <v>73.123000000000005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309</v>
      </c>
      <c r="C21" s="21" t="s">
        <v>310</v>
      </c>
      <c r="D21" s="9" t="s">
        <v>302</v>
      </c>
      <c r="E21" s="10" t="s">
        <v>304</v>
      </c>
    </row>
    <row r="22" spans="2:5" ht="15" x14ac:dyDescent="0.25">
      <c r="B22" s="34" t="s">
        <v>311</v>
      </c>
      <c r="C22" s="34" t="s">
        <v>22</v>
      </c>
      <c r="D22" s="18">
        <f>SUM(D10:D11)</f>
        <v>27</v>
      </c>
      <c r="E22" s="19">
        <f>ROUND(D22/SUM(D$22:D$24)*100,3)</f>
        <v>18.120999999999999</v>
      </c>
    </row>
    <row r="23" spans="2:5" ht="15" x14ac:dyDescent="0.25">
      <c r="B23" s="36" t="s">
        <v>314</v>
      </c>
      <c r="C23" s="36" t="s">
        <v>24</v>
      </c>
      <c r="D23" s="18">
        <f>D9</f>
        <v>21</v>
      </c>
      <c r="E23" s="19">
        <f>ROUND(D23/SUM(D$22:D$24)*100,3)</f>
        <v>14.093999999999999</v>
      </c>
    </row>
    <row r="24" spans="2:5" ht="15" x14ac:dyDescent="0.25">
      <c r="B24" s="39" t="s">
        <v>315</v>
      </c>
      <c r="C24" s="39" t="s">
        <v>26</v>
      </c>
      <c r="D24" s="26">
        <f>SUM(D7:D8)</f>
        <v>101</v>
      </c>
      <c r="E24" s="27">
        <f>ROUND(D24/SUM(D$22:D$24)*100,3)</f>
        <v>67.784999999999997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316</v>
      </c>
      <c r="C28" s="31">
        <f>I12</f>
        <v>8</v>
      </c>
      <c r="D28" s="31">
        <f>H12</f>
        <v>7.6069651741293534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79</v>
      </c>
      <c r="B1" s="8"/>
      <c r="C1" s="8"/>
    </row>
    <row r="2" spans="1:13" ht="15" x14ac:dyDescent="0.25">
      <c r="A2" s="8" t="str">
        <f>TEXT(A1,"0.000")</f>
        <v>5.49</v>
      </c>
      <c r="B2" s="8" t="str">
        <f>VLOOKUP(A$2, Eixo5[], 3, FALSE)</f>
        <v xml:space="preserve">Avalie os serviços prestados pelas unidades da PROGEPE que você utilizou em 2021: [Coordenadoria de Desenvolvimento de Pessoas - CDP (avaliação de desempenho, estágio probatório, análise de títulos, capacitação, qualificação)] </v>
      </c>
    </row>
    <row r="3" spans="1:13" ht="15" x14ac:dyDescent="0.25">
      <c r="A3" s="8" t="s">
        <v>299</v>
      </c>
      <c r="B3" s="8" t="str">
        <f>VLOOKUP(A$2, Eixo5[], 4, FALSE)</f>
        <v>Eixo 5: questão 49</v>
      </c>
    </row>
    <row r="5" spans="1:13" ht="15" x14ac:dyDescent="0.25">
      <c r="B5" s="9" t="s">
        <v>300</v>
      </c>
      <c r="C5" s="9" t="s">
        <v>301</v>
      </c>
      <c r="D5" s="9" t="s">
        <v>302</v>
      </c>
      <c r="E5" s="9" t="s">
        <v>303</v>
      </c>
      <c r="F5" s="10" t="s">
        <v>304</v>
      </c>
      <c r="G5" s="10" t="s">
        <v>305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306</v>
      </c>
      <c r="B6" s="8" t="s">
        <v>307</v>
      </c>
      <c r="C6" s="8">
        <f>COUNTIF(Resp5[],"tecnico")-SUM(C$7:C$11)</f>
        <v>500</v>
      </c>
      <c r="D6" s="8">
        <f>COUNTIF(Resp5[],"docente")-SUM(D$7:D$11)</f>
        <v>387</v>
      </c>
      <c r="E6" s="11">
        <f>E12-SUM(E7:E11)</f>
        <v>887</v>
      </c>
      <c r="F6" s="14">
        <f>ROUND($E6/E$12*100,2)</f>
        <v>63.04</v>
      </c>
      <c r="G6" s="14"/>
      <c r="J6" s="29"/>
    </row>
    <row r="7" spans="1:13" ht="15" x14ac:dyDescent="0.25">
      <c r="B7" s="8" t="s">
        <v>244</v>
      </c>
      <c r="C7" s="11">
        <f>COUNTIFS(Resp5[Vínculo],"tecnico",Resp5[5.49],B7)</f>
        <v>107</v>
      </c>
      <c r="D7" s="11">
        <f>COUNTIFS(Resp5[Vínculo],"docente",Resp5[5.49],B7)</f>
        <v>63</v>
      </c>
      <c r="E7" s="11">
        <f>COUNTIF(Resp5[5.49],B7)</f>
        <v>170</v>
      </c>
      <c r="F7" s="14">
        <f t="shared" ref="F7:F12" si="0">ROUND($E7/E$12*100,2)</f>
        <v>12.08</v>
      </c>
      <c r="G7" s="14">
        <f>ROUND($E7/SUM($E$7:$E$11)*100,3)</f>
        <v>32.692</v>
      </c>
      <c r="H7">
        <f>E7*10</f>
        <v>1700</v>
      </c>
      <c r="J7" s="14">
        <f>E11/SUM(E7:E11)</f>
        <v>6.1538461538461542E-2</v>
      </c>
      <c r="M7" s="17"/>
    </row>
    <row r="8" spans="1:13" ht="15" x14ac:dyDescent="0.25">
      <c r="B8" s="8" t="s">
        <v>239</v>
      </c>
      <c r="C8" s="11">
        <f>COUNTIFS(Resp5[Vínculo],"tecnico",Resp5[5.49],B8)</f>
        <v>135</v>
      </c>
      <c r="D8" s="11">
        <f>COUNTIFS(Resp5[Vínculo],"docente",Resp5[5.49],B8)</f>
        <v>78</v>
      </c>
      <c r="E8" s="11">
        <f>COUNTIF(Resp5[5.49],B8)</f>
        <v>213</v>
      </c>
      <c r="F8" s="14">
        <f t="shared" si="0"/>
        <v>15.14</v>
      </c>
      <c r="G8" s="14">
        <f>ROUND($E8/SUM($E$7:$E$11)*100,3)</f>
        <v>40.962000000000003</v>
      </c>
      <c r="H8">
        <f>E8*8</f>
        <v>1704</v>
      </c>
      <c r="J8" s="14">
        <f>(E11+E10)/SUM(E7:E11)</f>
        <v>0.12307692307692308</v>
      </c>
      <c r="M8" s="17"/>
    </row>
    <row r="9" spans="1:13" ht="15" x14ac:dyDescent="0.25">
      <c r="B9" s="8" t="s">
        <v>237</v>
      </c>
      <c r="C9" s="11">
        <f>COUNTIFS(Resp5[Vínculo],"tecnico",Resp5[5.49],B9)</f>
        <v>51</v>
      </c>
      <c r="D9" s="11">
        <f>COUNTIFS(Resp5[Vínculo],"docente",Resp5[5.49],B9)</f>
        <v>22</v>
      </c>
      <c r="E9" s="11">
        <f>COUNTIF(Resp5[5.49],B9)</f>
        <v>73</v>
      </c>
      <c r="F9" s="14">
        <f t="shared" si="0"/>
        <v>5.19</v>
      </c>
      <c r="G9" s="14">
        <f>ROUND($E9/SUM($E$7:$E$11)*100,3)</f>
        <v>14.038</v>
      </c>
      <c r="H9">
        <f>E9*6</f>
        <v>438</v>
      </c>
      <c r="J9" s="14">
        <f>(E11+E10+E9)/SUM(E7:E11)</f>
        <v>0.26346153846153847</v>
      </c>
      <c r="M9" s="17"/>
    </row>
    <row r="10" spans="1:13" ht="15" x14ac:dyDescent="0.25">
      <c r="B10" s="8" t="s">
        <v>242</v>
      </c>
      <c r="C10" s="11">
        <f>COUNTIFS(Resp5[Vínculo],"tecnico",Resp5[5.49],B10)</f>
        <v>18</v>
      </c>
      <c r="D10" s="11">
        <f>COUNTIFS(Resp5[Vínculo],"docente",Resp5[5.49],B10)</f>
        <v>14</v>
      </c>
      <c r="E10" s="11">
        <f>COUNTIF(Resp5[5.49],B10)</f>
        <v>32</v>
      </c>
      <c r="F10" s="14">
        <f t="shared" si="0"/>
        <v>2.27</v>
      </c>
      <c r="G10" s="14">
        <f>ROUND($E10/SUM($E$7:$E$11)*100,3)</f>
        <v>6.1539999999999999</v>
      </c>
      <c r="H10">
        <f>E10*4</f>
        <v>128</v>
      </c>
      <c r="J10" s="14">
        <f>(E11+E10+E9+E8)/SUM(E7:E11)</f>
        <v>0.67307692307692313</v>
      </c>
      <c r="M10" s="17"/>
    </row>
    <row r="11" spans="1:13" ht="15" x14ac:dyDescent="0.25">
      <c r="B11" s="16" t="s">
        <v>241</v>
      </c>
      <c r="C11" s="11">
        <f>COUNTIFS(Resp5[Vínculo],"tecnico",Resp5[5.49],B11)</f>
        <v>22</v>
      </c>
      <c r="D11" s="11">
        <f>COUNTIFS(Resp5[Vínculo],"docente",Resp5[5.49],B11)</f>
        <v>10</v>
      </c>
      <c r="E11" s="11">
        <f>COUNTIF(Resp5[5.49],B11)</f>
        <v>32</v>
      </c>
      <c r="F11" s="14">
        <f t="shared" si="0"/>
        <v>2.27</v>
      </c>
      <c r="G11" s="14">
        <f>ROUND($E11/SUM($E$7:$E$11)*100,3)</f>
        <v>6.1539999999999999</v>
      </c>
      <c r="H11">
        <f>E11*2</f>
        <v>64</v>
      </c>
      <c r="J11" s="14">
        <f>(E11+E10+E9+E8+E7)/SUM(E7:E11)</f>
        <v>1</v>
      </c>
      <c r="M11" s="17"/>
    </row>
    <row r="12" spans="1:13" ht="15" x14ac:dyDescent="0.25">
      <c r="B12" s="8" t="s">
        <v>308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99.999999999999986</v>
      </c>
      <c r="H12">
        <f>SUM(H7:H11)/SUM(E7:E11)</f>
        <v>7.7576923076923077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309</v>
      </c>
      <c r="C15" s="21" t="s">
        <v>310</v>
      </c>
      <c r="D15" s="9" t="s">
        <v>301</v>
      </c>
      <c r="E15" s="10" t="s">
        <v>304</v>
      </c>
    </row>
    <row r="16" spans="1:13" ht="15" x14ac:dyDescent="0.25">
      <c r="B16" s="34" t="s">
        <v>311</v>
      </c>
      <c r="C16" s="34" t="s">
        <v>22</v>
      </c>
      <c r="D16" s="18">
        <f>SUM(C10:C11)</f>
        <v>40</v>
      </c>
      <c r="E16" s="19">
        <f>ROUND(D16/SUM(D$16:D$18)*100,3)</f>
        <v>12.012</v>
      </c>
    </row>
    <row r="17" spans="2:5" ht="15" x14ac:dyDescent="0.25">
      <c r="B17" s="36" t="s">
        <v>314</v>
      </c>
      <c r="C17" s="36" t="s">
        <v>24</v>
      </c>
      <c r="D17" s="18">
        <f>C9</f>
        <v>51</v>
      </c>
      <c r="E17" s="19">
        <f>ROUND(D17/SUM(D$16:D$18)*100,3)</f>
        <v>15.315</v>
      </c>
    </row>
    <row r="18" spans="2:5" ht="15" x14ac:dyDescent="0.25">
      <c r="B18" s="39" t="s">
        <v>315</v>
      </c>
      <c r="C18" s="39" t="s">
        <v>26</v>
      </c>
      <c r="D18" s="26">
        <f>SUM(C7:C8)</f>
        <v>242</v>
      </c>
      <c r="E18" s="27">
        <f>ROUND(D18/SUM(D$16:D$18)*100,3)</f>
        <v>72.673000000000002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309</v>
      </c>
      <c r="C21" s="21" t="s">
        <v>310</v>
      </c>
      <c r="D21" s="9" t="s">
        <v>302</v>
      </c>
      <c r="E21" s="10" t="s">
        <v>304</v>
      </c>
    </row>
    <row r="22" spans="2:5" ht="15" x14ac:dyDescent="0.25">
      <c r="B22" s="34" t="s">
        <v>311</v>
      </c>
      <c r="C22" s="34" t="s">
        <v>22</v>
      </c>
      <c r="D22" s="18">
        <f>SUM(D10:D11)</f>
        <v>24</v>
      </c>
      <c r="E22" s="19">
        <f>ROUND(D22/SUM(D$22:D$24)*100,3)</f>
        <v>12.834</v>
      </c>
    </row>
    <row r="23" spans="2:5" ht="15" x14ac:dyDescent="0.25">
      <c r="B23" s="36" t="s">
        <v>314</v>
      </c>
      <c r="C23" s="36" t="s">
        <v>24</v>
      </c>
      <c r="D23" s="18">
        <f>D9</f>
        <v>22</v>
      </c>
      <c r="E23" s="19">
        <f>ROUND(D23/SUM(D$22:D$24)*100,3)</f>
        <v>11.765000000000001</v>
      </c>
    </row>
    <row r="24" spans="2:5" ht="15" x14ac:dyDescent="0.25">
      <c r="B24" s="39" t="s">
        <v>315</v>
      </c>
      <c r="C24" s="39" t="s">
        <v>26</v>
      </c>
      <c r="D24" s="26">
        <f>SUM(D7:D8)</f>
        <v>141</v>
      </c>
      <c r="E24" s="27">
        <f>ROUND(D24/SUM(D$22:D$24)*100,3)</f>
        <v>75.400999999999996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316</v>
      </c>
      <c r="C28" s="31">
        <f>I12</f>
        <v>8</v>
      </c>
      <c r="D28" s="31">
        <f>H12</f>
        <v>7.7576923076923077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80</v>
      </c>
      <c r="B1" s="8"/>
      <c r="C1" s="8"/>
    </row>
    <row r="2" spans="1:13" ht="15" x14ac:dyDescent="0.25">
      <c r="A2" s="8" t="str">
        <f>TEXT(A1,"0.000")</f>
        <v>5.50</v>
      </c>
      <c r="B2" s="8" t="str">
        <f>VLOOKUP(A$2, Eixo5[], 3, FALSE)</f>
        <v xml:space="preserve">Avalie os serviços prestados pelas unidades da PROGEPE que você utilizou em 2021: [Coordenadoria de Planejamento de Pessoal - CPP (movimentação, recrutamento)] </v>
      </c>
    </row>
    <row r="3" spans="1:13" ht="15" x14ac:dyDescent="0.25">
      <c r="A3" s="8" t="s">
        <v>299</v>
      </c>
      <c r="B3" s="8" t="str">
        <f>VLOOKUP(A$2, Eixo5[], 4, FALSE)</f>
        <v>Eixo 5: questão 50</v>
      </c>
    </row>
    <row r="5" spans="1:13" ht="15" x14ac:dyDescent="0.25">
      <c r="B5" s="9" t="s">
        <v>300</v>
      </c>
      <c r="C5" s="9" t="s">
        <v>301</v>
      </c>
      <c r="D5" s="9" t="s">
        <v>302</v>
      </c>
      <c r="E5" s="9" t="s">
        <v>303</v>
      </c>
      <c r="F5" s="10" t="s">
        <v>304</v>
      </c>
      <c r="G5" s="10" t="s">
        <v>305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306</v>
      </c>
      <c r="B6" s="8" t="s">
        <v>307</v>
      </c>
      <c r="C6" s="8">
        <f>COUNTIF(Resp5[],"tecnico")-SUM(C$7:C$11)</f>
        <v>593</v>
      </c>
      <c r="D6" s="8">
        <f>COUNTIF(Resp5[],"docente")-SUM(D$7:D$11)</f>
        <v>451</v>
      </c>
      <c r="E6" s="11">
        <f>E12-SUM(E7:E11)</f>
        <v>1044</v>
      </c>
      <c r="F6" s="14">
        <f>ROUND($E6/E$12*100,2)</f>
        <v>74.2</v>
      </c>
      <c r="G6" s="14"/>
      <c r="J6" s="29"/>
    </row>
    <row r="7" spans="1:13" ht="15" x14ac:dyDescent="0.25">
      <c r="B7" s="8" t="s">
        <v>244</v>
      </c>
      <c r="C7" s="11">
        <f>COUNTIFS(Resp5[Vínculo],"tecnico",Resp5[5.50],B7)</f>
        <v>88</v>
      </c>
      <c r="D7" s="11">
        <f>COUNTIFS(Resp5[Vínculo],"docente",Resp5[5.50],B7)</f>
        <v>43</v>
      </c>
      <c r="E7" s="11">
        <f>COUNTIF(Resp5[5.50],B7)</f>
        <v>131</v>
      </c>
      <c r="F7" s="14">
        <f t="shared" ref="F7:F12" si="0">ROUND($E7/E$12*100,2)</f>
        <v>9.31</v>
      </c>
      <c r="G7" s="14">
        <f>ROUND($E7/SUM($E$7:$E$11)*100,3)</f>
        <v>36.088000000000001</v>
      </c>
      <c r="H7">
        <f>E7*10</f>
        <v>1310</v>
      </c>
      <c r="J7" s="14">
        <f>E11/SUM(E7:E11)</f>
        <v>8.2644628099173556E-2</v>
      </c>
      <c r="M7" s="17"/>
    </row>
    <row r="8" spans="1:13" ht="15" x14ac:dyDescent="0.25">
      <c r="B8" s="8" t="s">
        <v>239</v>
      </c>
      <c r="C8" s="11">
        <f>COUNTIFS(Resp5[Vínculo],"tecnico",Resp5[5.50],B8)</f>
        <v>82</v>
      </c>
      <c r="D8" s="11">
        <f>COUNTIFS(Resp5[Vínculo],"docente",Resp5[5.50],B8)</f>
        <v>42</v>
      </c>
      <c r="E8" s="11">
        <f>COUNTIF(Resp5[5.50],B8)</f>
        <v>124</v>
      </c>
      <c r="F8" s="14">
        <f t="shared" si="0"/>
        <v>8.81</v>
      </c>
      <c r="G8" s="14">
        <f>ROUND($E8/SUM($E$7:$E$11)*100,3)</f>
        <v>34.159999999999997</v>
      </c>
      <c r="H8">
        <f>E8*8</f>
        <v>992</v>
      </c>
      <c r="J8" s="14">
        <f>(E11+E10)/SUM(E7:E11)</f>
        <v>0.16528925619834711</v>
      </c>
      <c r="M8" s="17"/>
    </row>
    <row r="9" spans="1:13" ht="15" x14ac:dyDescent="0.25">
      <c r="B9" s="8" t="s">
        <v>237</v>
      </c>
      <c r="C9" s="11">
        <f>COUNTIFS(Resp5[Vínculo],"tecnico",Resp5[5.50],B9)</f>
        <v>34</v>
      </c>
      <c r="D9" s="11">
        <f>COUNTIFS(Resp5[Vínculo],"docente",Resp5[5.50],B9)</f>
        <v>14</v>
      </c>
      <c r="E9" s="11">
        <f>COUNTIF(Resp5[5.50],B9)</f>
        <v>48</v>
      </c>
      <c r="F9" s="14">
        <f t="shared" si="0"/>
        <v>3.41</v>
      </c>
      <c r="G9" s="14">
        <f>ROUND($E9/SUM($E$7:$E$11)*100,3)</f>
        <v>13.223000000000001</v>
      </c>
      <c r="H9">
        <f>E9*6</f>
        <v>288</v>
      </c>
      <c r="J9" s="14">
        <f>(E11+E10+E9)/SUM(E7:E11)</f>
        <v>0.2975206611570248</v>
      </c>
      <c r="M9" s="17"/>
    </row>
    <row r="10" spans="1:13" ht="15" x14ac:dyDescent="0.25">
      <c r="B10" s="8" t="s">
        <v>242</v>
      </c>
      <c r="C10" s="11">
        <f>COUNTIFS(Resp5[Vínculo],"tecnico",Resp5[5.50],B10)</f>
        <v>16</v>
      </c>
      <c r="D10" s="11">
        <f>COUNTIFS(Resp5[Vínculo],"docente",Resp5[5.50],B10)</f>
        <v>14</v>
      </c>
      <c r="E10" s="11">
        <f>COUNTIF(Resp5[5.50],B10)</f>
        <v>30</v>
      </c>
      <c r="F10" s="14">
        <f t="shared" si="0"/>
        <v>2.13</v>
      </c>
      <c r="G10" s="14">
        <f>ROUND($E10/SUM($E$7:$E$11)*100,3)</f>
        <v>8.2639999999999993</v>
      </c>
      <c r="H10">
        <f>E10*4</f>
        <v>120</v>
      </c>
      <c r="J10" s="14">
        <f>(E11+E10+E9+E8)/SUM(E7:E11)</f>
        <v>0.6391184573002755</v>
      </c>
      <c r="M10" s="17"/>
    </row>
    <row r="11" spans="1:13" ht="15" x14ac:dyDescent="0.25">
      <c r="B11" s="16" t="s">
        <v>241</v>
      </c>
      <c r="C11" s="11">
        <f>COUNTIFS(Resp5[Vínculo],"tecnico",Resp5[5.50],B11)</f>
        <v>20</v>
      </c>
      <c r="D11" s="11">
        <f>COUNTIFS(Resp5[Vínculo],"docente",Resp5[5.50],B11)</f>
        <v>10</v>
      </c>
      <c r="E11" s="11">
        <f>COUNTIF(Resp5[5.50],B11)</f>
        <v>30</v>
      </c>
      <c r="F11" s="14">
        <f t="shared" si="0"/>
        <v>2.13</v>
      </c>
      <c r="G11" s="14">
        <f>ROUND($E11/SUM($E$7:$E$11)*100,3)</f>
        <v>8.2639999999999993</v>
      </c>
      <c r="H11">
        <f>E11*2</f>
        <v>60</v>
      </c>
      <c r="J11" s="14">
        <f>(E11+E10+E9+E8+E7)/SUM(E7:E11)</f>
        <v>1</v>
      </c>
      <c r="M11" s="17"/>
    </row>
    <row r="12" spans="1:13" ht="15" x14ac:dyDescent="0.25">
      <c r="B12" s="8" t="s">
        <v>308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99.998999999999981</v>
      </c>
      <c r="H12">
        <f>SUM(H7:H11)/SUM(E7:E11)</f>
        <v>7.6308539944903577</v>
      </c>
      <c r="I12">
        <f>IF(MAX(E$7:E$11)=E7,10,IF(MAX(E$7:E$11)=E8,8,IF(MAX(E$7:E$11)=E9,6,IF(MAX(E$7:E$11)=E10,4,2))))</f>
        <v>10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309</v>
      </c>
      <c r="C15" s="21" t="s">
        <v>310</v>
      </c>
      <c r="D15" s="9" t="s">
        <v>301</v>
      </c>
      <c r="E15" s="10" t="s">
        <v>304</v>
      </c>
    </row>
    <row r="16" spans="1:13" ht="15" x14ac:dyDescent="0.25">
      <c r="B16" s="34" t="s">
        <v>311</v>
      </c>
      <c r="C16" s="34" t="s">
        <v>22</v>
      </c>
      <c r="D16" s="18">
        <f>SUM(C10:C11)</f>
        <v>36</v>
      </c>
      <c r="E16" s="19">
        <f>ROUND(D16/SUM(D$16:D$18)*100,3)</f>
        <v>15</v>
      </c>
    </row>
    <row r="17" spans="2:5" ht="15" x14ac:dyDescent="0.25">
      <c r="B17" s="36" t="s">
        <v>314</v>
      </c>
      <c r="C17" s="36" t="s">
        <v>24</v>
      </c>
      <c r="D17" s="18">
        <f>C9</f>
        <v>34</v>
      </c>
      <c r="E17" s="19">
        <f>ROUND(D17/SUM(D$16:D$18)*100,3)</f>
        <v>14.167</v>
      </c>
    </row>
    <row r="18" spans="2:5" ht="15" x14ac:dyDescent="0.25">
      <c r="B18" s="39" t="s">
        <v>315</v>
      </c>
      <c r="C18" s="39" t="s">
        <v>26</v>
      </c>
      <c r="D18" s="26">
        <f>SUM(C7:C8)</f>
        <v>170</v>
      </c>
      <c r="E18" s="27">
        <f>ROUND(D18/SUM(D$16:D$18)*100,3)</f>
        <v>70.832999999999998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309</v>
      </c>
      <c r="C21" s="21" t="s">
        <v>310</v>
      </c>
      <c r="D21" s="9" t="s">
        <v>302</v>
      </c>
      <c r="E21" s="10" t="s">
        <v>304</v>
      </c>
    </row>
    <row r="22" spans="2:5" ht="15" x14ac:dyDescent="0.25">
      <c r="B22" s="34" t="s">
        <v>311</v>
      </c>
      <c r="C22" s="34" t="s">
        <v>22</v>
      </c>
      <c r="D22" s="18">
        <f>SUM(D10:D11)</f>
        <v>24</v>
      </c>
      <c r="E22" s="19">
        <f>ROUND(D22/SUM(D$22:D$24)*100,3)</f>
        <v>19.512</v>
      </c>
    </row>
    <row r="23" spans="2:5" ht="15" x14ac:dyDescent="0.25">
      <c r="B23" s="36" t="s">
        <v>314</v>
      </c>
      <c r="C23" s="36" t="s">
        <v>24</v>
      </c>
      <c r="D23" s="18">
        <f>D9</f>
        <v>14</v>
      </c>
      <c r="E23" s="19">
        <f>ROUND(D23/SUM(D$22:D$24)*100,3)</f>
        <v>11.382</v>
      </c>
    </row>
    <row r="24" spans="2:5" ht="15" x14ac:dyDescent="0.25">
      <c r="B24" s="39" t="s">
        <v>315</v>
      </c>
      <c r="C24" s="39" t="s">
        <v>26</v>
      </c>
      <c r="D24" s="26">
        <f>SUM(D7:D8)</f>
        <v>85</v>
      </c>
      <c r="E24" s="27">
        <f>ROUND(D24/SUM(D$22:D$24)*100,3)</f>
        <v>69.105999999999995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316</v>
      </c>
      <c r="C28" s="31">
        <f>I12</f>
        <v>10</v>
      </c>
      <c r="D28" s="31">
        <f>H12</f>
        <v>7.6308539944903577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81</v>
      </c>
      <c r="B1" s="8"/>
      <c r="C1" s="8"/>
    </row>
    <row r="2" spans="1:13" ht="15" x14ac:dyDescent="0.25">
      <c r="A2" s="8" t="str">
        <f>TEXT(A1,"0.000")</f>
        <v>5.51</v>
      </c>
      <c r="B2" s="8" t="str">
        <f>VLOOKUP(A$2, Eixo5[], 3, FALSE)</f>
        <v xml:space="preserve">Avalie os serviços prestados pelas unidades da PROGEPE que você utilizou em 2021: [Coordenadoria de Atenção Integral à Saúde do Servidor - CAISS (casas, perícia, serviço social, convênios, saúde ocupacional, segurança do trabalho)] </v>
      </c>
    </row>
    <row r="3" spans="1:13" ht="15" x14ac:dyDescent="0.25">
      <c r="A3" s="8" t="s">
        <v>299</v>
      </c>
      <c r="B3" s="8" t="str">
        <f>VLOOKUP(A$2, Eixo5[], 4, FALSE)</f>
        <v>Eixo 5: questão 51</v>
      </c>
    </row>
    <row r="5" spans="1:13" ht="15" x14ac:dyDescent="0.25">
      <c r="B5" s="9" t="s">
        <v>300</v>
      </c>
      <c r="C5" s="9" t="s">
        <v>301</v>
      </c>
      <c r="D5" s="9" t="s">
        <v>302</v>
      </c>
      <c r="E5" s="9" t="s">
        <v>303</v>
      </c>
      <c r="F5" s="10" t="s">
        <v>304</v>
      </c>
      <c r="G5" s="10" t="s">
        <v>305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306</v>
      </c>
      <c r="B6" s="8" t="s">
        <v>307</v>
      </c>
      <c r="C6" s="8">
        <f>COUNTIF(Resp5[],"tecnico")-SUM(C$7:C$11)</f>
        <v>580</v>
      </c>
      <c r="D6" s="8">
        <f>COUNTIF(Resp5[],"docente")-SUM(D$7:D$11)</f>
        <v>456</v>
      </c>
      <c r="E6" s="11">
        <f>E12-SUM(E7:E11)</f>
        <v>1036</v>
      </c>
      <c r="F6" s="14">
        <f>ROUND($E6/E$12*100,2)</f>
        <v>73.63</v>
      </c>
      <c r="G6" s="14"/>
      <c r="J6" s="29"/>
    </row>
    <row r="7" spans="1:13" ht="15" x14ac:dyDescent="0.25">
      <c r="B7" s="8" t="s">
        <v>244</v>
      </c>
      <c r="C7" s="11">
        <f>COUNTIFS(Resp5[Vínculo],"tecnico",Resp5[5.51],B7)</f>
        <v>85</v>
      </c>
      <c r="D7" s="11">
        <f>COUNTIFS(Resp5[Vínculo],"docente",Resp5[5.51],B7)</f>
        <v>34</v>
      </c>
      <c r="E7" s="11">
        <f>COUNTIF(Resp5[5.51],B7)</f>
        <v>119</v>
      </c>
      <c r="F7" s="14">
        <f t="shared" ref="F7:F12" si="0">ROUND($E7/E$12*100,2)</f>
        <v>8.4600000000000009</v>
      </c>
      <c r="G7" s="14">
        <f>ROUND($E7/SUM($E$7:$E$11)*100,3)</f>
        <v>32.075000000000003</v>
      </c>
      <c r="H7">
        <f>E7*10</f>
        <v>1190</v>
      </c>
      <c r="J7" s="14">
        <f>E11/SUM(E7:E11)</f>
        <v>9.4339622641509441E-2</v>
      </c>
      <c r="M7" s="17"/>
    </row>
    <row r="8" spans="1:13" ht="15" x14ac:dyDescent="0.25">
      <c r="B8" s="8" t="s">
        <v>239</v>
      </c>
      <c r="C8" s="11">
        <f>COUNTIFS(Resp5[Vínculo],"tecnico",Resp5[5.51],B8)</f>
        <v>83</v>
      </c>
      <c r="D8" s="11">
        <f>COUNTIFS(Resp5[Vínculo],"docente",Resp5[5.51],B8)</f>
        <v>39</v>
      </c>
      <c r="E8" s="11">
        <f>COUNTIF(Resp5[5.51],B8)</f>
        <v>122</v>
      </c>
      <c r="F8" s="14">
        <f t="shared" si="0"/>
        <v>8.67</v>
      </c>
      <c r="G8" s="14">
        <f>ROUND($E8/SUM($E$7:$E$11)*100,3)</f>
        <v>32.884</v>
      </c>
      <c r="H8">
        <f>E8*8</f>
        <v>976</v>
      </c>
      <c r="J8" s="14">
        <f>(E11+E10)/SUM(E7:E11)</f>
        <v>0.215633423180593</v>
      </c>
      <c r="M8" s="17"/>
    </row>
    <row r="9" spans="1:13" ht="15" x14ac:dyDescent="0.25">
      <c r="B9" s="8" t="s">
        <v>237</v>
      </c>
      <c r="C9" s="11">
        <f>COUNTIFS(Resp5[Vínculo],"tecnico",Resp5[5.51],B9)</f>
        <v>37</v>
      </c>
      <c r="D9" s="11">
        <f>COUNTIFS(Resp5[Vínculo],"docente",Resp5[5.51],B9)</f>
        <v>13</v>
      </c>
      <c r="E9" s="11">
        <f>COUNTIF(Resp5[5.51],B9)</f>
        <v>50</v>
      </c>
      <c r="F9" s="14">
        <f t="shared" si="0"/>
        <v>3.55</v>
      </c>
      <c r="G9" s="14">
        <f>ROUND($E9/SUM($E$7:$E$11)*100,3)</f>
        <v>13.477</v>
      </c>
      <c r="H9">
        <f>E9*6</f>
        <v>300</v>
      </c>
      <c r="J9" s="14">
        <f>(E11+E10+E9)/SUM(E7:E11)</f>
        <v>0.35040431266846361</v>
      </c>
      <c r="M9" s="17"/>
    </row>
    <row r="10" spans="1:13" ht="15" x14ac:dyDescent="0.25">
      <c r="B10" s="8" t="s">
        <v>242</v>
      </c>
      <c r="C10" s="11">
        <f>COUNTIFS(Resp5[Vínculo],"tecnico",Resp5[5.51],B10)</f>
        <v>28</v>
      </c>
      <c r="D10" s="11">
        <f>COUNTIFS(Resp5[Vínculo],"docente",Resp5[5.51],B10)</f>
        <v>17</v>
      </c>
      <c r="E10" s="11">
        <f>COUNTIF(Resp5[5.51],B10)</f>
        <v>45</v>
      </c>
      <c r="F10" s="14">
        <f t="shared" si="0"/>
        <v>3.2</v>
      </c>
      <c r="G10" s="14">
        <f>ROUND($E10/SUM($E$7:$E$11)*100,3)</f>
        <v>12.129</v>
      </c>
      <c r="H10">
        <f>E10*4</f>
        <v>180</v>
      </c>
      <c r="J10" s="14">
        <f>(E11+E10+E9+E8)/SUM(E7:E11)</f>
        <v>0.67924528301886788</v>
      </c>
      <c r="M10" s="17"/>
    </row>
    <row r="11" spans="1:13" ht="15" x14ac:dyDescent="0.25">
      <c r="B11" s="16" t="s">
        <v>241</v>
      </c>
      <c r="C11" s="11">
        <f>COUNTIFS(Resp5[Vínculo],"tecnico",Resp5[5.51],B11)</f>
        <v>20</v>
      </c>
      <c r="D11" s="11">
        <f>COUNTIFS(Resp5[Vínculo],"docente",Resp5[5.51],B11)</f>
        <v>15</v>
      </c>
      <c r="E11" s="11">
        <f>COUNTIF(Resp5[5.51],B11)</f>
        <v>35</v>
      </c>
      <c r="F11" s="14">
        <f t="shared" si="0"/>
        <v>2.4900000000000002</v>
      </c>
      <c r="G11" s="14">
        <f>ROUND($E11/SUM($E$7:$E$11)*100,3)</f>
        <v>9.4339999999999993</v>
      </c>
      <c r="H11">
        <f>E11*2</f>
        <v>70</v>
      </c>
      <c r="J11" s="14">
        <f>(E11+E10+E9+E8+E7)/SUM(E7:E11)</f>
        <v>1</v>
      </c>
      <c r="M11" s="17"/>
    </row>
    <row r="12" spans="1:13" ht="15" x14ac:dyDescent="0.25">
      <c r="B12" s="8" t="s">
        <v>308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99.999000000000009</v>
      </c>
      <c r="H12">
        <f>SUM(H7:H11)/SUM(E7:E11)</f>
        <v>7.3207547169811322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309</v>
      </c>
      <c r="C15" s="21" t="s">
        <v>310</v>
      </c>
      <c r="D15" s="9" t="s">
        <v>301</v>
      </c>
      <c r="E15" s="10" t="s">
        <v>304</v>
      </c>
    </row>
    <row r="16" spans="1:13" ht="15" x14ac:dyDescent="0.25">
      <c r="B16" s="34" t="s">
        <v>311</v>
      </c>
      <c r="C16" s="34" t="s">
        <v>22</v>
      </c>
      <c r="D16" s="18">
        <f>SUM(C10:C11)</f>
        <v>48</v>
      </c>
      <c r="E16" s="19">
        <f>ROUND(D16/SUM(D$16:D$18)*100,3)</f>
        <v>18.972000000000001</v>
      </c>
    </row>
    <row r="17" spans="2:5" ht="15" x14ac:dyDescent="0.25">
      <c r="B17" s="36" t="s">
        <v>314</v>
      </c>
      <c r="C17" s="36" t="s">
        <v>24</v>
      </c>
      <c r="D17" s="18">
        <f>C9</f>
        <v>37</v>
      </c>
      <c r="E17" s="19">
        <f>ROUND(D17/SUM(D$16:D$18)*100,3)</f>
        <v>14.625</v>
      </c>
    </row>
    <row r="18" spans="2:5" ht="15" x14ac:dyDescent="0.25">
      <c r="B18" s="39" t="s">
        <v>315</v>
      </c>
      <c r="C18" s="39" t="s">
        <v>26</v>
      </c>
      <c r="D18" s="26">
        <f>SUM(C7:C8)</f>
        <v>168</v>
      </c>
      <c r="E18" s="27">
        <f>ROUND(D18/SUM(D$16:D$18)*100,3)</f>
        <v>66.403000000000006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309</v>
      </c>
      <c r="C21" s="21" t="s">
        <v>310</v>
      </c>
      <c r="D21" s="9" t="s">
        <v>302</v>
      </c>
      <c r="E21" s="10" t="s">
        <v>304</v>
      </c>
    </row>
    <row r="22" spans="2:5" ht="15" x14ac:dyDescent="0.25">
      <c r="B22" s="34" t="s">
        <v>311</v>
      </c>
      <c r="C22" s="34" t="s">
        <v>22</v>
      </c>
      <c r="D22" s="18">
        <f>SUM(D10:D11)</f>
        <v>32</v>
      </c>
      <c r="E22" s="19">
        <f>ROUND(D22/SUM(D$22:D$24)*100,3)</f>
        <v>27.119</v>
      </c>
    </row>
    <row r="23" spans="2:5" ht="15" x14ac:dyDescent="0.25">
      <c r="B23" s="36" t="s">
        <v>314</v>
      </c>
      <c r="C23" s="36" t="s">
        <v>24</v>
      </c>
      <c r="D23" s="18">
        <f>D9</f>
        <v>13</v>
      </c>
      <c r="E23" s="19">
        <f>ROUND(D23/SUM(D$22:D$24)*100,3)</f>
        <v>11.016999999999999</v>
      </c>
    </row>
    <row r="24" spans="2:5" ht="15" x14ac:dyDescent="0.25">
      <c r="B24" s="39" t="s">
        <v>315</v>
      </c>
      <c r="C24" s="39" t="s">
        <v>26</v>
      </c>
      <c r="D24" s="26">
        <f>SUM(D7:D8)</f>
        <v>73</v>
      </c>
      <c r="E24" s="27">
        <f>ROUND(D24/SUM(D$22:D$24)*100,3)</f>
        <v>61.863999999999997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316</v>
      </c>
      <c r="C28" s="31">
        <f>I12</f>
        <v>8</v>
      </c>
      <c r="D28" s="31">
        <f>H12</f>
        <v>7.3207547169811322</v>
      </c>
      <c r="E28" s="31">
        <f>J12</f>
        <v>8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8"/>
  <sheetViews>
    <sheetView workbookViewId="0">
      <selection activeCell="B23" sqref="B23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8" t="s">
        <v>82</v>
      </c>
      <c r="B1" s="8"/>
      <c r="C1" s="8"/>
    </row>
    <row r="2" spans="1:13" ht="15" x14ac:dyDescent="0.25">
      <c r="A2" s="8" t="str">
        <f>TEXT(A1,"0.000")</f>
        <v>5.52</v>
      </c>
      <c r="B2" s="8" t="str">
        <f>VLOOKUP(A$2, Eixo5[], 3, FALSE)</f>
        <v xml:space="preserve">Avalie os serviços prestados pelas unidades da PROGEPE que você utilizou em 2021: [Departamento de Administração de Pessoal - DAP (processos judiciais, arquivo, benefícios, pagamento, portarias, normatização, cadastro)] </v>
      </c>
    </row>
    <row r="3" spans="1:13" ht="15" x14ac:dyDescent="0.25">
      <c r="A3" s="8" t="s">
        <v>299</v>
      </c>
      <c r="B3" s="8" t="str">
        <f>VLOOKUP(A$2, Eixo5[], 4, FALSE)</f>
        <v>Eixo 5: questão 52</v>
      </c>
    </row>
    <row r="5" spans="1:13" ht="15" x14ac:dyDescent="0.25">
      <c r="B5" s="9" t="s">
        <v>300</v>
      </c>
      <c r="C5" s="9" t="s">
        <v>301</v>
      </c>
      <c r="D5" s="9" t="s">
        <v>302</v>
      </c>
      <c r="E5" s="9" t="s">
        <v>303</v>
      </c>
      <c r="F5" s="10" t="s">
        <v>304</v>
      </c>
      <c r="G5" s="10" t="s">
        <v>305</v>
      </c>
      <c r="H5" t="s">
        <v>280</v>
      </c>
      <c r="I5" t="s">
        <v>279</v>
      </c>
      <c r="J5" s="22" t="s">
        <v>281</v>
      </c>
    </row>
    <row r="6" spans="1:13" ht="15" x14ac:dyDescent="0.25">
      <c r="A6" t="s">
        <v>306</v>
      </c>
      <c r="B6" s="8" t="s">
        <v>307</v>
      </c>
      <c r="C6" s="8">
        <f>COUNTIF(Resp5[],"tecnico")-SUM(C$7:C$11)</f>
        <v>507</v>
      </c>
      <c r="D6" s="8">
        <f>COUNTIF(Resp5[],"docente")-SUM(D$7:D$11)</f>
        <v>393</v>
      </c>
      <c r="E6" s="11">
        <f>E12-SUM(E7:E11)</f>
        <v>900</v>
      </c>
      <c r="F6" s="14">
        <f>ROUND($E6/E$12*100,2)</f>
        <v>63.97</v>
      </c>
      <c r="G6" s="14"/>
      <c r="J6" s="29"/>
    </row>
    <row r="7" spans="1:13" ht="15" x14ac:dyDescent="0.25">
      <c r="B7" s="8" t="s">
        <v>244</v>
      </c>
      <c r="C7" s="11">
        <f>COUNTIFS(Resp5[Vínculo],"tecnico",Resp5[5.52],B7)</f>
        <v>111</v>
      </c>
      <c r="D7" s="11">
        <f>COUNTIFS(Resp5[Vínculo],"docente",Resp5[5.52],B7)</f>
        <v>48</v>
      </c>
      <c r="E7" s="11">
        <f>COUNTIF(Resp5[5.52],B7)</f>
        <v>159</v>
      </c>
      <c r="F7" s="14">
        <f t="shared" ref="F7:F12" si="0">ROUND($E7/E$12*100,2)</f>
        <v>11.3</v>
      </c>
      <c r="G7" s="14">
        <f>ROUND($E7/SUM($E$7:$E$11)*100,3)</f>
        <v>31.361000000000001</v>
      </c>
      <c r="H7">
        <f>E7*10</f>
        <v>1590</v>
      </c>
      <c r="J7" s="14">
        <f>E11/SUM(E7:E11)</f>
        <v>6.9033530571992116E-2</v>
      </c>
      <c r="M7" s="17"/>
    </row>
    <row r="8" spans="1:13" ht="15" x14ac:dyDescent="0.25">
      <c r="B8" s="8" t="s">
        <v>239</v>
      </c>
      <c r="C8" s="11">
        <f>COUNTIFS(Resp5[Vínculo],"tecnico",Resp5[5.52],B8)</f>
        <v>138</v>
      </c>
      <c r="D8" s="11">
        <f>COUNTIFS(Resp5[Vínculo],"docente",Resp5[5.52],B8)</f>
        <v>78</v>
      </c>
      <c r="E8" s="11">
        <f>COUNTIF(Resp5[5.52],B8)</f>
        <v>216</v>
      </c>
      <c r="F8" s="14">
        <f t="shared" si="0"/>
        <v>15.35</v>
      </c>
      <c r="G8" s="14">
        <f>ROUND($E8/SUM($E$7:$E$11)*100,3)</f>
        <v>42.603999999999999</v>
      </c>
      <c r="H8">
        <f>E8*8</f>
        <v>1728</v>
      </c>
      <c r="J8" s="14">
        <f>(E11+E10)/SUM(E7:E11)</f>
        <v>0.12820512820512819</v>
      </c>
      <c r="M8" s="17"/>
    </row>
    <row r="9" spans="1:13" ht="15" x14ac:dyDescent="0.25">
      <c r="B9" s="8" t="s">
        <v>237</v>
      </c>
      <c r="C9" s="11">
        <f>COUNTIFS(Resp5[Vínculo],"tecnico",Resp5[5.52],B9)</f>
        <v>42</v>
      </c>
      <c r="D9" s="11">
        <f>COUNTIFS(Resp5[Vínculo],"docente",Resp5[5.52],B9)</f>
        <v>25</v>
      </c>
      <c r="E9" s="11">
        <f>COUNTIF(Resp5[5.52],B9)</f>
        <v>67</v>
      </c>
      <c r="F9" s="14">
        <f t="shared" si="0"/>
        <v>4.76</v>
      </c>
      <c r="G9" s="14">
        <f>ROUND($E9/SUM($E$7:$E$11)*100,3)</f>
        <v>13.215</v>
      </c>
      <c r="H9">
        <f>E9*6</f>
        <v>402</v>
      </c>
      <c r="J9" s="14">
        <f>(E11+E10+E9)/SUM(E7:E11)</f>
        <v>0.26035502958579881</v>
      </c>
      <c r="M9" s="17"/>
    </row>
    <row r="10" spans="1:13" ht="15" x14ac:dyDescent="0.25">
      <c r="B10" s="8" t="s">
        <v>242</v>
      </c>
      <c r="C10" s="11">
        <f>COUNTIFS(Resp5[Vínculo],"tecnico",Resp5[5.52],B10)</f>
        <v>16</v>
      </c>
      <c r="D10" s="11">
        <f>COUNTIFS(Resp5[Vínculo],"docente",Resp5[5.52],B10)</f>
        <v>14</v>
      </c>
      <c r="E10" s="11">
        <f>COUNTIF(Resp5[5.52],B10)</f>
        <v>30</v>
      </c>
      <c r="F10" s="14">
        <f t="shared" si="0"/>
        <v>2.13</v>
      </c>
      <c r="G10" s="14">
        <f>ROUND($E10/SUM($E$7:$E$11)*100,3)</f>
        <v>5.9169999999999998</v>
      </c>
      <c r="H10">
        <f>E10*4</f>
        <v>120</v>
      </c>
      <c r="J10" s="14">
        <f>(E11+E10+E9+E8)/SUM(E7:E11)</f>
        <v>0.68639053254437865</v>
      </c>
      <c r="M10" s="17"/>
    </row>
    <row r="11" spans="1:13" ht="15" x14ac:dyDescent="0.25">
      <c r="B11" s="16" t="s">
        <v>241</v>
      </c>
      <c r="C11" s="11">
        <f>COUNTIFS(Resp5[Vínculo],"tecnico",Resp5[5.52],B11)</f>
        <v>19</v>
      </c>
      <c r="D11" s="11">
        <f>COUNTIFS(Resp5[Vínculo],"docente",Resp5[5.52],B11)</f>
        <v>16</v>
      </c>
      <c r="E11" s="11">
        <f>COUNTIF(Resp5[5.52],B11)</f>
        <v>35</v>
      </c>
      <c r="F11" s="14">
        <f t="shared" si="0"/>
        <v>2.4900000000000002</v>
      </c>
      <c r="G11" s="14">
        <f>ROUND($E11/SUM($E$7:$E$11)*100,3)</f>
        <v>6.9029999999999996</v>
      </c>
      <c r="H11">
        <f>E11*2</f>
        <v>70</v>
      </c>
      <c r="J11" s="14">
        <f>(E11+E10+E9+E8+E7)/SUM(E7:E11)</f>
        <v>1</v>
      </c>
      <c r="M11" s="17"/>
    </row>
    <row r="12" spans="1:13" ht="15" x14ac:dyDescent="0.25">
      <c r="B12" s="8" t="s">
        <v>308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5">
        <f t="shared" si="0"/>
        <v>100</v>
      </c>
      <c r="G12" s="15">
        <f>SUM(G7:G11)</f>
        <v>100.00000000000001</v>
      </c>
      <c r="H12">
        <f>SUM(H7:H11)/SUM(E7:E11)</f>
        <v>7.7120315581854042</v>
      </c>
      <c r="I12">
        <f>IF(MAX(E$7:E$11)=E7,10,IF(MAX(E$7:E$11)=E8,8,IF(MAX(E$7:E$11)=E9,6,IF(MAX(E$7:E$11)=E10,4,2))))</f>
        <v>8</v>
      </c>
      <c r="J12" s="14">
        <f>IF(J7&gt;=0.5,2,IF(J8&gt;=0.5,4,IF(J9&gt;=0.5,6,IF(J10&gt;=0.5,8,10))))</f>
        <v>8</v>
      </c>
      <c r="K12" s="14"/>
      <c r="M12" s="17"/>
    </row>
    <row r="13" spans="1:13" x14ac:dyDescent="0.2">
      <c r="J13" s="30"/>
      <c r="M13" s="17"/>
    </row>
    <row r="15" spans="1:13" ht="15" x14ac:dyDescent="0.25">
      <c r="B15" s="21" t="s">
        <v>309</v>
      </c>
      <c r="C15" s="21" t="s">
        <v>310</v>
      </c>
      <c r="D15" s="9" t="s">
        <v>301</v>
      </c>
      <c r="E15" s="10" t="s">
        <v>304</v>
      </c>
    </row>
    <row r="16" spans="1:13" ht="15" x14ac:dyDescent="0.25">
      <c r="B16" s="34" t="s">
        <v>311</v>
      </c>
      <c r="C16" s="34" t="s">
        <v>22</v>
      </c>
      <c r="D16" s="18">
        <f>SUM(C10:C11)</f>
        <v>35</v>
      </c>
      <c r="E16" s="19">
        <f>ROUND(D16/SUM(D$16:D$18)*100,3)</f>
        <v>10.736000000000001</v>
      </c>
    </row>
    <row r="17" spans="2:5" ht="15" x14ac:dyDescent="0.25">
      <c r="B17" s="36" t="s">
        <v>314</v>
      </c>
      <c r="C17" s="36" t="s">
        <v>24</v>
      </c>
      <c r="D17" s="18">
        <f>C9</f>
        <v>42</v>
      </c>
      <c r="E17" s="19">
        <f>ROUND(D17/SUM(D$16:D$18)*100,3)</f>
        <v>12.882999999999999</v>
      </c>
    </row>
    <row r="18" spans="2:5" ht="15" x14ac:dyDescent="0.25">
      <c r="B18" s="39" t="s">
        <v>315</v>
      </c>
      <c r="C18" s="39" t="s">
        <v>26</v>
      </c>
      <c r="D18" s="26">
        <f>SUM(C7:C8)</f>
        <v>249</v>
      </c>
      <c r="E18" s="27">
        <f>ROUND(D18/SUM(D$16:D$18)*100,3)</f>
        <v>76.38</v>
      </c>
    </row>
    <row r="19" spans="2:5" ht="15" x14ac:dyDescent="0.25">
      <c r="B19" s="8"/>
      <c r="C19" s="8"/>
      <c r="D19" s="8"/>
      <c r="E19" s="20"/>
    </row>
    <row r="20" spans="2:5" ht="15" x14ac:dyDescent="0.25">
      <c r="B20" s="8"/>
      <c r="C20" s="8"/>
      <c r="D20" s="8"/>
      <c r="E20" s="20"/>
    </row>
    <row r="21" spans="2:5" ht="15" x14ac:dyDescent="0.25">
      <c r="B21" s="21" t="s">
        <v>309</v>
      </c>
      <c r="C21" s="21" t="s">
        <v>310</v>
      </c>
      <c r="D21" s="9" t="s">
        <v>302</v>
      </c>
      <c r="E21" s="10" t="s">
        <v>304</v>
      </c>
    </row>
    <row r="22" spans="2:5" ht="15" x14ac:dyDescent="0.25">
      <c r="B22" s="34" t="s">
        <v>311</v>
      </c>
      <c r="C22" s="34" t="s">
        <v>22</v>
      </c>
      <c r="D22" s="18">
        <f>SUM(D10:D11)</f>
        <v>30</v>
      </c>
      <c r="E22" s="19">
        <f>ROUND(D22/SUM(D$22:D$24)*100,3)</f>
        <v>16.574999999999999</v>
      </c>
    </row>
    <row r="23" spans="2:5" ht="15" x14ac:dyDescent="0.25">
      <c r="B23" s="36" t="s">
        <v>314</v>
      </c>
      <c r="C23" s="36" t="s">
        <v>24</v>
      </c>
      <c r="D23" s="18">
        <f>D9</f>
        <v>25</v>
      </c>
      <c r="E23" s="19">
        <f>ROUND(D23/SUM(D$22:D$24)*100,3)</f>
        <v>13.811999999999999</v>
      </c>
    </row>
    <row r="24" spans="2:5" ht="15" x14ac:dyDescent="0.25">
      <c r="B24" s="39" t="s">
        <v>315</v>
      </c>
      <c r="C24" s="39" t="s">
        <v>26</v>
      </c>
      <c r="D24" s="26">
        <f>SUM(D7:D8)</f>
        <v>126</v>
      </c>
      <c r="E24" s="27">
        <f>ROUND(D24/SUM(D$22:D$24)*100,3)</f>
        <v>69.613</v>
      </c>
    </row>
    <row r="27" spans="2:5" x14ac:dyDescent="0.2">
      <c r="B27" s="23" t="s">
        <v>29</v>
      </c>
      <c r="C27" s="24" t="s">
        <v>279</v>
      </c>
      <c r="D27" s="25" t="s">
        <v>280</v>
      </c>
      <c r="E27" s="25" t="s">
        <v>281</v>
      </c>
    </row>
    <row r="28" spans="2:5" x14ac:dyDescent="0.2">
      <c r="B28" t="s">
        <v>316</v>
      </c>
      <c r="C28" s="31">
        <f>I12</f>
        <v>8</v>
      </c>
      <c r="D28" s="31">
        <f>H12</f>
        <v>7.7120315581854042</v>
      </c>
      <c r="E28" s="31">
        <f>J12</f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OrientaçõesInformações</vt:lpstr>
      <vt:lpstr>Eixo 5</vt:lpstr>
      <vt:lpstr>TituloQuestões</vt:lpstr>
      <vt:lpstr>Q2.06</vt:lpstr>
      <vt:lpstr>Q5.47PROGEPE</vt:lpstr>
      <vt:lpstr>Q5.48</vt:lpstr>
      <vt:lpstr>Q5.49</vt:lpstr>
      <vt:lpstr>Q5.50</vt:lpstr>
      <vt:lpstr>Q5.51</vt:lpstr>
      <vt:lpstr>Q5.52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2022-01-14T17:15:04Z</dcterms:modified>
  <cp:category/>
  <cp:contentStatus/>
</cp:coreProperties>
</file>