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RA/"/>
    </mc:Choice>
  </mc:AlternateContent>
  <xr:revisionPtr revIDLastSave="7" documentId="11_2915FDEB45B6F583D232C5498AED17650A19EB30" xr6:coauthVersionLast="47" xr6:coauthVersionMax="47" xr10:uidLastSave="{072C2C90-29DC-43B4-984C-F74F661A8C24}"/>
  <bookViews>
    <workbookView xWindow="23235" yWindow="45" windowWidth="20730" windowHeight="1116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28 PRA" sheetId="34" r:id="rId5"/>
    <sheet name="Q5.29" sheetId="35" r:id="rId6"/>
    <sheet name="Q5.30" sheetId="36" r:id="rId7"/>
    <sheet name="Q5.31" sheetId="37" r:id="rId8"/>
    <sheet name="Q5.32" sheetId="38" r:id="rId9"/>
    <sheet name="Q5.33" sheetId="39" r:id="rId10"/>
    <sheet name="Q5.34" sheetId="40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E11" i="61" l="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C8" i="40"/>
  <c r="D8" i="40"/>
  <c r="E8" i="40"/>
  <c r="C9" i="40"/>
  <c r="D17" i="40" s="1"/>
  <c r="D9" i="40"/>
  <c r="D23" i="40" s="1"/>
  <c r="E9" i="40"/>
  <c r="C10" i="40"/>
  <c r="D10" i="40"/>
  <c r="E10" i="40"/>
  <c r="C11" i="40"/>
  <c r="D11" i="40"/>
  <c r="E11" i="40"/>
  <c r="E7" i="40"/>
  <c r="D7" i="40"/>
  <c r="D24" i="40" s="1"/>
  <c r="C7" i="40"/>
  <c r="A2" i="40"/>
  <c r="C8" i="39"/>
  <c r="D8" i="39"/>
  <c r="E8" i="39"/>
  <c r="C9" i="39"/>
  <c r="D17" i="39" s="1"/>
  <c r="D9" i="39"/>
  <c r="D23" i="39" s="1"/>
  <c r="E9" i="39"/>
  <c r="C10" i="39"/>
  <c r="D10" i="39"/>
  <c r="E10" i="39"/>
  <c r="C11" i="39"/>
  <c r="D11" i="39"/>
  <c r="E11" i="39"/>
  <c r="E7" i="39"/>
  <c r="D7" i="39"/>
  <c r="C7" i="39"/>
  <c r="A2" i="39"/>
  <c r="C8" i="38"/>
  <c r="D8" i="38"/>
  <c r="E8" i="38"/>
  <c r="C9" i="38"/>
  <c r="D17" i="38" s="1"/>
  <c r="D9" i="38"/>
  <c r="D23" i="38" s="1"/>
  <c r="E9" i="38"/>
  <c r="C10" i="38"/>
  <c r="D10" i="38"/>
  <c r="E10" i="38"/>
  <c r="C11" i="38"/>
  <c r="D11" i="38"/>
  <c r="E11" i="38"/>
  <c r="E7" i="38"/>
  <c r="D7" i="38"/>
  <c r="D24" i="38" s="1"/>
  <c r="C7" i="38"/>
  <c r="A2" i="38"/>
  <c r="C8" i="37"/>
  <c r="D8" i="37"/>
  <c r="E8" i="37"/>
  <c r="C9" i="37"/>
  <c r="D17" i="37" s="1"/>
  <c r="D9" i="37"/>
  <c r="D23" i="37" s="1"/>
  <c r="E9" i="37"/>
  <c r="C10" i="37"/>
  <c r="D10" i="37"/>
  <c r="E10" i="37"/>
  <c r="C11" i="37"/>
  <c r="D11" i="37"/>
  <c r="E11" i="37"/>
  <c r="E7" i="37"/>
  <c r="D7" i="37"/>
  <c r="C7" i="37"/>
  <c r="A2" i="37"/>
  <c r="C8" i="36"/>
  <c r="D8" i="36"/>
  <c r="E8" i="36"/>
  <c r="C9" i="36"/>
  <c r="D17" i="36" s="1"/>
  <c r="D9" i="36"/>
  <c r="D23" i="36" s="1"/>
  <c r="E9" i="36"/>
  <c r="C10" i="36"/>
  <c r="D10" i="36"/>
  <c r="E10" i="36"/>
  <c r="C11" i="36"/>
  <c r="D11" i="36"/>
  <c r="E11" i="36"/>
  <c r="E7" i="36"/>
  <c r="D7" i="36"/>
  <c r="D24" i="36" s="1"/>
  <c r="C7" i="36"/>
  <c r="A2" i="36"/>
  <c r="C8" i="35"/>
  <c r="D8" i="35"/>
  <c r="E8" i="35"/>
  <c r="C9" i="35"/>
  <c r="D17" i="35" s="1"/>
  <c r="D9" i="35"/>
  <c r="E9" i="35"/>
  <c r="C10" i="35"/>
  <c r="D10" i="35"/>
  <c r="E10" i="35"/>
  <c r="C11" i="35"/>
  <c r="D11" i="35"/>
  <c r="E11" i="35"/>
  <c r="E7" i="35"/>
  <c r="D7" i="35"/>
  <c r="D24" i="35" s="1"/>
  <c r="C7" i="35"/>
  <c r="A2" i="35"/>
  <c r="C8" i="34"/>
  <c r="D8" i="34"/>
  <c r="E8" i="34"/>
  <c r="E7" i="34"/>
  <c r="D7" i="34"/>
  <c r="C7" i="34"/>
  <c r="A2" i="34"/>
  <c r="D24" i="39" l="1"/>
  <c r="C6" i="34"/>
  <c r="C9" i="34" s="1"/>
  <c r="D16" i="39"/>
  <c r="D6" i="35"/>
  <c r="D16" i="37"/>
  <c r="E6" i="61"/>
  <c r="D23" i="61"/>
  <c r="D18" i="37"/>
  <c r="D6" i="61"/>
  <c r="D23" i="35"/>
  <c r="D6" i="34"/>
  <c r="D9" i="34" s="1"/>
  <c r="D22" i="35"/>
  <c r="D6" i="36"/>
  <c r="D18" i="39"/>
  <c r="D16" i="40"/>
  <c r="D19" i="61"/>
  <c r="D16" i="36"/>
  <c r="D6" i="39"/>
  <c r="D12" i="39" s="1"/>
  <c r="D6" i="40"/>
  <c r="D12" i="40" s="1"/>
  <c r="C6" i="37"/>
  <c r="C12" i="37" s="1"/>
  <c r="C6" i="61"/>
  <c r="D17" i="61" s="1"/>
  <c r="D26" i="61"/>
  <c r="D16" i="61"/>
  <c r="D24" i="37"/>
  <c r="D6" i="37"/>
  <c r="D22" i="37"/>
  <c r="D6" i="38"/>
  <c r="D18" i="40"/>
  <c r="C6" i="40"/>
  <c r="C12" i="40" s="1"/>
  <c r="D22" i="38"/>
  <c r="E9" i="34"/>
  <c r="F7" i="34" s="1"/>
  <c r="D18" i="36"/>
  <c r="D22" i="39"/>
  <c r="D22" i="36"/>
  <c r="D16" i="38"/>
  <c r="D18" i="38"/>
  <c r="D22" i="40"/>
  <c r="B3" i="61"/>
  <c r="B2" i="61"/>
  <c r="C1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D16" i="35"/>
  <c r="D18" i="35"/>
  <c r="C6" i="35"/>
  <c r="C12" i="35" s="1"/>
  <c r="C6" i="38"/>
  <c r="C12" i="38" s="1"/>
  <c r="C6" i="36"/>
  <c r="C6" i="39"/>
  <c r="B3" i="40"/>
  <c r="B2" i="40"/>
  <c r="I12" i="40"/>
  <c r="C28" i="40" s="1"/>
  <c r="J8" i="40"/>
  <c r="J7" i="40"/>
  <c r="H7" i="40"/>
  <c r="G7" i="40"/>
  <c r="H8" i="40"/>
  <c r="G8" i="40"/>
  <c r="J9" i="40"/>
  <c r="H9" i="40"/>
  <c r="G9" i="40"/>
  <c r="J10" i="40"/>
  <c r="H10" i="40"/>
  <c r="G10" i="40"/>
  <c r="J11" i="40"/>
  <c r="H11" i="40"/>
  <c r="G11" i="40"/>
  <c r="B3" i="39"/>
  <c r="B2" i="39"/>
  <c r="I12" i="39"/>
  <c r="C28" i="39" s="1"/>
  <c r="J8" i="39"/>
  <c r="J7" i="39"/>
  <c r="H7" i="39"/>
  <c r="G7" i="39"/>
  <c r="H8" i="39"/>
  <c r="G8" i="39"/>
  <c r="J9" i="39"/>
  <c r="H9" i="39"/>
  <c r="G9" i="39"/>
  <c r="J10" i="39"/>
  <c r="H10" i="39"/>
  <c r="G10" i="39"/>
  <c r="J11" i="39"/>
  <c r="H11" i="39"/>
  <c r="G11" i="39"/>
  <c r="B3" i="38"/>
  <c r="B2" i="38"/>
  <c r="I12" i="38"/>
  <c r="C28" i="38" s="1"/>
  <c r="J8" i="38"/>
  <c r="J7" i="38"/>
  <c r="H7" i="38"/>
  <c r="G7" i="38"/>
  <c r="H8" i="38"/>
  <c r="G8" i="38"/>
  <c r="J9" i="38"/>
  <c r="H9" i="38"/>
  <c r="G9" i="38"/>
  <c r="J10" i="38"/>
  <c r="H10" i="38"/>
  <c r="G10" i="38"/>
  <c r="J11" i="38"/>
  <c r="H11" i="38"/>
  <c r="G11" i="38"/>
  <c r="B3" i="37"/>
  <c r="B2" i="37"/>
  <c r="I12" i="37"/>
  <c r="C28" i="37" s="1"/>
  <c r="J8" i="37"/>
  <c r="J7" i="37"/>
  <c r="H7" i="37"/>
  <c r="G7" i="37"/>
  <c r="H8" i="37"/>
  <c r="G8" i="37"/>
  <c r="J9" i="37"/>
  <c r="H9" i="37"/>
  <c r="G9" i="37"/>
  <c r="J10" i="37"/>
  <c r="H10" i="37"/>
  <c r="G10" i="37"/>
  <c r="J11" i="37"/>
  <c r="H11" i="37"/>
  <c r="G11" i="37"/>
  <c r="B3" i="36"/>
  <c r="B2" i="36"/>
  <c r="I12" i="36"/>
  <c r="C28" i="36" s="1"/>
  <c r="J8" i="36"/>
  <c r="J7" i="36"/>
  <c r="H7" i="36"/>
  <c r="G7" i="36"/>
  <c r="H8" i="36"/>
  <c r="G8" i="36"/>
  <c r="J9" i="36"/>
  <c r="H9" i="36"/>
  <c r="G9" i="36"/>
  <c r="J10" i="36"/>
  <c r="H10" i="36"/>
  <c r="G10" i="36"/>
  <c r="J11" i="36"/>
  <c r="H11" i="36"/>
  <c r="G11" i="36"/>
  <c r="B3" i="35"/>
  <c r="B2" i="35"/>
  <c r="I12" i="35"/>
  <c r="C28" i="35" s="1"/>
  <c r="J8" i="35"/>
  <c r="J7" i="35"/>
  <c r="H7" i="35"/>
  <c r="G7" i="35"/>
  <c r="H8" i="35"/>
  <c r="G8" i="35"/>
  <c r="J9" i="35"/>
  <c r="H9" i="35"/>
  <c r="G9" i="35"/>
  <c r="J10" i="35"/>
  <c r="H10" i="35"/>
  <c r="G10" i="35"/>
  <c r="J11" i="35"/>
  <c r="H11" i="35"/>
  <c r="G11" i="35"/>
  <c r="B3" i="34"/>
  <c r="B2" i="34"/>
  <c r="G7" i="34"/>
  <c r="G8" i="34"/>
  <c r="D12" i="36" l="1"/>
  <c r="D12" i="35"/>
  <c r="E17" i="61"/>
  <c r="E16" i="40"/>
  <c r="D12" i="38"/>
  <c r="E12" i="38" s="1"/>
  <c r="E6" i="38" s="1"/>
  <c r="F6" i="38" s="1"/>
  <c r="E18" i="40"/>
  <c r="E16" i="35"/>
  <c r="E16" i="37"/>
  <c r="E17" i="37"/>
  <c r="E18" i="37"/>
  <c r="F9" i="34"/>
  <c r="F8" i="34"/>
  <c r="E12" i="40"/>
  <c r="F9" i="40" s="1"/>
  <c r="D12" i="37"/>
  <c r="E12" i="37" s="1"/>
  <c r="F12" i="37" s="1"/>
  <c r="E18" i="61"/>
  <c r="E6" i="34"/>
  <c r="F6" i="34" s="1"/>
  <c r="E24" i="35"/>
  <c r="E23" i="35"/>
  <c r="E23" i="36"/>
  <c r="E24" i="61"/>
  <c r="E25" i="61"/>
  <c r="E16" i="61"/>
  <c r="E26" i="61"/>
  <c r="E22" i="38"/>
  <c r="E23" i="38"/>
  <c r="E22" i="39"/>
  <c r="E23" i="39"/>
  <c r="E24" i="39"/>
  <c r="E19" i="61"/>
  <c r="E16" i="39"/>
  <c r="C12" i="39"/>
  <c r="E12" i="39" s="1"/>
  <c r="F12" i="39" s="1"/>
  <c r="E23" i="37"/>
  <c r="E23" i="40"/>
  <c r="E22" i="35"/>
  <c r="E12" i="35"/>
  <c r="F12" i="35" s="1"/>
  <c r="E23" i="61"/>
  <c r="G12" i="61"/>
  <c r="H12" i="61"/>
  <c r="D30" i="61" s="1"/>
  <c r="J12" i="61"/>
  <c r="E30" i="61" s="1"/>
  <c r="E17" i="36"/>
  <c r="E16" i="36"/>
  <c r="E18" i="36"/>
  <c r="E24" i="36"/>
  <c r="E24" i="40"/>
  <c r="C12" i="36"/>
  <c r="E12" i="36" s="1"/>
  <c r="E22" i="37"/>
  <c r="E16" i="38"/>
  <c r="E24" i="38"/>
  <c r="E18" i="39"/>
  <c r="E22" i="36"/>
  <c r="E24" i="37"/>
  <c r="E17" i="39"/>
  <c r="E22" i="40"/>
  <c r="G12" i="40"/>
  <c r="H12" i="40"/>
  <c r="D28" i="40" s="1"/>
  <c r="J12" i="40"/>
  <c r="E28" i="40" s="1"/>
  <c r="G12" i="39"/>
  <c r="H12" i="39"/>
  <c r="D28" i="39" s="1"/>
  <c r="J12" i="39"/>
  <c r="E28" i="39" s="1"/>
  <c r="G12" i="38"/>
  <c r="H12" i="38"/>
  <c r="D28" i="38" s="1"/>
  <c r="J12" i="38"/>
  <c r="E28" i="38" s="1"/>
  <c r="G12" i="37"/>
  <c r="H12" i="37"/>
  <c r="D28" i="37" s="1"/>
  <c r="J12" i="37"/>
  <c r="E28" i="37" s="1"/>
  <c r="G12" i="36"/>
  <c r="H12" i="36"/>
  <c r="D28" i="36" s="1"/>
  <c r="J12" i="36"/>
  <c r="E28" i="36" s="1"/>
  <c r="G12" i="35"/>
  <c r="H12" i="35"/>
  <c r="D28" i="35" s="1"/>
  <c r="J12" i="35"/>
  <c r="E28" i="35" s="1"/>
  <c r="G9" i="34"/>
  <c r="E17" i="40" l="1"/>
  <c r="E6" i="35"/>
  <c r="F6" i="35" s="1"/>
  <c r="E6" i="39"/>
  <c r="F6" i="39" s="1"/>
  <c r="E6" i="40"/>
  <c r="F6" i="40" s="1"/>
  <c r="F10" i="40"/>
  <c r="F12" i="40"/>
  <c r="F11" i="40"/>
  <c r="E17" i="38"/>
  <c r="E18" i="38"/>
  <c r="E6" i="37"/>
  <c r="F6" i="37" s="1"/>
  <c r="F12" i="38"/>
  <c r="E18" i="35"/>
  <c r="E17" i="35"/>
  <c r="F8" i="40"/>
  <c r="F7" i="40"/>
  <c r="F9" i="38"/>
  <c r="F8" i="38"/>
  <c r="F11" i="38"/>
  <c r="F10" i="38"/>
  <c r="F7" i="38"/>
  <c r="F9" i="39"/>
  <c r="F7" i="39"/>
  <c r="F11" i="39"/>
  <c r="F10" i="39"/>
  <c r="F8" i="39"/>
  <c r="F9" i="37"/>
  <c r="F8" i="37"/>
  <c r="F11" i="37"/>
  <c r="F7" i="37"/>
  <c r="F10" i="37"/>
  <c r="F11" i="36"/>
  <c r="F7" i="36"/>
  <c r="F10" i="36"/>
  <c r="F9" i="36"/>
  <c r="F8" i="36"/>
  <c r="F7" i="35"/>
  <c r="F8" i="35"/>
  <c r="F10" i="35"/>
  <c r="F9" i="35"/>
  <c r="F11" i="35"/>
  <c r="F12" i="36"/>
  <c r="E6" i="36"/>
  <c r="F6" i="36" s="1"/>
</calcChain>
</file>

<file path=xl/sharedStrings.xml><?xml version="1.0" encoding="utf-8"?>
<sst xmlns="http://schemas.openxmlformats.org/spreadsheetml/2006/main" count="289031" uniqueCount="324">
  <si>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</si>
  <si>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</si>
  <si>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</si>
  <si>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</si>
  <si>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</si>
  <si>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</si>
  <si>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</si>
  <si>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</si>
  <si>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</si>
  <si>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</si>
  <si>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</si>
  <si>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</si>
  <si>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</si>
  <si>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</si>
  <si>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</si>
  <si>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</si>
  <si>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</si>
  <si>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</si>
  <si>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</si>
  <si>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</si>
  <si>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</si>
  <si>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</si>
  <si>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</si>
  <si>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</si>
  <si>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</si>
  <si>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</si>
  <si>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</si>
  <si>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</si>
  <si>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</si>
  <si>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</si>
  <si>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</si>
  <si>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</si>
  <si>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</si>
  <si>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</si>
  <si>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</si>
  <si>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</si>
  <si>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</si>
  <si>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</si>
  <si>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</si>
  <si>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</si>
  <si>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</si>
  <si>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</si>
  <si>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</si>
  <si>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</si>
  <si>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</si>
  <si>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</si>
  <si>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</si>
  <si>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</si>
  <si>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</si>
  <si>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</si>
  <si>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</si>
  <si>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</si>
  <si>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</si>
  <si>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</si>
  <si>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</si>
  <si>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</si>
  <si>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</si>
  <si>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</si>
  <si>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</si>
  <si>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</si>
  <si>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</si>
  <si>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</si>
  <si>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</si>
  <si>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</si>
  <si>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</si>
  <si>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</si>
  <si>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</si>
  <si>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</si>
  <si>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</si>
  <si>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</si>
  <si>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</si>
  <si>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</si>
  <si>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</si>
  <si>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</si>
  <si>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</si>
  <si>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</si>
  <si>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</si>
  <si>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</si>
  <si>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</si>
  <si>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</si>
  <si>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</si>
  <si>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</si>
  <si>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</si>
  <si>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</si>
  <si>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</si>
  <si>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</si>
  <si>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</si>
  <si>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</si>
  <si>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</si>
  <si>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</si>
  <si>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</si>
  <si>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</si>
  <si>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</si>
  <si>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</si>
  <si>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</si>
  <si>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</si>
  <si>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</si>
  <si>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</si>
  <si>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</si>
  <si>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</si>
  <si>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</si>
  <si>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</si>
  <si>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</si>
  <si>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</si>
  <si>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</si>
  <si>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</si>
  <si>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</si>
  <si>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</si>
  <si>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</si>
  <si>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</si>
  <si>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</si>
  <si>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</si>
  <si>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</si>
  <si>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</si>
  <si>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</si>
  <si>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</si>
  <si>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</si>
  <si>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</si>
  <si>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</si>
  <si>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</si>
  <si>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</si>
  <si>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</si>
  <si>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</si>
  <si>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</si>
  <si>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</si>
  <si>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</si>
  <si>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</si>
  <si>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</si>
  <si>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</si>
  <si>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</si>
  <si>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</si>
  <si>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</si>
  <si>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</si>
  <si>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</si>
  <si>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</si>
  <si>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</si>
  <si>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</si>
  <si>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</si>
  <si>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</si>
  <si>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</si>
  <si>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</si>
  <si>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</si>
  <si>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</si>
  <si>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</si>
  <si>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</si>
  <si>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</si>
  <si>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</si>
  <si>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</si>
  <si>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</si>
  <si>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</si>
  <si>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</si>
  <si>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</si>
  <si>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</si>
  <si>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</si>
  <si>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</si>
  <si>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</si>
  <si>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</si>
  <si>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</si>
  <si>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</si>
  <si>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</si>
  <si>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</si>
  <si>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</si>
  <si>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</si>
  <si>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</si>
  <si>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</si>
  <si>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</si>
  <si>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</si>
  <si>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</si>
  <si>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</si>
  <si>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</si>
  <si>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</si>
  <si>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</si>
  <si>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</si>
  <si>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</si>
  <si>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</si>
  <si>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</si>
  <si>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</si>
  <si>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</si>
  <si>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</si>
  <si>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</si>
  <si>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</si>
  <si>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</si>
  <si>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</si>
  <si>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</si>
  <si>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</si>
  <si>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</si>
  <si>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</si>
  <si>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</si>
  <si>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</si>
  <si>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</si>
  <si>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</si>
  <si>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</si>
  <si>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</si>
  <si>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</si>
  <si>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</si>
  <si>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</si>
  <si>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</si>
  <si>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</si>
  <si>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</si>
  <si>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</si>
  <si>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</si>
  <si>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</si>
  <si>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</si>
  <si>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</si>
  <si>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</si>
  <si>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</si>
  <si>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</si>
  <si>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</si>
  <si>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</si>
  <si>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</si>
  <si>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</si>
  <si>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</si>
  <si>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</si>
  <si>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</si>
  <si>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</si>
  <si>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</si>
  <si>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</si>
  <si>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</si>
  <si>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</si>
  <si>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</si>
  <si>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</si>
  <si>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</si>
  <si>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</si>
  <si>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</si>
  <si>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</si>
  <si>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</si>
  <si>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</si>
  <si>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</si>
  <si>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</si>
  <si>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</si>
  <si>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</si>
  <si>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</si>
  <si>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</si>
  <si>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</si>
  <si>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</si>
  <si>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</si>
  <si>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</si>
  <si>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</si>
  <si>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</si>
  <si>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</si>
  <si>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</si>
  <si>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</si>
  <si>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</si>
  <si>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</si>
  <si>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</si>
  <si>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</si>
  <si>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</si>
  <si>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</si>
  <si>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</si>
  <si>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</si>
  <si>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</si>
  <si>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</si>
  <si>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</si>
  <si>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</si>
  <si>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</si>
  <si>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</si>
  <si>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</si>
  <si>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</si>
  <si>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</si>
  <si>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</si>
  <si>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</si>
  <si>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</si>
  <si>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</si>
  <si>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</si>
  <si>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</si>
  <si>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</si>
  <si>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</si>
  <si>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</si>
  <si>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</si>
  <si>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</si>
  <si>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</si>
  <si>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</si>
  <si>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</si>
  <si>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</si>
  <si>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</si>
  <si>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</si>
  <si>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</si>
  <si>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</si>
  <si>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</si>
  <si>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</si>
  <si>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</si>
  <si>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</si>
  <si>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Número_Questão</t>
  </si>
  <si>
    <t>Tipo_Questão</t>
  </si>
  <si>
    <t>Título_Questão</t>
  </si>
  <si>
    <t>TítuloGráfico</t>
  </si>
  <si>
    <t>Observações</t>
  </si>
  <si>
    <t>Você utilizou as unidades e/ou serviços da Pró-reitoria de Administração (PRA) em 2021?</t>
  </si>
  <si>
    <t>Eixo 5: questão 28</t>
  </si>
  <si>
    <t xml:space="preserve">Avalie os serviços prestados pelas unidades da PRA que você utilizou em 2021: [Direção: Secretaria, Assessorias] </t>
  </si>
  <si>
    <t>Eixo 5: questão 29</t>
  </si>
  <si>
    <t xml:space="preserve">Avalie os serviços prestados pelas unidades da PRA que você utilizou em 2021: [Central de Transportes – CENTRAN] </t>
  </si>
  <si>
    <t>Eixo 5: questão 30</t>
  </si>
  <si>
    <t xml:space="preserve">Avalie os serviços prestados pelas unidades da PRA que você utilizou em 2021: [Agência de Tecnologia da Informação e Comunicacão – AGTIC] </t>
  </si>
  <si>
    <t>Eixo 5: questão 31</t>
  </si>
  <si>
    <t xml:space="preserve">Avalie os serviços prestados pelas unidades da PRA que você utilizou em 2021: [Coordenadoria de Logística - DELOG (terceirizados, suprimentos, patrimônio, atendimento, almoxarifado)] </t>
  </si>
  <si>
    <t>Eixo 5: questão 32</t>
  </si>
  <si>
    <t xml:space="preserve">Avalie os serviços prestados pelas unidades da PRA que você utilizou em 2021: [Coordenadoria de Licitações e Contratações - DELIC (planejamento, contratos, importações)] </t>
  </si>
  <si>
    <t>Eixo 5: questão 33</t>
  </si>
  <si>
    <t xml:space="preserve">Avalie os serviços prestados pelas unidades da PRA que você utilizou em 2021: [Restaurante Universitário - RU (Administrativo)] </t>
  </si>
  <si>
    <t>Eixo 5: questão 34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</si>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</sst>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050B3B70-A742-4DB3-907D-4D175045608C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57888"/>
        <c:axId val="106359424"/>
      </c:barChart>
      <c:catAx>
        <c:axId val="1063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9424"/>
        <c:crosses val="autoZero"/>
        <c:auto val="1"/>
        <c:lblAlgn val="ctr"/>
        <c:lblOffset val="100"/>
        <c:noMultiLvlLbl val="0"/>
      </c:catAx>
      <c:valAx>
        <c:axId val="10635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A-452F-9B22-FFE2BCF9BB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3A-452F-9B22-FFE2BCF9BB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3A-452F-9B22-FFE2BCF9BBD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'Q5.30'!$D$16:$D$18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3A-452F-9B22-FFE2BCF9B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D1-4630-AA6B-17139684A8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D1-4630-AA6B-17139684A8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D1-4630-AA6B-17139684A8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'Q5.30'!$D$22:$D$24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1-4630-AA6B-17139684A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'Q5.30'!$B$28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'Q5.30'!$C$28:$E$28</c:f>
              <c:numCache>
                <c:formatCode>0.00</c:formatCode>
                <c:ptCount val="3"/>
                <c:pt idx="0">
                  <c:v>10</c:v>
                </c:pt>
                <c:pt idx="1">
                  <c:v>8.8243243243243246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B-4F47-87AA-BE265F325E4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282496"/>
        <c:axId val="136285184"/>
      </c:lineChart>
      <c:catAx>
        <c:axId val="1362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85184"/>
        <c:crosses val="autoZero"/>
        <c:auto val="1"/>
        <c:lblAlgn val="ctr"/>
        <c:lblOffset val="100"/>
        <c:noMultiLvlLbl val="0"/>
      </c:catAx>
      <c:valAx>
        <c:axId val="13628518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8249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31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'Q5.31'!$C$6:$C$11</c:f>
              <c:numCache>
                <c:formatCode>General</c:formatCode>
                <c:ptCount val="6"/>
                <c:pt idx="0">
                  <c:v>632</c:v>
                </c:pt>
                <c:pt idx="1">
                  <c:v>77</c:v>
                </c:pt>
                <c:pt idx="2">
                  <c:v>74</c:v>
                </c:pt>
                <c:pt idx="3">
                  <c:v>35</c:v>
                </c:pt>
                <c:pt idx="4">
                  <c:v>9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F-4DA8-9DA2-3AA16B411FFA}"/>
            </c:ext>
          </c:extLst>
        </c:ser>
        <c:ser>
          <c:idx val="1"/>
          <c:order val="1"/>
          <c:tx>
            <c:strRef>
              <c:f>'Q5.31'!$D$5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'Q5.31'!$D$6:$D$11</c:f>
              <c:numCache>
                <c:formatCode>General</c:formatCode>
                <c:ptCount val="6"/>
                <c:pt idx="0">
                  <c:v>495</c:v>
                </c:pt>
                <c:pt idx="1">
                  <c:v>22</c:v>
                </c:pt>
                <c:pt idx="2">
                  <c:v>24</c:v>
                </c:pt>
                <c:pt idx="3">
                  <c:v>21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F-4DA8-9DA2-3AA16B411F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537984"/>
        <c:axId val="136539520"/>
      </c:barChart>
      <c:catAx>
        <c:axId val="1365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539520"/>
        <c:crosses val="autoZero"/>
        <c:auto val="1"/>
        <c:lblAlgn val="ctr"/>
        <c:lblOffset val="100"/>
        <c:noMultiLvlLbl val="0"/>
      </c:catAx>
      <c:valAx>
        <c:axId val="13653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53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D9-460F-8032-A62FE8CF4B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D9-460F-8032-A62FE8CF4B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D9-460F-8032-A62FE8CF4B4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'Q5.31'!$D$16:$D$18</c:f>
              <c:numCache>
                <c:formatCode>General</c:formatCode>
                <c:ptCount val="3"/>
                <c:pt idx="0">
                  <c:v>15</c:v>
                </c:pt>
                <c:pt idx="1">
                  <c:v>35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D9-460F-8032-A62FE8CF4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1E-4349-9653-57E360171B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1E-4349-9653-57E360171B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1E-4349-9653-57E360171B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'Q5.31'!$D$22:$D$24</c:f>
              <c:numCache>
                <c:formatCode>General</c:formatCode>
                <c:ptCount val="3"/>
                <c:pt idx="0">
                  <c:v>12</c:v>
                </c:pt>
                <c:pt idx="1">
                  <c:v>21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1E-4349-9653-57E36017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'Q5.31'!$B$28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'Q5.31'!$C$28:$E$28</c:f>
              <c:numCache>
                <c:formatCode>0.00</c:formatCode>
                <c:ptCount val="3"/>
                <c:pt idx="0">
                  <c:v>10</c:v>
                </c:pt>
                <c:pt idx="1">
                  <c:v>7.8357142857142854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F-48DE-8C13-4CE9FA9ECDE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753152"/>
        <c:axId val="136755840"/>
      </c:lineChart>
      <c:catAx>
        <c:axId val="1367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55840"/>
        <c:crosses val="autoZero"/>
        <c:auto val="1"/>
        <c:lblAlgn val="ctr"/>
        <c:lblOffset val="100"/>
        <c:noMultiLvlLbl val="0"/>
      </c:catAx>
      <c:valAx>
        <c:axId val="1367558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5315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32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'Q5.32'!$C$6:$C$11</c:f>
              <c:numCache>
                <c:formatCode>General</c:formatCode>
                <c:ptCount val="6"/>
                <c:pt idx="0">
                  <c:v>667</c:v>
                </c:pt>
                <c:pt idx="1">
                  <c:v>79</c:v>
                </c:pt>
                <c:pt idx="2">
                  <c:v>68</c:v>
                </c:pt>
                <c:pt idx="3">
                  <c:v>15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C-41B5-B7FB-7D92C347EDA6}"/>
            </c:ext>
          </c:extLst>
        </c:ser>
        <c:ser>
          <c:idx val="1"/>
          <c:order val="1"/>
          <c:tx>
            <c:strRef>
              <c:f>'Q5.32'!$D$5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'Q5.32'!$D$6:$D$11</c:f>
              <c:numCache>
                <c:formatCode>General</c:formatCode>
                <c:ptCount val="6"/>
                <c:pt idx="0">
                  <c:v>543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C-41B5-B7FB-7D92C347ED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832896"/>
        <c:axId val="136834432"/>
      </c:barChart>
      <c:catAx>
        <c:axId val="1368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834432"/>
        <c:crosses val="autoZero"/>
        <c:auto val="1"/>
        <c:lblAlgn val="ctr"/>
        <c:lblOffset val="100"/>
        <c:noMultiLvlLbl val="0"/>
      </c:catAx>
      <c:valAx>
        <c:axId val="13683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83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9-4608-A707-70C54F2B84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9-4608-A707-70C54F2B84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9-4608-A707-70C54F2B847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'Q5.32'!$D$16:$D$18</c:f>
              <c:numCache>
                <c:formatCode>General</c:formatCode>
                <c:ptCount val="3"/>
                <c:pt idx="0">
                  <c:v>4</c:v>
                </c:pt>
                <c:pt idx="1">
                  <c:v>15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9-4608-A707-70C54F2B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09-4F3C-BFAF-CF4EF44217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09-4F3C-BFAF-CF4EF44217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09-4F3C-BFAF-CF4EF4421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'Q5.32'!$D$22:$D$24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09-4F3C-BFAF-CF4EF4421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'Q5.32'!$B$28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'Q5.32'!$C$28:$E$28</c:f>
              <c:numCache>
                <c:formatCode>0.00</c:formatCode>
                <c:ptCount val="3"/>
                <c:pt idx="0">
                  <c:v>10</c:v>
                </c:pt>
                <c:pt idx="1">
                  <c:v>8.4873096446700504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9-4EAE-BC4A-D6618ED1189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379840"/>
        <c:axId val="137382528"/>
      </c:lineChart>
      <c:catAx>
        <c:axId val="1373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382528"/>
        <c:crosses val="autoZero"/>
        <c:auto val="1"/>
        <c:lblAlgn val="ctr"/>
        <c:lblOffset val="100"/>
        <c:noMultiLvlLbl val="0"/>
      </c:catAx>
      <c:valAx>
        <c:axId val="13738252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3798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 33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'Q5.33'!$C$6:$C$11</c:f>
              <c:numCache>
                <c:formatCode>General</c:formatCode>
                <c:ptCount val="6"/>
                <c:pt idx="0">
                  <c:v>680</c:v>
                </c:pt>
                <c:pt idx="1">
                  <c:v>76</c:v>
                </c:pt>
                <c:pt idx="2">
                  <c:v>59</c:v>
                </c:pt>
                <c:pt idx="3">
                  <c:v>13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2-4818-BCCB-18F274D7E6C3}"/>
            </c:ext>
          </c:extLst>
        </c:ser>
        <c:ser>
          <c:idx val="1"/>
          <c:order val="1"/>
          <c:tx>
            <c:strRef>
              <c:f>'Q5.33'!$D$5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'Q5.33'!$D$6:$D$11</c:f>
              <c:numCache>
                <c:formatCode>General</c:formatCode>
                <c:ptCount val="6"/>
                <c:pt idx="0">
                  <c:v>539</c:v>
                </c:pt>
                <c:pt idx="1">
                  <c:v>11</c:v>
                </c:pt>
                <c:pt idx="2">
                  <c:v>10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2-4818-BCCB-18F274D7E6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455488"/>
        <c:axId val="137457024"/>
      </c:barChart>
      <c:catAx>
        <c:axId val="13745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457024"/>
        <c:crosses val="autoZero"/>
        <c:auto val="1"/>
        <c:lblAlgn val="ctr"/>
        <c:lblOffset val="100"/>
        <c:noMultiLvlLbl val="0"/>
      </c:catAx>
      <c:valAx>
        <c:axId val="13745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45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D-4887-8B47-D0F163173B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0D-4887-8B47-D0F163173B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0D-4887-8B47-D0F163173BD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'Q5.33'!$D$16:$D$18</c:f>
              <c:numCache>
                <c:formatCode>General</c:formatCode>
                <c:ptCount val="3"/>
                <c:pt idx="0">
                  <c:v>5</c:v>
                </c:pt>
                <c:pt idx="1">
                  <c:v>13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0D-4887-8B47-D0F163173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7-44AE-B6DE-C3EFA3ECE0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F7-44AE-B6DE-C3EFA3ECE0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F7-44AE-B6DE-C3EFA3ECE0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'Q5.33'!$D$22:$D$24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F7-44AE-B6DE-C3EFA3EC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'Q5.33'!$B$28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'Q5.33'!$C$28:$E$28</c:f>
              <c:numCache>
                <c:formatCode>0.00</c:formatCode>
                <c:ptCount val="3"/>
                <c:pt idx="0">
                  <c:v>10</c:v>
                </c:pt>
                <c:pt idx="1">
                  <c:v>8.3936170212765955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B89-A22C-0C1EC12B653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50176"/>
        <c:axId val="137652864"/>
      </c:lineChart>
      <c:catAx>
        <c:axId val="1376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652864"/>
        <c:crosses val="autoZero"/>
        <c:auto val="1"/>
        <c:lblAlgn val="ctr"/>
        <c:lblOffset val="100"/>
        <c:noMultiLvlLbl val="0"/>
      </c:catAx>
      <c:valAx>
        <c:axId val="13765286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6501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34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'Q5.34'!$C$6:$C$11</c:f>
              <c:numCache>
                <c:formatCode>General</c:formatCode>
                <c:ptCount val="6"/>
                <c:pt idx="0">
                  <c:v>779</c:v>
                </c:pt>
                <c:pt idx="1">
                  <c:v>23</c:v>
                </c:pt>
                <c:pt idx="2">
                  <c:v>22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7-4E6E-B011-F81148C04FEF}"/>
            </c:ext>
          </c:extLst>
        </c:ser>
        <c:ser>
          <c:idx val="1"/>
          <c:order val="1"/>
          <c:tx>
            <c:strRef>
              <c:f>'Q5.34'!$D$5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'Q5.34'!$D$6:$D$11</c:f>
              <c:numCache>
                <c:formatCode>General</c:formatCode>
                <c:ptCount val="6"/>
                <c:pt idx="0">
                  <c:v>562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7-4E6E-B011-F81148C04FE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836032"/>
        <c:axId val="137837568"/>
      </c:barChart>
      <c:catAx>
        <c:axId val="1378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837568"/>
        <c:crosses val="autoZero"/>
        <c:auto val="1"/>
        <c:lblAlgn val="ctr"/>
        <c:lblOffset val="100"/>
        <c:noMultiLvlLbl val="0"/>
      </c:catAx>
      <c:valAx>
        <c:axId val="13783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83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9-4F6A-99BE-EA4FDB56DE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89-4F6A-99BE-EA4FDB56DE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89-4F6A-99BE-EA4FDB56DE96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'Q5.34'!$D$16:$D$18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89-4F6A-99BE-EA4FDB56D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F-465A-9A9E-4C24DF361F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FF-465A-9A9E-4C24DF361F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FF-465A-9A9E-4C24DF361F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'Q5.34'!$C$22:$C$24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'Q5.34'!$D$22:$D$24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FF-465A-9A9E-4C24DF361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'Q5.34'!$B$28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'Q5.34'!$C$28:$E$28</c:f>
              <c:numCache>
                <c:formatCode>0.00</c:formatCode>
                <c:ptCount val="3"/>
                <c:pt idx="0">
                  <c:v>10</c:v>
                </c:pt>
                <c:pt idx="1">
                  <c:v>8.2727272727272734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F-4CA3-8A44-2B2583DA00D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202496"/>
        <c:axId val="138238208"/>
      </c:lineChart>
      <c:catAx>
        <c:axId val="13820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238208"/>
        <c:crosses val="autoZero"/>
        <c:auto val="1"/>
        <c:lblAlgn val="ctr"/>
        <c:lblOffset val="100"/>
        <c:noMultiLvlLbl val="0"/>
      </c:catAx>
      <c:valAx>
        <c:axId val="1382382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20249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'Q5.28 PRA'!$C$5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'Q5.28 PRA'!$B$6:$B$8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'Q5.28 PRA'!$C$6:$C$8</c:f>
              <c:numCache>
                <c:formatCode>General</c:formatCode>
                <c:ptCount val="3"/>
                <c:pt idx="0">
                  <c:v>0</c:v>
                </c:pt>
                <c:pt idx="1">
                  <c:v>244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7-4B0D-AF30-FBD26C41842C}"/>
            </c:ext>
          </c:extLst>
        </c:ser>
        <c:ser>
          <c:idx val="1"/>
          <c:order val="1"/>
          <c:tx>
            <c:strRef>
              <c:f>'Q5.28 PRA'!$D$5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'Q5.28 PRA'!$B$6:$B$8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'Q5.28 PRA'!$D$6:$D$8</c:f>
              <c:numCache>
                <c:formatCode>General</c:formatCode>
                <c:ptCount val="3"/>
                <c:pt idx="0">
                  <c:v>0</c:v>
                </c:pt>
                <c:pt idx="1">
                  <c:v>94</c:v>
                </c:pt>
                <c:pt idx="2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7-4B0D-AF30-FBD26C41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236416"/>
        <c:axId val="134238208"/>
      </c:barChart>
      <c:catAx>
        <c:axId val="1342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38208"/>
        <c:crosses val="autoZero"/>
        <c:auto val="1"/>
        <c:lblAlgn val="ctr"/>
        <c:lblOffset val="100"/>
        <c:noMultiLvlLbl val="0"/>
      </c:catAx>
      <c:valAx>
        <c:axId val="1342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3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'Q5.29'!$C$6:$C$11</c:f>
              <c:numCache>
                <c:formatCode>General</c:formatCode>
                <c:ptCount val="6"/>
                <c:pt idx="0">
                  <c:v>705</c:v>
                </c:pt>
                <c:pt idx="1">
                  <c:v>57</c:v>
                </c:pt>
                <c:pt idx="2">
                  <c:v>53</c:v>
                </c:pt>
                <c:pt idx="3">
                  <c:v>11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D-4EBD-886D-1B6EB1AE37F2}"/>
            </c:ext>
          </c:extLst>
        </c:ser>
        <c:ser>
          <c:idx val="1"/>
          <c:order val="1"/>
          <c:tx>
            <c:strRef>
              <c:f>'Q5.29'!$D$5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'Q5.29'!$D$6:$D$11</c:f>
              <c:numCache>
                <c:formatCode>General</c:formatCode>
                <c:ptCount val="6"/>
                <c:pt idx="0">
                  <c:v>528</c:v>
                </c:pt>
                <c:pt idx="1">
                  <c:v>24</c:v>
                </c:pt>
                <c:pt idx="2">
                  <c:v>13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D-4EBD-886D-1B6EB1AE37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896256"/>
        <c:axId val="134898048"/>
      </c:barChart>
      <c:catAx>
        <c:axId val="13489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898048"/>
        <c:crosses val="autoZero"/>
        <c:auto val="1"/>
        <c:lblAlgn val="ctr"/>
        <c:lblOffset val="100"/>
        <c:noMultiLvlLbl val="0"/>
      </c:catAx>
      <c:valAx>
        <c:axId val="13489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89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2-40C4-BF49-9AF8D7E567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02-40C4-BF49-9AF8D7E567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02-40C4-BF49-9AF8D7E5676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'Q5.29'!$D$16:$D$18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2-40C4-BF49-9AF8D7E56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4-48F5-9952-4512FE730A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54-48F5-9952-4512FE730A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54-48F5-9952-4512FE730A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'Q5.29'!$D$22:$D$24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54-48F5-9952-4512FE730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'Q5.29'!$B$28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'Q5.29'!$C$28:$E$28</c:f>
              <c:numCache>
                <c:formatCode>0.00</c:formatCode>
                <c:ptCount val="3"/>
                <c:pt idx="0">
                  <c:v>10</c:v>
                </c:pt>
                <c:pt idx="1">
                  <c:v>8.4712643678160919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E-44F2-9CB2-38CD6964F76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684864"/>
        <c:axId val="135687552"/>
      </c:lineChart>
      <c:catAx>
        <c:axId val="1356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687552"/>
        <c:crosses val="autoZero"/>
        <c:auto val="1"/>
        <c:lblAlgn val="ctr"/>
        <c:lblOffset val="100"/>
        <c:noMultiLvlLbl val="0"/>
      </c:catAx>
      <c:valAx>
        <c:axId val="13568755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6848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'Q5.30'!$C$6:$C$11</c:f>
              <c:numCache>
                <c:formatCode>General</c:formatCode>
                <c:ptCount val="6"/>
                <c:pt idx="0">
                  <c:v>717</c:v>
                </c:pt>
                <c:pt idx="1">
                  <c:v>64</c:v>
                </c:pt>
                <c:pt idx="2">
                  <c:v>39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7F6-8FDC-B222DFE8B1FF}"/>
            </c:ext>
          </c:extLst>
        </c:ser>
        <c:ser>
          <c:idx val="1"/>
          <c:order val="1"/>
          <c:tx>
            <c:strRef>
              <c:f>'Q5.30'!$D$5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'Q5.30'!$B$6:$B$11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'Q5.30'!$D$6:$D$11</c:f>
              <c:numCache>
                <c:formatCode>General</c:formatCode>
                <c:ptCount val="6"/>
                <c:pt idx="0">
                  <c:v>542</c:v>
                </c:pt>
                <c:pt idx="1">
                  <c:v>20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8-47F6-8FDC-B222DFE8B1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083712"/>
        <c:axId val="136101888"/>
      </c:barChart>
      <c:catAx>
        <c:axId val="136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01888"/>
        <c:crosses val="autoZero"/>
        <c:auto val="1"/>
        <c:lblAlgn val="ctr"/>
        <c:lblOffset val="100"/>
        <c:noMultiLvlLbl val="0"/>
      </c:catAx>
      <c:valAx>
        <c:axId val="13610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8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590550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5BEFEA-9395-48BE-B82E-745DF9ED9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AB9098-F74C-4843-8516-36E329BB0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42C70F6-4CE7-4EFB-9B9E-30A3E29ABB6B}"/>
            </a:ext>
            <a:ext uri="{147F2762-F138-4A5C-976F-8EAC2B608ADB}">
              <a16:predDERef xmlns:a16="http://schemas.microsoft.com/office/drawing/2014/main" pred="{67AB9098-F74C-4843-8516-36E329BB0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D113C9C9-EF6D-49DE-A14C-9E7160F73E07}"/>
            </a:ext>
            <a:ext uri="{147F2762-F138-4A5C-976F-8EAC2B608ADB}">
              <a16:predDERef xmlns:a16="http://schemas.microsoft.com/office/drawing/2014/main" pred="{E42C70F6-4CE7-4EFB-9B9E-30A3E29AB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F978F942-3B26-45AA-9471-D3F0EF35EBBE}"/>
            </a:ext>
            <a:ext uri="{147F2762-F138-4A5C-976F-8EAC2B608ADB}">
              <a16:predDERef xmlns:a16="http://schemas.microsoft.com/office/drawing/2014/main" pred="{D113C9C9-EF6D-49DE-A14C-9E7160F73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EA846A-1DED-4622-8537-39D2DFD6D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677EE7E-95F8-4462-976C-3E98D4088A7B}"/>
            </a:ext>
            <a:ext uri="{147F2762-F138-4A5C-976F-8EAC2B608ADB}">
              <a16:predDERef xmlns:a16="http://schemas.microsoft.com/office/drawing/2014/main" pred="{1BEA846A-1DED-4622-8537-39D2DFD6D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7CD1E2E-27B9-47DC-8286-BD8D5173C94F}"/>
            </a:ext>
            <a:ext uri="{147F2762-F138-4A5C-976F-8EAC2B608ADB}">
              <a16:predDERef xmlns:a16="http://schemas.microsoft.com/office/drawing/2014/main" pred="{E677EE7E-95F8-4462-976C-3E98D4088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2B1BDF2-6379-42EC-8C70-3299C16FBBE3}"/>
            </a:ext>
            <a:ext uri="{147F2762-F138-4A5C-976F-8EAC2B608ADB}">
              <a16:predDERef xmlns:a16="http://schemas.microsoft.com/office/drawing/2014/main" pred="{97CD1E2E-27B9-47DC-8286-BD8D5173C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5BDBC6-F105-46B6-942C-D3DCAC514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469AA9C-7918-4173-9846-E255E445DF6A}"/>
            </a:ext>
            <a:ext uri="{147F2762-F138-4A5C-976F-8EAC2B608ADB}">
              <a16:predDERef xmlns:a16="http://schemas.microsoft.com/office/drawing/2014/main" pred="{F05BDBC6-F105-46B6-942C-D3DCAC514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4993C136-7A66-48C0-8A77-9A4343BB4043}"/>
            </a:ext>
            <a:ext uri="{147F2762-F138-4A5C-976F-8EAC2B608ADB}">
              <a16:predDERef xmlns:a16="http://schemas.microsoft.com/office/drawing/2014/main" pred="{8469AA9C-7918-4173-9846-E255E445D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4652C10-4A0A-4158-8D3C-CA054F029BFF}"/>
            </a:ext>
            <a:ext uri="{147F2762-F138-4A5C-976F-8EAC2B608ADB}">
              <a16:predDERef xmlns:a16="http://schemas.microsoft.com/office/drawing/2014/main" pred="{4993C136-7A66-48C0-8A77-9A4343BB4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B1116A-E13E-403E-9281-206F4B41B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38EC757-FFD9-45F3-A3F0-9C8C1A898413}"/>
            </a:ext>
            <a:ext uri="{147F2762-F138-4A5C-976F-8EAC2B608ADB}">
              <a16:predDERef xmlns:a16="http://schemas.microsoft.com/office/drawing/2014/main" pred="{49B1116A-E13E-403E-9281-206F4B41B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23338DE-38F7-4E88-95BE-4DD0C0EF8E2D}"/>
            </a:ext>
            <a:ext uri="{147F2762-F138-4A5C-976F-8EAC2B608ADB}">
              <a16:predDERef xmlns:a16="http://schemas.microsoft.com/office/drawing/2014/main" pred="{838EC757-FFD9-45F3-A3F0-9C8C1A8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1EE0F04-670C-4D14-8271-8A7C50DFB8B1}"/>
            </a:ext>
            <a:ext uri="{147F2762-F138-4A5C-976F-8EAC2B608ADB}">
              <a16:predDERef xmlns:a16="http://schemas.microsoft.com/office/drawing/2014/main" pred="{923338DE-38F7-4E88-95BE-4DD0C0EF8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FFFD4F-929A-4E8F-BF9D-31794CF9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2F97ADE-78F8-4EBB-AC9C-8DEF4207089D}"/>
            </a:ext>
            <a:ext uri="{147F2762-F138-4A5C-976F-8EAC2B608ADB}">
              <a16:predDERef xmlns:a16="http://schemas.microsoft.com/office/drawing/2014/main" pred="{9FFFFD4F-929A-4E8F-BF9D-31794CF9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AD59A55-35D3-41C5-AA67-BB6D4B34ECB0}"/>
            </a:ext>
            <a:ext uri="{147F2762-F138-4A5C-976F-8EAC2B608ADB}">
              <a16:predDERef xmlns:a16="http://schemas.microsoft.com/office/drawing/2014/main" pred="{72F97ADE-78F8-4EBB-AC9C-8DEF42070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DDD2EF38-7C3B-40B3-B8E8-76FE903FE2E8}"/>
            </a:ext>
            <a:ext uri="{147F2762-F138-4A5C-976F-8EAC2B608ADB}">
              <a16:predDERef xmlns:a16="http://schemas.microsoft.com/office/drawing/2014/main" pred="{5AD59A55-35D3-41C5-AA67-BB6D4B34E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D81124-4653-4E8B-9EA6-EA0278707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E5F0F9C-B24E-4BA6-98E7-4092D58A850A}"/>
            </a:ext>
            <a:ext uri="{147F2762-F138-4A5C-976F-8EAC2B608ADB}">
              <a16:predDERef xmlns:a16="http://schemas.microsoft.com/office/drawing/2014/main" pred="{76D81124-4653-4E8B-9EA6-EA0278707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74A15379-E5F2-4883-A8FA-9701A323ACC9}"/>
            </a:ext>
            <a:ext uri="{147F2762-F138-4A5C-976F-8EAC2B608ADB}">
              <a16:predDERef xmlns:a16="http://schemas.microsoft.com/office/drawing/2014/main" pred="{AE5F0F9C-B24E-4BA6-98E7-4092D58A8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95DA7C9B-7099-48AB-AA12-65F264C6392B}"/>
            </a:ext>
            <a:ext uri="{147F2762-F138-4A5C-976F-8EAC2B608ADB}">
              <a16:predDERef xmlns:a16="http://schemas.microsoft.com/office/drawing/2014/main" pred="{74A15379-E5F2-4883-A8FA-9701A323A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"/>
  <sheetViews>
    <sheetView showGridLines="0" tabSelected="1" topLeftCell="A20" zoomScale="80" zoomScaleNormal="80" workbookViewId="0">
      <selection activeCell="G36" sqref="G36"/>
    </sheetView>
  </sheetViews>
  <sheetFormatPr defaultRowHeight="15" x14ac:dyDescent="0.2"/>
  <cols>
    <col min="1" max="1" width="9" style="41" customWidth="1"/>
    <col min="2" max="2" width="31.85546875" style="41" customWidth="1"/>
    <col min="3" max="3" width="19.28515625" style="41" customWidth="1"/>
    <col min="4" max="4" width="25.85546875" style="41" customWidth="1"/>
    <col min="5" max="5" width="34.42578125" style="41" customWidth="1"/>
    <col min="6" max="6" width="26.42578125" style="41" customWidth="1"/>
    <col min="7" max="7" width="34" style="41" customWidth="1"/>
    <col min="8" max="8" width="11.85546875" style="41" customWidth="1"/>
    <col min="9" max="9" width="26.42578125" style="41" customWidth="1"/>
    <col min="10" max="10" width="37.140625" style="41" customWidth="1"/>
    <col min="11" max="16384" width="9.140625" style="41"/>
  </cols>
  <sheetData>
    <row r="1" spans="1:15" ht="15.75" x14ac:dyDescent="0.25">
      <c r="A1" s="40" t="s">
        <v>0</v>
      </c>
    </row>
    <row r="3" spans="1:15" ht="15.75" x14ac:dyDescent="0.25">
      <c r="A3" s="43" t="s">
        <v>1</v>
      </c>
      <c r="B3" s="43"/>
      <c r="C3" s="43"/>
      <c r="D3" s="43"/>
      <c r="E3" s="43"/>
      <c r="F3" s="43"/>
      <c r="H3" s="44"/>
      <c r="I3" s="44"/>
      <c r="J3" s="44"/>
      <c r="K3" s="45"/>
      <c r="L3" s="45"/>
      <c r="M3" s="45"/>
      <c r="N3" s="45"/>
      <c r="O3" s="45"/>
    </row>
    <row r="4" spans="1:15" x14ac:dyDescent="0.2">
      <c r="A4" s="46" t="s">
        <v>2</v>
      </c>
      <c r="B4" s="47" t="s">
        <v>3</v>
      </c>
      <c r="C4" s="63"/>
      <c r="H4" s="48"/>
      <c r="I4" s="48"/>
      <c r="J4" s="48"/>
      <c r="K4" s="48"/>
      <c r="L4" s="49"/>
      <c r="M4" s="49"/>
      <c r="N4" s="45"/>
      <c r="O4" s="45"/>
    </row>
    <row r="5" spans="1:15" x14ac:dyDescent="0.2">
      <c r="A5" s="46" t="s">
        <v>4</v>
      </c>
      <c r="B5" s="62" t="s">
        <v>5</v>
      </c>
      <c r="C5" s="42"/>
      <c r="H5" s="50"/>
      <c r="I5" s="45"/>
      <c r="J5" s="45"/>
      <c r="K5" s="45"/>
      <c r="L5" s="51"/>
      <c r="M5" s="51"/>
      <c r="N5" s="45"/>
      <c r="O5" s="45"/>
    </row>
    <row r="6" spans="1:15" x14ac:dyDescent="0.2">
      <c r="H6" s="45"/>
      <c r="I6" s="45"/>
      <c r="J6" s="45"/>
      <c r="K6" s="45"/>
      <c r="L6" s="45"/>
      <c r="M6" s="45"/>
      <c r="N6" s="45"/>
      <c r="O6" s="45"/>
    </row>
    <row r="7" spans="1:15" x14ac:dyDescent="0.2">
      <c r="A7" s="41" t="s">
        <v>6</v>
      </c>
    </row>
    <row r="8" spans="1:15" x14ac:dyDescent="0.2">
      <c r="A8" s="41" t="s">
        <v>7</v>
      </c>
    </row>
    <row r="10" spans="1:15" x14ac:dyDescent="0.2">
      <c r="A10" s="41" t="s">
        <v>8</v>
      </c>
    </row>
    <row r="11" spans="1:15" ht="100.5" customHeight="1" x14ac:dyDescent="0.2">
      <c r="A11" s="66" t="s">
        <v>9</v>
      </c>
      <c r="B11" s="66"/>
      <c r="C11" s="66"/>
      <c r="D11" s="66"/>
      <c r="E11" s="66"/>
      <c r="F11" s="66"/>
    </row>
    <row r="12" spans="1:15" x14ac:dyDescent="0.2">
      <c r="A12" s="64"/>
    </row>
    <row r="13" spans="1:15" x14ac:dyDescent="0.2">
      <c r="A13" s="44" t="s">
        <v>10</v>
      </c>
    </row>
    <row r="14" spans="1:15" s="55" customFormat="1" x14ac:dyDescent="0.2">
      <c r="A14" s="53"/>
      <c r="B14" s="68" t="s">
        <v>11</v>
      </c>
      <c r="C14" s="69"/>
      <c r="D14" s="53" t="s">
        <v>12</v>
      </c>
      <c r="E14" s="54" t="s">
        <v>13</v>
      </c>
      <c r="F14" s="49"/>
    </row>
    <row r="15" spans="1:15" x14ac:dyDescent="0.2">
      <c r="A15" s="61" t="s">
        <v>14</v>
      </c>
      <c r="B15" s="70">
        <f>COUNTIF(Resp5[Vínculo],A15)</f>
        <v>833</v>
      </c>
      <c r="C15" s="71"/>
      <c r="D15" s="56">
        <v>2019</v>
      </c>
      <c r="E15" s="57">
        <f>ROUND(B15/$D15*100,3)</f>
        <v>41.258000000000003</v>
      </c>
      <c r="F15" s="51"/>
    </row>
    <row r="16" spans="1:15" x14ac:dyDescent="0.2">
      <c r="A16" s="58" t="s">
        <v>15</v>
      </c>
      <c r="B16" s="70">
        <f>COUNTIF(Resp5[Vínculo],A16)</f>
        <v>574</v>
      </c>
      <c r="C16" s="71"/>
      <c r="D16" s="56">
        <v>2675</v>
      </c>
      <c r="E16" s="57">
        <f t="shared" ref="E16:E17" si="0">ROUND(B16/$D16*100,3)</f>
        <v>21.457999999999998</v>
      </c>
      <c r="F16" s="51"/>
    </row>
    <row r="17" spans="1:24" x14ac:dyDescent="0.2">
      <c r="A17" s="59" t="s">
        <v>16</v>
      </c>
      <c r="B17" s="70">
        <f>SUM(B15:B16)</f>
        <v>1407</v>
      </c>
      <c r="C17" s="71"/>
      <c r="D17" s="56">
        <f>SUM(D15:D16)</f>
        <v>4694</v>
      </c>
      <c r="E17" s="57">
        <f t="shared" si="0"/>
        <v>29.974</v>
      </c>
      <c r="F17" s="51"/>
    </row>
    <row r="18" spans="1:24" x14ac:dyDescent="0.2">
      <c r="A18" s="52">
        <v>1</v>
      </c>
      <c r="B18" s="67" t="s">
        <v>17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</row>
    <row r="19" spans="1:24" x14ac:dyDescent="0.2">
      <c r="A19" s="52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24" x14ac:dyDescent="0.2">
      <c r="A20" s="52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</row>
    <row r="21" spans="1:24" x14ac:dyDescent="0.2">
      <c r="A21" s="41" t="s">
        <v>18</v>
      </c>
    </row>
    <row r="22" spans="1:24" ht="39.75" customHeight="1" x14ac:dyDescent="0.2">
      <c r="A22" s="66" t="s">
        <v>19</v>
      </c>
      <c r="B22" s="66"/>
      <c r="C22" s="66"/>
      <c r="D22" s="66"/>
      <c r="E22" s="66"/>
      <c r="F22" s="66"/>
      <c r="G22" s="66"/>
      <c r="H22" s="66"/>
      <c r="I22" s="66"/>
    </row>
    <row r="23" spans="1:24" x14ac:dyDescent="0.2"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1:24" ht="15.75" x14ac:dyDescent="0.25">
      <c r="A24" s="82" t="s">
        <v>20</v>
      </c>
      <c r="B24" s="82"/>
      <c r="C24"/>
      <c r="D24" s="83" t="s">
        <v>5</v>
      </c>
      <c r="E24" s="84"/>
      <c r="F24" s="73"/>
      <c r="G24" s="73"/>
      <c r="H24" s="73"/>
      <c r="I24" s="74"/>
      <c r="J24" s="73"/>
      <c r="K24" s="73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</row>
    <row r="25" spans="1:24" ht="15.75" x14ac:dyDescent="0.25">
      <c r="A25" s="85" t="s">
        <v>21</v>
      </c>
      <c r="B25" s="85"/>
      <c r="C25"/>
      <c r="D25" s="86" t="s">
        <v>22</v>
      </c>
      <c r="E25" s="86" t="s">
        <v>321</v>
      </c>
      <c r="F25" s="74"/>
      <c r="G25" s="73"/>
      <c r="H25" s="73"/>
      <c r="I25" s="76"/>
      <c r="J25" s="76"/>
      <c r="K25" s="73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</row>
    <row r="26" spans="1:24" ht="15.75" x14ac:dyDescent="0.25">
      <c r="A26" s="85" t="s">
        <v>23</v>
      </c>
      <c r="B26" s="85"/>
      <c r="C26"/>
      <c r="D26" s="87" t="s">
        <v>24</v>
      </c>
      <c r="E26" s="88" t="s">
        <v>25</v>
      </c>
      <c r="F26" s="76"/>
      <c r="G26" s="76"/>
      <c r="H26" s="73"/>
      <c r="I26" s="76"/>
      <c r="J26" s="76"/>
      <c r="K26" s="73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</row>
    <row r="27" spans="1:24" ht="15.75" x14ac:dyDescent="0.25">
      <c r="A27" s="85" t="s">
        <v>322</v>
      </c>
      <c r="B27" s="85"/>
      <c r="C27"/>
      <c r="D27" s="89" t="s">
        <v>26</v>
      </c>
      <c r="E27" s="90" t="s">
        <v>323</v>
      </c>
      <c r="F27" s="76"/>
      <c r="G27" s="76"/>
      <c r="H27" s="73"/>
      <c r="I27" s="76"/>
      <c r="J27" s="76"/>
      <c r="K27" s="73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1:24" ht="15.75" x14ac:dyDescent="0.25">
      <c r="A28" s="85" t="s">
        <v>27</v>
      </c>
      <c r="B28" s="85"/>
      <c r="C28" s="91"/>
      <c r="D28" s="91"/>
      <c r="E28" s="92"/>
      <c r="F28" s="76"/>
      <c r="G28" s="76"/>
      <c r="H28" s="73"/>
      <c r="I28" s="76"/>
      <c r="J28" s="76"/>
      <c r="K28" s="73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</row>
    <row r="29" spans="1:24" ht="15.75" x14ac:dyDescent="0.25">
      <c r="A29" s="85" t="s">
        <v>28</v>
      </c>
      <c r="B29" s="85"/>
      <c r="C29" s="91"/>
      <c r="D29" s="91"/>
      <c r="E29" s="92"/>
      <c r="F29" s="78"/>
      <c r="G29" s="78"/>
      <c r="H29" s="73"/>
      <c r="I29" s="73"/>
      <c r="J29" s="73"/>
      <c r="K29" s="73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</row>
    <row r="30" spans="1:24" ht="15.75" x14ac:dyDescent="0.25">
      <c r="A30" s="60"/>
      <c r="B30" s="77"/>
      <c r="C30" s="78"/>
      <c r="D30" s="78"/>
      <c r="E30" s="78"/>
      <c r="F30" s="78"/>
      <c r="G30" s="78"/>
      <c r="H30" s="73"/>
      <c r="I30" s="74"/>
      <c r="J30" s="73"/>
      <c r="K30" s="73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1:24" ht="15.75" x14ac:dyDescent="0.25">
      <c r="A31" s="60"/>
      <c r="B31" s="77"/>
      <c r="C31" s="78"/>
      <c r="D31" s="78"/>
      <c r="E31" s="78"/>
      <c r="F31" s="78"/>
      <c r="G31" s="78"/>
      <c r="H31" s="73"/>
      <c r="I31" s="76"/>
      <c r="J31" s="76"/>
      <c r="K31" s="73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</row>
    <row r="32" spans="1:24" ht="15.75" x14ac:dyDescent="0.25">
      <c r="A32" s="60"/>
      <c r="B32" s="73"/>
      <c r="C32" s="73"/>
      <c r="D32" s="73"/>
      <c r="E32" s="73"/>
      <c r="F32" s="73"/>
      <c r="G32" s="73"/>
      <c r="H32" s="73"/>
      <c r="I32" s="76"/>
      <c r="J32" s="76"/>
      <c r="K32" s="73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1:24" ht="15.75" x14ac:dyDescent="0.25">
      <c r="A33" s="60"/>
      <c r="B33" s="73"/>
      <c r="C33" s="79"/>
      <c r="D33" s="79"/>
      <c r="E33" s="73"/>
      <c r="F33" s="73"/>
      <c r="G33" s="73"/>
      <c r="H33" s="73"/>
      <c r="I33" s="73"/>
      <c r="J33" s="73"/>
      <c r="K33" s="73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</row>
    <row r="34" spans="1:24" ht="15.75" x14ac:dyDescent="0.25">
      <c r="A34" s="60"/>
      <c r="B34" s="73"/>
      <c r="C34" s="80"/>
      <c r="D34" s="81"/>
      <c r="E34" s="73"/>
      <c r="F34" s="73"/>
      <c r="G34" s="73"/>
      <c r="H34" s="73"/>
      <c r="I34" s="74"/>
      <c r="J34" s="73"/>
      <c r="K34" s="73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</row>
    <row r="35" spans="1:24" ht="15.75" x14ac:dyDescent="0.25">
      <c r="A35" s="60"/>
      <c r="B35" s="73"/>
      <c r="C35" s="80"/>
      <c r="D35" s="81"/>
      <c r="E35" s="73"/>
      <c r="F35" s="73"/>
      <c r="G35" s="73"/>
      <c r="H35" s="73"/>
      <c r="I35" s="76"/>
      <c r="J35" s="76"/>
      <c r="K35" s="73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</row>
    <row r="36" spans="1:24" ht="15.75" x14ac:dyDescent="0.25">
      <c r="A36" s="60"/>
      <c r="B36" s="73"/>
      <c r="C36" s="80"/>
      <c r="D36" s="75"/>
      <c r="E36" s="73"/>
      <c r="F36" s="73"/>
      <c r="G36" s="73"/>
      <c r="H36" s="73"/>
      <c r="I36" s="76"/>
      <c r="J36" s="76"/>
      <c r="K36" s="73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</row>
    <row r="37" spans="1:24" ht="15.75" x14ac:dyDescent="0.25">
      <c r="A37" s="60"/>
      <c r="B37" s="73"/>
      <c r="C37" s="73"/>
      <c r="D37" s="73"/>
      <c r="E37" s="73"/>
      <c r="F37" s="73"/>
      <c r="G37" s="73"/>
      <c r="H37" s="73"/>
      <c r="I37" s="72"/>
      <c r="J37" s="72"/>
      <c r="K37" s="73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</row>
    <row r="38" spans="1:24" ht="15.75" x14ac:dyDescent="0.25">
      <c r="A38" s="60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</row>
    <row r="39" spans="1:24" ht="15.75" x14ac:dyDescent="0.25">
      <c r="A39" s="60"/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</row>
    <row r="40" spans="1:24" ht="15.75" x14ac:dyDescent="0.25">
      <c r="A40" s="60"/>
      <c r="B40" s="73"/>
      <c r="C40" s="73"/>
      <c r="D40" s="73"/>
      <c r="E40" s="73"/>
      <c r="F40" s="73"/>
      <c r="G40" s="73"/>
      <c r="H40" s="73"/>
      <c r="I40" s="76"/>
      <c r="J40" s="76"/>
      <c r="K40" s="73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</row>
    <row r="41" spans="1:24" ht="15.75" x14ac:dyDescent="0.25">
      <c r="A41" s="60"/>
      <c r="B41" s="73"/>
      <c r="C41" s="73"/>
      <c r="D41" s="73"/>
      <c r="E41" s="73"/>
      <c r="F41" s="73"/>
      <c r="G41" s="73"/>
      <c r="H41" s="73"/>
      <c r="I41" s="76"/>
      <c r="J41" s="76"/>
      <c r="K41" s="73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</row>
    <row r="42" spans="1:24" ht="15.75" x14ac:dyDescent="0.25">
      <c r="A42" s="60"/>
      <c r="B42" s="73"/>
      <c r="C42" s="73"/>
      <c r="D42" s="73"/>
      <c r="E42" s="73"/>
      <c r="F42" s="73"/>
      <c r="G42" s="73"/>
      <c r="H42" s="73"/>
      <c r="I42" s="76"/>
      <c r="J42" s="76"/>
      <c r="K42" s="73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</row>
    <row r="43" spans="1:24" ht="15.75" x14ac:dyDescent="0.25">
      <c r="A43" s="60"/>
      <c r="B43" s="73"/>
      <c r="C43" s="73"/>
      <c r="D43" s="73"/>
      <c r="E43" s="73"/>
      <c r="F43" s="73"/>
      <c r="G43" s="73"/>
      <c r="H43" s="73"/>
      <c r="I43" s="76"/>
      <c r="J43" s="76"/>
      <c r="K43" s="73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 ht="15.75" x14ac:dyDescent="0.25">
      <c r="A44" s="60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 ht="15.75" x14ac:dyDescent="0.25">
      <c r="A45" s="60"/>
      <c r="B45" s="73"/>
      <c r="C45" s="73"/>
      <c r="D45" s="73"/>
      <c r="E45" s="73"/>
      <c r="F45" s="73"/>
      <c r="G45" s="73"/>
      <c r="H45" s="73"/>
      <c r="I45" s="74"/>
      <c r="J45" s="73"/>
      <c r="K45" s="73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 ht="15.75" x14ac:dyDescent="0.25">
      <c r="A46" s="60"/>
      <c r="B46" s="73"/>
      <c r="C46" s="73"/>
      <c r="D46" s="73"/>
      <c r="E46" s="73"/>
      <c r="F46" s="73"/>
      <c r="G46" s="73"/>
      <c r="H46" s="73"/>
      <c r="I46" s="76"/>
      <c r="J46" s="76"/>
      <c r="K46" s="73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 ht="15.75" x14ac:dyDescent="0.25">
      <c r="A47" s="60"/>
      <c r="B47" s="73"/>
      <c r="C47" s="73"/>
      <c r="D47" s="73"/>
      <c r="E47" s="73"/>
      <c r="F47" s="73"/>
      <c r="G47" s="73"/>
      <c r="H47" s="73"/>
      <c r="I47" s="76"/>
      <c r="J47" s="76"/>
      <c r="K47" s="73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 ht="15.75" x14ac:dyDescent="0.25">
      <c r="A48" s="60"/>
      <c r="B48" s="73"/>
      <c r="C48" s="73"/>
      <c r="D48" s="73"/>
      <c r="E48" s="73"/>
      <c r="F48" s="73"/>
      <c r="G48" s="73"/>
      <c r="H48" s="73"/>
      <c r="I48" s="76"/>
      <c r="J48" s="76"/>
      <c r="K48" s="73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2:24" ht="15.75" x14ac:dyDescent="0.25">
      <c r="B49" s="73"/>
      <c r="C49" s="73"/>
      <c r="D49" s="73"/>
      <c r="E49" s="73"/>
      <c r="F49" s="73"/>
      <c r="G49" s="73"/>
      <c r="H49" s="73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2:24" ht="15.75" x14ac:dyDescent="0.25">
      <c r="B50" s="72"/>
      <c r="C50" s="72"/>
      <c r="D50" s="72"/>
      <c r="E50" s="72"/>
      <c r="F50" s="72"/>
      <c r="G50" s="72"/>
      <c r="H50" s="72"/>
      <c r="I50" s="74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2:24" ht="15.75" x14ac:dyDescent="0.25">
      <c r="B51" s="72"/>
      <c r="C51" s="72"/>
      <c r="D51" s="72"/>
      <c r="E51" s="72"/>
      <c r="F51" s="72"/>
      <c r="G51" s="72"/>
      <c r="H51" s="72"/>
      <c r="I51" s="73"/>
      <c r="J51" s="73"/>
      <c r="K51" s="73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2:24" x14ac:dyDescent="0.2"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2:24" x14ac:dyDescent="0.2"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2:24" x14ac:dyDescent="0.2">
      <c r="I54" s="65"/>
      <c r="J54" s="65"/>
    </row>
    <row r="55" spans="2:24" x14ac:dyDescent="0.2">
      <c r="I55" s="65"/>
      <c r="J55" s="65"/>
    </row>
    <row r="56" spans="2:24" x14ac:dyDescent="0.2">
      <c r="I56" s="65"/>
      <c r="J56" s="65"/>
    </row>
    <row r="57" spans="2:24" x14ac:dyDescent="0.2">
      <c r="I57" s="65"/>
      <c r="J57" s="65"/>
    </row>
    <row r="58" spans="2:24" x14ac:dyDescent="0.2">
      <c r="I58" s="65"/>
      <c r="J58" s="65"/>
    </row>
    <row r="59" spans="2:24" x14ac:dyDescent="0.2">
      <c r="I59" s="65"/>
      <c r="J59" s="65"/>
    </row>
    <row r="60" spans="2:24" x14ac:dyDescent="0.2">
      <c r="I60" s="65"/>
      <c r="J60" s="65"/>
    </row>
    <row r="61" spans="2:24" x14ac:dyDescent="0.2">
      <c r="I61" s="65"/>
      <c r="J61" s="65"/>
    </row>
    <row r="62" spans="2:24" x14ac:dyDescent="0.2">
      <c r="I62" s="65"/>
      <c r="J62" s="65"/>
    </row>
    <row r="63" spans="2:24" x14ac:dyDescent="0.2">
      <c r="I63" s="65"/>
      <c r="J63" s="65"/>
    </row>
    <row r="64" spans="2:24" x14ac:dyDescent="0.2">
      <c r="I64" s="65"/>
      <c r="J64" s="65"/>
    </row>
    <row r="65" spans="9:10" x14ac:dyDescent="0.2">
      <c r="I65" s="65"/>
      <c r="J65" s="65"/>
    </row>
    <row r="66" spans="9:10" x14ac:dyDescent="0.2">
      <c r="I66" s="65"/>
      <c r="J66" s="65"/>
    </row>
    <row r="67" spans="9:10" x14ac:dyDescent="0.2">
      <c r="I67" s="65"/>
      <c r="J67" s="65"/>
    </row>
    <row r="68" spans="9:10" x14ac:dyDescent="0.2">
      <c r="I68" s="65"/>
      <c r="J68" s="65"/>
    </row>
    <row r="69" spans="9:10" x14ac:dyDescent="0.2">
      <c r="I69" s="65"/>
      <c r="J69" s="65"/>
    </row>
    <row r="70" spans="9:10" x14ac:dyDescent="0.2">
      <c r="I70" s="65"/>
      <c r="J70" s="65"/>
    </row>
    <row r="71" spans="9:10" x14ac:dyDescent="0.2">
      <c r="I71" s="65"/>
      <c r="J71" s="65"/>
    </row>
    <row r="72" spans="9:10" x14ac:dyDescent="0.2">
      <c r="I72" s="65"/>
      <c r="J72" s="65"/>
    </row>
    <row r="73" spans="9:10" x14ac:dyDescent="0.2">
      <c r="I73" s="65"/>
      <c r="J73" s="65"/>
    </row>
    <row r="74" spans="9:10" x14ac:dyDescent="0.2">
      <c r="I74" s="65"/>
      <c r="J74" s="65"/>
    </row>
    <row r="75" spans="9:10" x14ac:dyDescent="0.2">
      <c r="I75" s="65"/>
      <c r="J75" s="65"/>
    </row>
    <row r="76" spans="9:10" x14ac:dyDescent="0.2">
      <c r="I76" s="65"/>
      <c r="J76" s="65"/>
    </row>
    <row r="77" spans="9:10" x14ac:dyDescent="0.2">
      <c r="I77" s="65"/>
      <c r="J77" s="65"/>
    </row>
    <row r="78" spans="9:10" x14ac:dyDescent="0.2">
      <c r="I78" s="65"/>
      <c r="J78" s="65"/>
    </row>
    <row r="79" spans="9:10" x14ac:dyDescent="0.2">
      <c r="I79" s="65"/>
      <c r="J79" s="65"/>
    </row>
    <row r="80" spans="9:10" x14ac:dyDescent="0.2">
      <c r="I80" s="65"/>
      <c r="J80" s="65"/>
    </row>
    <row r="81" spans="9:10" x14ac:dyDescent="0.2">
      <c r="I81" s="65"/>
      <c r="J81" s="65"/>
    </row>
    <row r="82" spans="9:10" x14ac:dyDescent="0.2">
      <c r="I82" s="65"/>
      <c r="J82" s="65"/>
    </row>
    <row r="83" spans="9:10" x14ac:dyDescent="0.2">
      <c r="I83" s="65"/>
      <c r="J83" s="65"/>
    </row>
    <row r="84" spans="9:10" x14ac:dyDescent="0.2">
      <c r="I84" s="65"/>
      <c r="J84" s="65"/>
    </row>
    <row r="85" spans="9:10" x14ac:dyDescent="0.2">
      <c r="I85" s="65"/>
      <c r="J85" s="65"/>
    </row>
    <row r="86" spans="9:10" x14ac:dyDescent="0.2">
      <c r="I86" s="65"/>
      <c r="J86" s="65"/>
    </row>
    <row r="87" spans="9:10" x14ac:dyDescent="0.2">
      <c r="I87" s="65"/>
      <c r="J87" s="65"/>
    </row>
    <row r="88" spans="9:10" x14ac:dyDescent="0.2">
      <c r="I88" s="65"/>
      <c r="J88" s="65"/>
    </row>
    <row r="89" spans="9:10" x14ac:dyDescent="0.2">
      <c r="I89" s="65"/>
      <c r="J89" s="65"/>
    </row>
    <row r="90" spans="9:10" x14ac:dyDescent="0.2">
      <c r="I90" s="65"/>
      <c r="J90" s="65"/>
    </row>
    <row r="91" spans="9:10" x14ac:dyDescent="0.2">
      <c r="I91" s="65"/>
      <c r="J91" s="65"/>
    </row>
    <row r="92" spans="9:10" x14ac:dyDescent="0.2">
      <c r="I92" s="65"/>
      <c r="J92" s="65"/>
    </row>
    <row r="93" spans="9:10" x14ac:dyDescent="0.2">
      <c r="I93" s="65"/>
      <c r="J93" s="65"/>
    </row>
    <row r="94" spans="9:10" x14ac:dyDescent="0.2">
      <c r="I94" s="65"/>
      <c r="J94" s="65"/>
    </row>
    <row r="95" spans="9:10" x14ac:dyDescent="0.2">
      <c r="I95" s="65"/>
      <c r="J95" s="65"/>
    </row>
    <row r="96" spans="9:10" x14ac:dyDescent="0.2">
      <c r="I96" s="65"/>
      <c r="J96" s="65"/>
    </row>
    <row r="97" spans="9:10" x14ac:dyDescent="0.2">
      <c r="I97" s="65"/>
      <c r="J97" s="65"/>
    </row>
    <row r="98" spans="9:10" x14ac:dyDescent="0.2">
      <c r="I98" s="65"/>
      <c r="J98" s="65"/>
    </row>
    <row r="99" spans="9:10" x14ac:dyDescent="0.2">
      <c r="I99" s="65"/>
      <c r="J99" s="65"/>
    </row>
    <row r="100" spans="9:10" x14ac:dyDescent="0.2">
      <c r="I100" s="65"/>
      <c r="J100" s="65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63</v>
      </c>
      <c r="B1" s="8"/>
      <c r="C1" s="8"/>
    </row>
    <row r="2" spans="1:13" ht="15" x14ac:dyDescent="0.25">
      <c r="A2" s="8" t="str">
        <f>TEXT(A1,"0.000")</f>
        <v>5.33</v>
      </c>
      <c r="B2" s="8" t="str">
        <f>VLOOKUP(A$2, Eixo5[], 3, FALSE)</f>
        <v xml:space="preserve">Avalie os serviços prestados pelas unidades da PRA que você utilizou em 2021: [Coordenadoria de Licitações e Contratações - DELIC (planejamento, contratos, importações)] </v>
      </c>
    </row>
    <row r="3" spans="1:13" ht="15" x14ac:dyDescent="0.25">
      <c r="A3" s="8" t="s">
        <v>301</v>
      </c>
      <c r="B3" s="8" t="str">
        <f>VLOOKUP(A$2, Eixo5[], 4, FALSE)</f>
        <v>Eixo 5: questão 33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680</v>
      </c>
      <c r="D6" s="8">
        <f>COUNTIF(Resp5[],"docente")-SUM(D$7:D$11)</f>
        <v>539</v>
      </c>
      <c r="E6" s="11">
        <f>E12-SUM(E7:E11)</f>
        <v>1219</v>
      </c>
      <c r="F6" s="14">
        <f>ROUND($E6/E$12*100,2)</f>
        <v>86.64</v>
      </c>
      <c r="G6" s="14"/>
      <c r="J6" s="29"/>
    </row>
    <row r="7" spans="1:13" ht="15" x14ac:dyDescent="0.25">
      <c r="B7" s="8" t="s">
        <v>244</v>
      </c>
      <c r="C7" s="11">
        <f>COUNTIFS(Resp5[Vínculo],"tecnico",Resp5[5.33],B7)</f>
        <v>76</v>
      </c>
      <c r="D7" s="11">
        <f>COUNTIFS(Resp5[Vínculo],"docente",Resp5[5.33],B7)</f>
        <v>11</v>
      </c>
      <c r="E7" s="11">
        <f>COUNTIF(Resp5[5.33],B7)</f>
        <v>87</v>
      </c>
      <c r="F7" s="14">
        <f t="shared" ref="F7:F12" si="0">ROUND($E7/E$12*100,2)</f>
        <v>6.18</v>
      </c>
      <c r="G7" s="14">
        <f>ROUND($E7/SUM($E$7:$E$11)*100,3)</f>
        <v>46.277000000000001</v>
      </c>
      <c r="H7">
        <f>E7*10</f>
        <v>870</v>
      </c>
      <c r="J7" s="14">
        <f>E11/SUM(E7:E11)</f>
        <v>2.6595744680851064E-2</v>
      </c>
      <c r="M7" s="17"/>
    </row>
    <row r="8" spans="1:13" ht="15" x14ac:dyDescent="0.25">
      <c r="B8" s="8" t="s">
        <v>239</v>
      </c>
      <c r="C8" s="11">
        <f>COUNTIFS(Resp5[Vínculo],"tecnico",Resp5[5.33],B8)</f>
        <v>59</v>
      </c>
      <c r="D8" s="11">
        <f>COUNTIFS(Resp5[Vínculo],"docente",Resp5[5.33],B8)</f>
        <v>10</v>
      </c>
      <c r="E8" s="11">
        <f>COUNTIF(Resp5[5.33],B8)</f>
        <v>69</v>
      </c>
      <c r="F8" s="14">
        <f t="shared" si="0"/>
        <v>4.9000000000000004</v>
      </c>
      <c r="G8" s="14">
        <f>ROUND($E8/SUM($E$7:$E$11)*100,3)</f>
        <v>36.701999999999998</v>
      </c>
      <c r="H8">
        <f>E8*8</f>
        <v>552</v>
      </c>
      <c r="J8" s="14">
        <f>(E11+E10)/SUM(E7:E11)</f>
        <v>6.9148936170212769E-2</v>
      </c>
      <c r="M8" s="17"/>
    </row>
    <row r="9" spans="1:13" ht="15" x14ac:dyDescent="0.25">
      <c r="B9" s="8" t="s">
        <v>237</v>
      </c>
      <c r="C9" s="11">
        <f>COUNTIFS(Resp5[Vínculo],"tecnico",Resp5[5.33],B9)</f>
        <v>13</v>
      </c>
      <c r="D9" s="11">
        <f>COUNTIFS(Resp5[Vínculo],"docente",Resp5[5.33],B9)</f>
        <v>6</v>
      </c>
      <c r="E9" s="11">
        <f>COUNTIF(Resp5[5.33],B9)</f>
        <v>19</v>
      </c>
      <c r="F9" s="14">
        <f t="shared" si="0"/>
        <v>1.35</v>
      </c>
      <c r="G9" s="14">
        <f>ROUND($E9/SUM($E$7:$E$11)*100,3)</f>
        <v>10.106</v>
      </c>
      <c r="H9">
        <f>E9*6</f>
        <v>114</v>
      </c>
      <c r="J9" s="14">
        <f>(E11+E10+E9)/SUM(E7:E11)</f>
        <v>0.1702127659574468</v>
      </c>
      <c r="M9" s="17"/>
    </row>
    <row r="10" spans="1:13" ht="15" x14ac:dyDescent="0.25">
      <c r="B10" s="8" t="s">
        <v>242</v>
      </c>
      <c r="C10" s="11">
        <f>COUNTIFS(Resp5[Vínculo],"tecnico",Resp5[5.33],B10)</f>
        <v>3</v>
      </c>
      <c r="D10" s="11">
        <f>COUNTIFS(Resp5[Vínculo],"docente",Resp5[5.33],B10)</f>
        <v>5</v>
      </c>
      <c r="E10" s="11">
        <f>COUNTIF(Resp5[5.33],B10)</f>
        <v>8</v>
      </c>
      <c r="F10" s="14">
        <f t="shared" si="0"/>
        <v>0.56999999999999995</v>
      </c>
      <c r="G10" s="14">
        <f>ROUND($E10/SUM($E$7:$E$11)*100,3)</f>
        <v>4.2549999999999999</v>
      </c>
      <c r="H10">
        <f>E10*4</f>
        <v>32</v>
      </c>
      <c r="J10" s="14">
        <f>(E11+E10+E9+E8)/SUM(E7:E11)</f>
        <v>0.53723404255319152</v>
      </c>
      <c r="M10" s="17"/>
    </row>
    <row r="11" spans="1:13" ht="15" x14ac:dyDescent="0.25">
      <c r="B11" s="16" t="s">
        <v>241</v>
      </c>
      <c r="C11" s="11">
        <f>COUNTIFS(Resp5[Vínculo],"tecnico",Resp5[5.33],B11)</f>
        <v>2</v>
      </c>
      <c r="D11" s="11">
        <f>COUNTIFS(Resp5[Vínculo],"docente",Resp5[5.33],B11)</f>
        <v>3</v>
      </c>
      <c r="E11" s="11">
        <f>COUNTIF(Resp5[5.33],B11)</f>
        <v>5</v>
      </c>
      <c r="F11" s="14">
        <f t="shared" si="0"/>
        <v>0.36</v>
      </c>
      <c r="G11" s="14">
        <f>ROUND($E11/SUM($E$7:$E$11)*100,3)</f>
        <v>2.66</v>
      </c>
      <c r="H11">
        <f>E11*2</f>
        <v>10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99.999999999999986</v>
      </c>
      <c r="H12">
        <f>SUM(H7:H11)/SUM(E7:E11)</f>
        <v>8.3936170212765955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5</v>
      </c>
      <c r="E16" s="19">
        <f>ROUND(D16/SUM(D$16:D$18)*100,3)</f>
        <v>3.2679999999999998</v>
      </c>
    </row>
    <row r="17" spans="2:5" ht="15" x14ac:dyDescent="0.25">
      <c r="B17" s="36" t="s">
        <v>316</v>
      </c>
      <c r="C17" s="36" t="s">
        <v>24</v>
      </c>
      <c r="D17" s="18">
        <f>C9</f>
        <v>13</v>
      </c>
      <c r="E17" s="19">
        <f>ROUND(D17/SUM(D$16:D$18)*100,3)</f>
        <v>8.4969999999999999</v>
      </c>
    </row>
    <row r="18" spans="2:5" ht="15" x14ac:dyDescent="0.25">
      <c r="B18" s="39" t="s">
        <v>317</v>
      </c>
      <c r="C18" s="39" t="s">
        <v>26</v>
      </c>
      <c r="D18" s="26">
        <f>SUM(C7:C8)</f>
        <v>135</v>
      </c>
      <c r="E18" s="27">
        <f>ROUND(D18/SUM(D$16:D$18)*100,3)</f>
        <v>88.234999999999999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8</v>
      </c>
      <c r="E22" s="19">
        <f>ROUND(D22/SUM(D$22:D$24)*100,3)</f>
        <v>22.856999999999999</v>
      </c>
    </row>
    <row r="23" spans="2:5" ht="15" x14ac:dyDescent="0.25">
      <c r="B23" s="36" t="s">
        <v>316</v>
      </c>
      <c r="C23" s="36" t="s">
        <v>24</v>
      </c>
      <c r="D23" s="18">
        <f>D9</f>
        <v>6</v>
      </c>
      <c r="E23" s="19">
        <f>ROUND(D23/SUM(D$22:D$24)*100,3)</f>
        <v>17.143000000000001</v>
      </c>
    </row>
    <row r="24" spans="2:5" ht="15" x14ac:dyDescent="0.25">
      <c r="B24" s="39" t="s">
        <v>317</v>
      </c>
      <c r="C24" s="39" t="s">
        <v>26</v>
      </c>
      <c r="D24" s="26">
        <f>SUM(D7:D8)</f>
        <v>21</v>
      </c>
      <c r="E24" s="27">
        <f>ROUND(D24/SUM(D$22:D$24)*100,3)</f>
        <v>60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8.3936170212765955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64</v>
      </c>
      <c r="B1" s="8"/>
      <c r="C1" s="8"/>
    </row>
    <row r="2" spans="1:13" ht="15" x14ac:dyDescent="0.25">
      <c r="A2" s="8" t="str">
        <f>TEXT(A1,"0.000")</f>
        <v>5.34</v>
      </c>
      <c r="B2" s="8" t="str">
        <f>VLOOKUP(A$2, Eixo5[], 3, FALSE)</f>
        <v xml:space="preserve">Avalie os serviços prestados pelas unidades da PRA que você utilizou em 2021: [Restaurante Universitário - RU (Administrativo)] </v>
      </c>
    </row>
    <row r="3" spans="1:13" ht="15" x14ac:dyDescent="0.25">
      <c r="A3" s="8" t="s">
        <v>301</v>
      </c>
      <c r="B3" s="8" t="str">
        <f>VLOOKUP(A$2, Eixo5[], 4, FALSE)</f>
        <v>Eixo 5: questão 34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779</v>
      </c>
      <c r="D6" s="8">
        <f>COUNTIF(Resp5[],"docente")-SUM(D$7:D$11)</f>
        <v>562</v>
      </c>
      <c r="E6" s="11">
        <f>E12-SUM(E7:E11)</f>
        <v>1341</v>
      </c>
      <c r="F6" s="14">
        <f>ROUND($E6/E$12*100,2)</f>
        <v>95.31</v>
      </c>
      <c r="G6" s="14"/>
      <c r="J6" s="29"/>
    </row>
    <row r="7" spans="1:13" ht="15" x14ac:dyDescent="0.25">
      <c r="B7" s="8" t="s">
        <v>244</v>
      </c>
      <c r="C7" s="11">
        <f>COUNTIFS(Resp5[Vínculo],"tecnico",Resp5[5.34],B7)</f>
        <v>23</v>
      </c>
      <c r="D7" s="11">
        <f>COUNTIFS(Resp5[Vínculo],"docente",Resp5[5.34],B7)</f>
        <v>9</v>
      </c>
      <c r="E7" s="11">
        <f>COUNTIF(Resp5[5.34],B7)</f>
        <v>32</v>
      </c>
      <c r="F7" s="14">
        <f t="shared" ref="F7:F12" si="0">ROUND($E7/E$12*100,2)</f>
        <v>2.27</v>
      </c>
      <c r="G7" s="14">
        <f>ROUND($E7/SUM($E$7:$E$11)*100,3)</f>
        <v>48.484999999999999</v>
      </c>
      <c r="H7">
        <f>E7*10</f>
        <v>320</v>
      </c>
      <c r="J7" s="14">
        <f>E11/SUM(E7:E11)</f>
        <v>6.0606060606060608E-2</v>
      </c>
      <c r="M7" s="17"/>
    </row>
    <row r="8" spans="1:13" ht="15" x14ac:dyDescent="0.25">
      <c r="B8" s="8" t="s">
        <v>239</v>
      </c>
      <c r="C8" s="11">
        <f>COUNTIFS(Resp5[Vínculo],"tecnico",Resp5[5.34],B8)</f>
        <v>22</v>
      </c>
      <c r="D8" s="11">
        <f>COUNTIFS(Resp5[Vínculo],"docente",Resp5[5.34],B8)</f>
        <v>1</v>
      </c>
      <c r="E8" s="11">
        <f>COUNTIF(Resp5[5.34],B8)</f>
        <v>23</v>
      </c>
      <c r="F8" s="14">
        <f t="shared" si="0"/>
        <v>1.63</v>
      </c>
      <c r="G8" s="14">
        <f>ROUND($E8/SUM($E$7:$E$11)*100,3)</f>
        <v>34.847999999999999</v>
      </c>
      <c r="H8">
        <f>E8*8</f>
        <v>184</v>
      </c>
      <c r="J8" s="14">
        <f>(E11+E10)/SUM(E7:E11)</f>
        <v>0.12121212121212122</v>
      </c>
      <c r="M8" s="17"/>
    </row>
    <row r="9" spans="1:13" ht="15" x14ac:dyDescent="0.25">
      <c r="B9" s="8" t="s">
        <v>237</v>
      </c>
      <c r="C9" s="11">
        <f>COUNTIFS(Resp5[Vínculo],"tecnico",Resp5[5.34],B9)</f>
        <v>2</v>
      </c>
      <c r="D9" s="11">
        <f>COUNTIFS(Resp5[Vínculo],"docente",Resp5[5.34],B9)</f>
        <v>1</v>
      </c>
      <c r="E9" s="11">
        <f>COUNTIF(Resp5[5.34],B9)</f>
        <v>3</v>
      </c>
      <c r="F9" s="14">
        <f t="shared" si="0"/>
        <v>0.21</v>
      </c>
      <c r="G9" s="14">
        <f>ROUND($E9/SUM($E$7:$E$11)*100,3)</f>
        <v>4.5449999999999999</v>
      </c>
      <c r="H9">
        <f>E9*6</f>
        <v>18</v>
      </c>
      <c r="J9" s="14">
        <f>(E11+E10+E9)/SUM(E7:E11)</f>
        <v>0.16666666666666666</v>
      </c>
      <c r="M9" s="17"/>
    </row>
    <row r="10" spans="1:13" ht="15" x14ac:dyDescent="0.25">
      <c r="B10" s="8" t="s">
        <v>242</v>
      </c>
      <c r="C10" s="11">
        <f>COUNTIFS(Resp5[Vínculo],"tecnico",Resp5[5.34],B10)</f>
        <v>4</v>
      </c>
      <c r="D10" s="11">
        <f>COUNTIFS(Resp5[Vínculo],"docente",Resp5[5.34],B10)</f>
        <v>0</v>
      </c>
      <c r="E10" s="11">
        <f>COUNTIF(Resp5[5.34],B10)</f>
        <v>4</v>
      </c>
      <c r="F10" s="14">
        <f t="shared" si="0"/>
        <v>0.28000000000000003</v>
      </c>
      <c r="G10" s="14">
        <f>ROUND($E10/SUM($E$7:$E$11)*100,3)</f>
        <v>6.0609999999999999</v>
      </c>
      <c r="H10">
        <f>E10*4</f>
        <v>16</v>
      </c>
      <c r="J10" s="14">
        <f>(E11+E10+E9+E8)/SUM(E7:E11)</f>
        <v>0.51515151515151514</v>
      </c>
      <c r="M10" s="17"/>
    </row>
    <row r="11" spans="1:13" ht="15" x14ac:dyDescent="0.25">
      <c r="B11" s="16" t="s">
        <v>241</v>
      </c>
      <c r="C11" s="11">
        <f>COUNTIFS(Resp5[Vínculo],"tecnico",Resp5[5.34],B11)</f>
        <v>3</v>
      </c>
      <c r="D11" s="11">
        <f>COUNTIFS(Resp5[Vínculo],"docente",Resp5[5.34],B11)</f>
        <v>1</v>
      </c>
      <c r="E11" s="11">
        <f>COUNTIF(Resp5[5.34],B11)</f>
        <v>4</v>
      </c>
      <c r="F11" s="14">
        <f t="shared" si="0"/>
        <v>0.28000000000000003</v>
      </c>
      <c r="G11" s="14">
        <f>ROUND($E11/SUM($E$7:$E$11)*100,3)</f>
        <v>6.0609999999999999</v>
      </c>
      <c r="H11">
        <f>E11*2</f>
        <v>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8.2727272727272734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7</v>
      </c>
      <c r="E16" s="19">
        <f>ROUND(D16/SUM(D$16:D$18)*100,3)</f>
        <v>12.962999999999999</v>
      </c>
    </row>
    <row r="17" spans="2:5" ht="15" x14ac:dyDescent="0.25">
      <c r="B17" s="36" t="s">
        <v>316</v>
      </c>
      <c r="C17" s="36" t="s">
        <v>24</v>
      </c>
      <c r="D17" s="18">
        <f>C9</f>
        <v>2</v>
      </c>
      <c r="E17" s="19">
        <f>ROUND(D17/SUM(D$16:D$18)*100,3)</f>
        <v>3.7040000000000002</v>
      </c>
    </row>
    <row r="18" spans="2:5" ht="15" x14ac:dyDescent="0.25">
      <c r="B18" s="39" t="s">
        <v>317</v>
      </c>
      <c r="C18" s="39" t="s">
        <v>26</v>
      </c>
      <c r="D18" s="26">
        <f>SUM(C7:C8)</f>
        <v>45</v>
      </c>
      <c r="E18" s="27">
        <f>ROUND(D18/SUM(D$16:D$18)*100,3)</f>
        <v>83.332999999999998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</v>
      </c>
      <c r="E22" s="19">
        <f>ROUND(D22/SUM(D$22:D$24)*100,3)</f>
        <v>8.3330000000000002</v>
      </c>
    </row>
    <row r="23" spans="2:5" ht="15" x14ac:dyDescent="0.25">
      <c r="B23" s="36" t="s">
        <v>316</v>
      </c>
      <c r="C23" s="36" t="s">
        <v>24</v>
      </c>
      <c r="D23" s="18">
        <f>D9</f>
        <v>1</v>
      </c>
      <c r="E23" s="19">
        <f>ROUND(D23/SUM(D$22:D$24)*100,3)</f>
        <v>8.3330000000000002</v>
      </c>
    </row>
    <row r="24" spans="2:5" ht="15" x14ac:dyDescent="0.25">
      <c r="B24" s="39" t="s">
        <v>317</v>
      </c>
      <c r="C24" s="39" t="s">
        <v>26</v>
      </c>
      <c r="D24" s="26">
        <f>SUM(D7:D8)</f>
        <v>10</v>
      </c>
      <c r="E24" s="27">
        <f>ROUND(D24/SUM(D$22:D$24)*100,3)</f>
        <v>83.332999999999998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8.2727272727272734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23" sqref="C23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282</v>
      </c>
      <c r="B1" s="3" t="s">
        <v>283</v>
      </c>
      <c r="C1" s="4" t="s">
        <v>284</v>
      </c>
      <c r="D1" s="4" t="s">
        <v>285</v>
      </c>
      <c r="E1" s="4" t="s">
        <v>286</v>
      </c>
    </row>
    <row r="2" spans="1:5" ht="15" x14ac:dyDescent="0.25">
      <c r="A2" t="s">
        <v>58</v>
      </c>
      <c r="B2" t="s">
        <v>2</v>
      </c>
      <c r="C2" s="1" t="s">
        <v>287</v>
      </c>
      <c r="D2" s="5" t="s">
        <v>288</v>
      </c>
      <c r="E2" s="6" t="s">
        <v>243</v>
      </c>
    </row>
    <row r="3" spans="1:5" ht="15" x14ac:dyDescent="0.25">
      <c r="A3" t="s">
        <v>59</v>
      </c>
      <c r="B3" s="1" t="s">
        <v>4</v>
      </c>
      <c r="C3" s="1" t="s">
        <v>289</v>
      </c>
      <c r="D3" s="5" t="s">
        <v>290</v>
      </c>
      <c r="E3" s="6"/>
    </row>
    <row r="4" spans="1:5" ht="15" x14ac:dyDescent="0.25">
      <c r="A4" t="s">
        <v>60</v>
      </c>
      <c r="B4" s="1" t="s">
        <v>4</v>
      </c>
      <c r="C4" s="1" t="s">
        <v>291</v>
      </c>
      <c r="D4" s="5" t="s">
        <v>292</v>
      </c>
      <c r="E4" s="6"/>
    </row>
    <row r="5" spans="1:5" ht="15" x14ac:dyDescent="0.25">
      <c r="A5" t="s">
        <v>61</v>
      </c>
      <c r="B5" s="1" t="s">
        <v>4</v>
      </c>
      <c r="C5" s="1" t="s">
        <v>293</v>
      </c>
      <c r="D5" s="5" t="s">
        <v>294</v>
      </c>
      <c r="E5" s="6"/>
    </row>
    <row r="6" spans="1:5" ht="15" x14ac:dyDescent="0.25">
      <c r="A6" t="s">
        <v>62</v>
      </c>
      <c r="B6" s="1" t="s">
        <v>4</v>
      </c>
      <c r="C6" s="1" t="s">
        <v>295</v>
      </c>
      <c r="D6" s="5" t="s">
        <v>296</v>
      </c>
      <c r="E6" s="6"/>
    </row>
    <row r="7" spans="1:5" ht="15" x14ac:dyDescent="0.25">
      <c r="A7" t="s">
        <v>63</v>
      </c>
      <c r="B7" s="1" t="s">
        <v>4</v>
      </c>
      <c r="C7" s="1" t="s">
        <v>297</v>
      </c>
      <c r="D7" s="5" t="s">
        <v>298</v>
      </c>
      <c r="E7" s="6"/>
    </row>
    <row r="8" spans="1:5" ht="15" x14ac:dyDescent="0.25">
      <c r="A8" t="s">
        <v>64</v>
      </c>
      <c r="B8" s="1" t="s">
        <v>4</v>
      </c>
      <c r="C8" s="1" t="s">
        <v>299</v>
      </c>
      <c r="D8" s="5" t="s">
        <v>300</v>
      </c>
      <c r="E8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301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308</v>
      </c>
      <c r="B6" s="8" t="s">
        <v>309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310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311</v>
      </c>
      <c r="C15" s="21" t="s">
        <v>312</v>
      </c>
      <c r="D15" s="9" t="s">
        <v>303</v>
      </c>
      <c r="E15" s="10" t="s">
        <v>306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313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314</v>
      </c>
      <c r="C17" s="35" t="s">
        <v>315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316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317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311</v>
      </c>
      <c r="C22" s="21" t="s">
        <v>312</v>
      </c>
      <c r="D22" s="9" t="s">
        <v>304</v>
      </c>
      <c r="E22" s="10" t="s">
        <v>306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313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314</v>
      </c>
      <c r="C24" s="38" t="s">
        <v>315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316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317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318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21" sqref="F21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58</v>
      </c>
      <c r="B1" s="8"/>
    </row>
    <row r="2" spans="1:7" ht="15" x14ac:dyDescent="0.25">
      <c r="A2" s="8" t="str">
        <f>TEXT(A1,"0.000")</f>
        <v>5.28</v>
      </c>
      <c r="B2" s="8" t="str">
        <f>VLOOKUP(A$2, Eixo5[], 3, FALSE)</f>
        <v>Você utilizou as unidades e/ou serviços da Pró-reitoria de Administração (PRA) em 2021?</v>
      </c>
    </row>
    <row r="3" spans="1:7" ht="15" x14ac:dyDescent="0.25">
      <c r="A3" s="8" t="s">
        <v>301</v>
      </c>
      <c r="B3" s="8" t="str">
        <f>VLOOKUP(A$2, Eixo5[], 4, FALSE)</f>
        <v>Eixo 5: questão 28</v>
      </c>
    </row>
    <row r="5" spans="1:7" ht="15" x14ac:dyDescent="0.25">
      <c r="B5" s="9" t="s">
        <v>302</v>
      </c>
      <c r="C5" s="9" t="s">
        <v>319</v>
      </c>
      <c r="D5" s="9" t="s">
        <v>304</v>
      </c>
      <c r="E5" s="9" t="s">
        <v>305</v>
      </c>
      <c r="F5" s="10" t="s">
        <v>306</v>
      </c>
      <c r="G5" s="9" t="s">
        <v>307</v>
      </c>
    </row>
    <row r="6" spans="1:7" ht="15" x14ac:dyDescent="0.25">
      <c r="B6" s="8" t="s">
        <v>320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COUNTIFS(Resp5[Vínculo],"tecnico",Resp5[5.28],B7)</f>
        <v>244</v>
      </c>
      <c r="D7" s="11">
        <f>COUNTIFS(Resp5[Vínculo],"docente",Resp5[5.28],B7)</f>
        <v>94</v>
      </c>
      <c r="E7" s="8">
        <f>COUNTIF(Resp5[5.28],B7)</f>
        <v>338</v>
      </c>
      <c r="F7" s="11">
        <f t="shared" ref="F7:F9" si="0">ROUND($E7/E$9*100,2)</f>
        <v>24.02</v>
      </c>
      <c r="G7" s="11">
        <f>ROUND($E7/SUM($E$7:$E$8)*100,2)</f>
        <v>24.02</v>
      </c>
    </row>
    <row r="8" spans="1:7" ht="15" x14ac:dyDescent="0.25">
      <c r="B8" s="8" t="s">
        <v>235</v>
      </c>
      <c r="C8" s="11">
        <f>COUNTIFS(Resp5[Vínculo],"tecnico",Resp5[5.28],B8)</f>
        <v>589</v>
      </c>
      <c r="D8" s="11">
        <f>COUNTIFS(Resp5[Vínculo],"docente",Resp5[5.28],B8)</f>
        <v>480</v>
      </c>
      <c r="E8" s="8">
        <f>COUNTIF(Resp5[5.28],B8)</f>
        <v>1069</v>
      </c>
      <c r="F8" s="11">
        <f t="shared" si="0"/>
        <v>75.98</v>
      </c>
      <c r="G8" s="11">
        <f>ROUND($E8/SUM($E$7:$E$8)*100,2)</f>
        <v>75.98</v>
      </c>
    </row>
    <row r="9" spans="1:7" ht="15" x14ac:dyDescent="0.25">
      <c r="B9" s="12" t="s">
        <v>310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59</v>
      </c>
      <c r="B1" s="8"/>
      <c r="C1" s="8"/>
    </row>
    <row r="2" spans="1:13" ht="15" x14ac:dyDescent="0.25">
      <c r="A2" s="8" t="str">
        <f>TEXT(A1,"0.000")</f>
        <v>5.29</v>
      </c>
      <c r="B2" s="8" t="str">
        <f>VLOOKUP(A$2, Eixo5[], 3, FALSE)</f>
        <v xml:space="preserve">Avalie os serviços prestados pelas unidades da PRA que você utilizou em 2021: [Direção: Secretaria, Assessorias] </v>
      </c>
    </row>
    <row r="3" spans="1:13" ht="15" x14ac:dyDescent="0.25">
      <c r="A3" s="8" t="s">
        <v>301</v>
      </c>
      <c r="B3" s="8" t="str">
        <f>VLOOKUP(A$2, Eixo5[], 4, FALSE)</f>
        <v>Eixo 5: questão 29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705</v>
      </c>
      <c r="D6" s="8">
        <f>COUNTIF(Resp5[],"docente")-SUM(D$7:D$11)</f>
        <v>528</v>
      </c>
      <c r="E6" s="11">
        <f>E12-SUM(E7:E11)</f>
        <v>1233</v>
      </c>
      <c r="F6" s="14">
        <f>ROUND($E6/E$12*100,2)</f>
        <v>87.63</v>
      </c>
      <c r="G6" s="14"/>
      <c r="J6" s="29"/>
    </row>
    <row r="7" spans="1:13" ht="15" x14ac:dyDescent="0.25">
      <c r="B7" s="8" t="s">
        <v>244</v>
      </c>
      <c r="C7" s="11">
        <f>COUNTIFS(Resp5[Vínculo],"tecnico",Resp5[5.29],B7)</f>
        <v>57</v>
      </c>
      <c r="D7" s="11">
        <f>COUNTIFS(Resp5[Vínculo],"docente",Resp5[5.29],B7)</f>
        <v>24</v>
      </c>
      <c r="E7" s="11">
        <f>COUNTIF(Resp5[5.29],B7)</f>
        <v>81</v>
      </c>
      <c r="F7" s="14">
        <f t="shared" ref="F7:F12" si="0">ROUND($E7/E$12*100,2)</f>
        <v>5.76</v>
      </c>
      <c r="G7" s="14">
        <f>ROUND($E7/SUM($E$7:$E$11)*100,3)</f>
        <v>46.552</v>
      </c>
      <c r="H7">
        <f>E7*10</f>
        <v>810</v>
      </c>
      <c r="J7" s="14">
        <f>E11/SUM(E7:E11)</f>
        <v>1.7241379310344827E-2</v>
      </c>
      <c r="M7" s="17"/>
    </row>
    <row r="8" spans="1:13" ht="15" x14ac:dyDescent="0.25">
      <c r="B8" s="8" t="s">
        <v>239</v>
      </c>
      <c r="C8" s="11">
        <f>COUNTIFS(Resp5[Vínculo],"tecnico",Resp5[5.29],B8)</f>
        <v>53</v>
      </c>
      <c r="D8" s="11">
        <f>COUNTIFS(Resp5[Vínculo],"docente",Resp5[5.29],B8)</f>
        <v>13</v>
      </c>
      <c r="E8" s="11">
        <f>COUNTIF(Resp5[5.29],B8)</f>
        <v>66</v>
      </c>
      <c r="F8" s="14">
        <f t="shared" si="0"/>
        <v>4.6900000000000004</v>
      </c>
      <c r="G8" s="14">
        <f>ROUND($E8/SUM($E$7:$E$11)*100,3)</f>
        <v>37.930999999999997</v>
      </c>
      <c r="H8">
        <f>E8*8</f>
        <v>528</v>
      </c>
      <c r="J8" s="14">
        <f>(E11+E10)/SUM(E7:E11)</f>
        <v>5.7471264367816091E-2</v>
      </c>
      <c r="M8" s="17"/>
    </row>
    <row r="9" spans="1:13" ht="15" x14ac:dyDescent="0.25">
      <c r="B9" s="8" t="s">
        <v>237</v>
      </c>
      <c r="C9" s="11">
        <f>COUNTIFS(Resp5[Vínculo],"tecnico",Resp5[5.29],B9)</f>
        <v>11</v>
      </c>
      <c r="D9" s="11">
        <f>COUNTIFS(Resp5[Vínculo],"docente",Resp5[5.29],B9)</f>
        <v>6</v>
      </c>
      <c r="E9" s="11">
        <f>COUNTIF(Resp5[5.29],B9)</f>
        <v>17</v>
      </c>
      <c r="F9" s="14">
        <f t="shared" si="0"/>
        <v>1.21</v>
      </c>
      <c r="G9" s="14">
        <f>ROUND($E9/SUM($E$7:$E$11)*100,3)</f>
        <v>9.77</v>
      </c>
      <c r="H9">
        <f>E9*6</f>
        <v>102</v>
      </c>
      <c r="J9" s="14">
        <f>(E11+E10+E9)/SUM(E7:E11)</f>
        <v>0.15517241379310345</v>
      </c>
      <c r="M9" s="17"/>
    </row>
    <row r="10" spans="1:13" ht="15" x14ac:dyDescent="0.25">
      <c r="B10" s="8" t="s">
        <v>242</v>
      </c>
      <c r="C10" s="11">
        <f>COUNTIFS(Resp5[Vínculo],"tecnico",Resp5[5.29],B10)</f>
        <v>5</v>
      </c>
      <c r="D10" s="11">
        <f>COUNTIFS(Resp5[Vínculo],"docente",Resp5[5.29],B10)</f>
        <v>2</v>
      </c>
      <c r="E10" s="11">
        <f>COUNTIF(Resp5[5.29],B10)</f>
        <v>7</v>
      </c>
      <c r="F10" s="14">
        <f t="shared" si="0"/>
        <v>0.5</v>
      </c>
      <c r="G10" s="14">
        <f>ROUND($E10/SUM($E$7:$E$11)*100,3)</f>
        <v>4.0229999999999997</v>
      </c>
      <c r="H10">
        <f>E10*4</f>
        <v>28</v>
      </c>
      <c r="J10" s="14">
        <f>(E11+E10+E9+E8)/SUM(E7:E11)</f>
        <v>0.53448275862068961</v>
      </c>
      <c r="M10" s="17"/>
    </row>
    <row r="11" spans="1:13" ht="15" x14ac:dyDescent="0.25">
      <c r="B11" s="16" t="s">
        <v>241</v>
      </c>
      <c r="C11" s="11">
        <f>COUNTIFS(Resp5[Vínculo],"tecnico",Resp5[5.29],B11)</f>
        <v>2</v>
      </c>
      <c r="D11" s="11">
        <f>COUNTIFS(Resp5[Vínculo],"docente",Resp5[5.29],B11)</f>
        <v>1</v>
      </c>
      <c r="E11" s="11">
        <f>COUNTIF(Resp5[5.29],B11)</f>
        <v>3</v>
      </c>
      <c r="F11" s="14">
        <f t="shared" si="0"/>
        <v>0.21</v>
      </c>
      <c r="G11" s="14">
        <f>ROUND($E11/SUM($E$7:$E$11)*100,3)</f>
        <v>1.724</v>
      </c>
      <c r="H11">
        <f>E11*2</f>
        <v>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8.4712643678160919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7</v>
      </c>
      <c r="E16" s="19">
        <f>ROUND(D16/SUM(D$16:D$18)*100,3)</f>
        <v>5.4690000000000003</v>
      </c>
    </row>
    <row r="17" spans="2:5" ht="15" x14ac:dyDescent="0.25">
      <c r="B17" s="36" t="s">
        <v>316</v>
      </c>
      <c r="C17" s="36" t="s">
        <v>24</v>
      </c>
      <c r="D17" s="18">
        <f>C9</f>
        <v>11</v>
      </c>
      <c r="E17" s="19">
        <f>ROUND(D17/SUM(D$16:D$18)*100,3)</f>
        <v>8.5939999999999994</v>
      </c>
    </row>
    <row r="18" spans="2:5" ht="15" x14ac:dyDescent="0.25">
      <c r="B18" s="39" t="s">
        <v>317</v>
      </c>
      <c r="C18" s="39" t="s">
        <v>26</v>
      </c>
      <c r="D18" s="26">
        <f>SUM(C7:C8)</f>
        <v>110</v>
      </c>
      <c r="E18" s="27">
        <f>ROUND(D18/SUM(D$16:D$18)*100,3)</f>
        <v>85.938000000000002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3</v>
      </c>
      <c r="E22" s="19">
        <f>ROUND(D22/SUM(D$22:D$24)*100,3)</f>
        <v>6.5220000000000002</v>
      </c>
    </row>
    <row r="23" spans="2:5" ht="15" x14ac:dyDescent="0.25">
      <c r="B23" s="36" t="s">
        <v>316</v>
      </c>
      <c r="C23" s="36" t="s">
        <v>24</v>
      </c>
      <c r="D23" s="18">
        <f>D9</f>
        <v>6</v>
      </c>
      <c r="E23" s="19">
        <f>ROUND(D23/SUM(D$22:D$24)*100,3)</f>
        <v>13.042999999999999</v>
      </c>
    </row>
    <row r="24" spans="2:5" ht="15" x14ac:dyDescent="0.25">
      <c r="B24" s="39" t="s">
        <v>317</v>
      </c>
      <c r="C24" s="39" t="s">
        <v>26</v>
      </c>
      <c r="D24" s="26">
        <f>SUM(D7:D8)</f>
        <v>37</v>
      </c>
      <c r="E24" s="27">
        <f>ROUND(D24/SUM(D$22:D$24)*100,3)</f>
        <v>80.435000000000002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8.4712643678160919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60</v>
      </c>
      <c r="B1" s="8"/>
      <c r="C1" s="8"/>
    </row>
    <row r="2" spans="1:13" ht="15" x14ac:dyDescent="0.25">
      <c r="A2" s="8" t="str">
        <f>TEXT(A1,"0.000")</f>
        <v>5.30</v>
      </c>
      <c r="B2" s="8" t="str">
        <f>VLOOKUP(A$2, Eixo5[], 3, FALSE)</f>
        <v xml:space="preserve">Avalie os serviços prestados pelas unidades da PRA que você utilizou em 2021: [Central de Transportes – CENTRAN] </v>
      </c>
    </row>
    <row r="3" spans="1:13" ht="15" x14ac:dyDescent="0.25">
      <c r="A3" s="8" t="s">
        <v>301</v>
      </c>
      <c r="B3" s="8" t="str">
        <f>VLOOKUP(A$2, Eixo5[], 4, FALSE)</f>
        <v>Eixo 5: questão 30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717</v>
      </c>
      <c r="D6" s="8">
        <f>COUNTIF(Resp5[],"docente")-SUM(D$7:D$11)</f>
        <v>542</v>
      </c>
      <c r="E6" s="11">
        <f>E12-SUM(E7:E11)</f>
        <v>1259</v>
      </c>
      <c r="F6" s="14">
        <f>ROUND($E6/E$12*100,2)</f>
        <v>89.48</v>
      </c>
      <c r="G6" s="14"/>
      <c r="J6" s="29"/>
    </row>
    <row r="7" spans="1:13" ht="15" x14ac:dyDescent="0.25">
      <c r="B7" s="8" t="s">
        <v>244</v>
      </c>
      <c r="C7" s="11">
        <f>COUNTIFS(Resp5[Vínculo],"tecnico",Resp5[5.30],B7)</f>
        <v>64</v>
      </c>
      <c r="D7" s="11">
        <f>COUNTIFS(Resp5[Vínculo],"docente",Resp5[5.30],B7)</f>
        <v>20</v>
      </c>
      <c r="E7" s="11">
        <f>COUNTIF(Resp5[5.30],B7)</f>
        <v>84</v>
      </c>
      <c r="F7" s="14">
        <f t="shared" ref="F7:F12" si="0">ROUND($E7/E$12*100,2)</f>
        <v>5.97</v>
      </c>
      <c r="G7" s="14">
        <f>ROUND($E7/SUM($E$7:$E$11)*100,3)</f>
        <v>56.756999999999998</v>
      </c>
      <c r="H7">
        <f>E7*10</f>
        <v>840</v>
      </c>
      <c r="J7" s="14">
        <f>E11/SUM(E7:E11)</f>
        <v>1.3513513513513514E-2</v>
      </c>
      <c r="M7" s="17"/>
    </row>
    <row r="8" spans="1:13" ht="15" x14ac:dyDescent="0.25">
      <c r="B8" s="8" t="s">
        <v>239</v>
      </c>
      <c r="C8" s="11">
        <f>COUNTIFS(Resp5[Vínculo],"tecnico",Resp5[5.30],B8)</f>
        <v>39</v>
      </c>
      <c r="D8" s="11">
        <f>COUNTIFS(Resp5[Vínculo],"docente",Resp5[5.30],B8)</f>
        <v>10</v>
      </c>
      <c r="E8" s="11">
        <f>COUNTIF(Resp5[5.30],B8)</f>
        <v>49</v>
      </c>
      <c r="F8" s="14">
        <f t="shared" si="0"/>
        <v>3.48</v>
      </c>
      <c r="G8" s="14">
        <f>ROUND($E8/SUM($E$7:$E$11)*100,3)</f>
        <v>33.107999999999997</v>
      </c>
      <c r="H8">
        <f>E8*8</f>
        <v>392</v>
      </c>
      <c r="J8" s="14">
        <f>(E11+E10)/SUM(E7:E11)</f>
        <v>4.0540540540540543E-2</v>
      </c>
      <c r="M8" s="17"/>
    </row>
    <row r="9" spans="1:13" ht="15" x14ac:dyDescent="0.25">
      <c r="B9" s="8" t="s">
        <v>237</v>
      </c>
      <c r="C9" s="11">
        <f>COUNTIFS(Resp5[Vínculo],"tecnico",Resp5[5.30],B9)</f>
        <v>8</v>
      </c>
      <c r="D9" s="11">
        <f>COUNTIFS(Resp5[Vínculo],"docente",Resp5[5.30],B9)</f>
        <v>1</v>
      </c>
      <c r="E9" s="11">
        <f>COUNTIF(Resp5[5.30],B9)</f>
        <v>9</v>
      </c>
      <c r="F9" s="14">
        <f t="shared" si="0"/>
        <v>0.64</v>
      </c>
      <c r="G9" s="14">
        <f>ROUND($E9/SUM($E$7:$E$11)*100,3)</f>
        <v>6.0810000000000004</v>
      </c>
      <c r="H9">
        <f>E9*6</f>
        <v>54</v>
      </c>
      <c r="J9" s="14">
        <f>(E11+E10+E9)/SUM(E7:E11)</f>
        <v>0.10135135135135136</v>
      </c>
      <c r="M9" s="17"/>
    </row>
    <row r="10" spans="1:13" ht="15" x14ac:dyDescent="0.25">
      <c r="B10" s="8" t="s">
        <v>242</v>
      </c>
      <c r="C10" s="11">
        <f>COUNTIFS(Resp5[Vínculo],"tecnico",Resp5[5.30],B10)</f>
        <v>4</v>
      </c>
      <c r="D10" s="11">
        <f>COUNTIFS(Resp5[Vínculo],"docente",Resp5[5.30],B10)</f>
        <v>0</v>
      </c>
      <c r="E10" s="11">
        <f>COUNTIF(Resp5[5.30],B10)</f>
        <v>4</v>
      </c>
      <c r="F10" s="14">
        <f t="shared" si="0"/>
        <v>0.28000000000000003</v>
      </c>
      <c r="G10" s="14">
        <f>ROUND($E10/SUM($E$7:$E$11)*100,3)</f>
        <v>2.7029999999999998</v>
      </c>
      <c r="H10">
        <f>E10*4</f>
        <v>16</v>
      </c>
      <c r="J10" s="14">
        <f>(E11+E10+E9+E8)/SUM(E7:E11)</f>
        <v>0.43243243243243246</v>
      </c>
      <c r="M10" s="17"/>
    </row>
    <row r="11" spans="1:13" ht="15" x14ac:dyDescent="0.25">
      <c r="B11" s="16" t="s">
        <v>241</v>
      </c>
      <c r="C11" s="11">
        <f>COUNTIFS(Resp5[Vínculo],"tecnico",Resp5[5.30],B11)</f>
        <v>1</v>
      </c>
      <c r="D11" s="11">
        <f>COUNTIFS(Resp5[Vínculo],"docente",Resp5[5.30],B11)</f>
        <v>1</v>
      </c>
      <c r="E11" s="11">
        <f>COUNTIF(Resp5[5.30],B11)</f>
        <v>2</v>
      </c>
      <c r="F11" s="14">
        <f t="shared" si="0"/>
        <v>0.14000000000000001</v>
      </c>
      <c r="G11" s="14">
        <f>ROUND($E11/SUM($E$7:$E$11)*100,3)</f>
        <v>1.351</v>
      </c>
      <c r="H11">
        <f>E11*2</f>
        <v>4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8.8243243243243246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10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5</v>
      </c>
      <c r="E16" s="19">
        <f>ROUND(D16/SUM(D$16:D$18)*100,3)</f>
        <v>4.3099999999999996</v>
      </c>
    </row>
    <row r="17" spans="2:5" ht="15" x14ac:dyDescent="0.25">
      <c r="B17" s="36" t="s">
        <v>316</v>
      </c>
      <c r="C17" s="36" t="s">
        <v>24</v>
      </c>
      <c r="D17" s="18">
        <f>C9</f>
        <v>8</v>
      </c>
      <c r="E17" s="19">
        <f>ROUND(D17/SUM(D$16:D$18)*100,3)</f>
        <v>6.8970000000000002</v>
      </c>
    </row>
    <row r="18" spans="2:5" ht="15" x14ac:dyDescent="0.25">
      <c r="B18" s="39" t="s">
        <v>317</v>
      </c>
      <c r="C18" s="39" t="s">
        <v>26</v>
      </c>
      <c r="D18" s="26">
        <f>SUM(C7:C8)</f>
        <v>103</v>
      </c>
      <c r="E18" s="27">
        <f>ROUND(D18/SUM(D$16:D$18)*100,3)</f>
        <v>88.793000000000006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</v>
      </c>
      <c r="E22" s="19">
        <f>ROUND(D22/SUM(D$22:D$24)*100,3)</f>
        <v>3.125</v>
      </c>
    </row>
    <row r="23" spans="2:5" ht="15" x14ac:dyDescent="0.25">
      <c r="B23" s="36" t="s">
        <v>316</v>
      </c>
      <c r="C23" s="36" t="s">
        <v>24</v>
      </c>
      <c r="D23" s="18">
        <f>D9</f>
        <v>1</v>
      </c>
      <c r="E23" s="19">
        <f>ROUND(D23/SUM(D$22:D$24)*100,3)</f>
        <v>3.125</v>
      </c>
    </row>
    <row r="24" spans="2:5" ht="15" x14ac:dyDescent="0.25">
      <c r="B24" s="39" t="s">
        <v>317</v>
      </c>
      <c r="C24" s="39" t="s">
        <v>26</v>
      </c>
      <c r="D24" s="26">
        <f>SUM(D7:D8)</f>
        <v>30</v>
      </c>
      <c r="E24" s="27">
        <f>ROUND(D24/SUM(D$22:D$24)*100,3)</f>
        <v>93.75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8.8243243243243246</v>
      </c>
      <c r="E28" s="31">
        <f>J12</f>
        <v>10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61</v>
      </c>
      <c r="B1" s="8"/>
      <c r="C1" s="8"/>
    </row>
    <row r="2" spans="1:13" ht="15" x14ac:dyDescent="0.25">
      <c r="A2" s="8" t="str">
        <f>TEXT(A1,"0.000")</f>
        <v>5.31</v>
      </c>
      <c r="B2" s="8" t="str">
        <f>VLOOKUP(A$2, Eixo5[], 3, FALSE)</f>
        <v xml:space="preserve">Avalie os serviços prestados pelas unidades da PRA que você utilizou em 2021: [Agência de Tecnologia da Informação e Comunicacão – AGTIC] </v>
      </c>
    </row>
    <row r="3" spans="1:13" ht="15" x14ac:dyDescent="0.25">
      <c r="A3" s="8" t="s">
        <v>301</v>
      </c>
      <c r="B3" s="8" t="str">
        <f>VLOOKUP(A$2, Eixo5[], 4, FALSE)</f>
        <v>Eixo 5: questão 31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632</v>
      </c>
      <c r="D6" s="8">
        <f>COUNTIF(Resp5[],"docente")-SUM(D$7:D$11)</f>
        <v>495</v>
      </c>
      <c r="E6" s="11">
        <f>E12-SUM(E7:E11)</f>
        <v>1127</v>
      </c>
      <c r="F6" s="14">
        <f>ROUND($E6/E$12*100,2)</f>
        <v>80.099999999999994</v>
      </c>
      <c r="G6" s="14"/>
      <c r="J6" s="29"/>
    </row>
    <row r="7" spans="1:13" ht="15" x14ac:dyDescent="0.25">
      <c r="B7" s="8" t="s">
        <v>244</v>
      </c>
      <c r="C7" s="11">
        <f>COUNTIFS(Resp5[Vínculo],"tecnico",Resp5[5.31],B7)</f>
        <v>77</v>
      </c>
      <c r="D7" s="11">
        <f>COUNTIFS(Resp5[Vínculo],"docente",Resp5[5.31],B7)</f>
        <v>22</v>
      </c>
      <c r="E7" s="11">
        <f>COUNTIF(Resp5[5.31],B7)</f>
        <v>99</v>
      </c>
      <c r="F7" s="14">
        <f t="shared" ref="F7:F12" si="0">ROUND($E7/E$12*100,2)</f>
        <v>7.04</v>
      </c>
      <c r="G7" s="14">
        <f>ROUND($E7/SUM($E$7:$E$11)*100,3)</f>
        <v>35.356999999999999</v>
      </c>
      <c r="H7">
        <f>E7*10</f>
        <v>990</v>
      </c>
      <c r="J7" s="14">
        <f>E11/SUM(E7:E11)</f>
        <v>4.2857142857142858E-2</v>
      </c>
      <c r="M7" s="17"/>
    </row>
    <row r="8" spans="1:13" ht="15" x14ac:dyDescent="0.25">
      <c r="B8" s="8" t="s">
        <v>239</v>
      </c>
      <c r="C8" s="11">
        <f>COUNTIFS(Resp5[Vínculo],"tecnico",Resp5[5.31],B8)</f>
        <v>74</v>
      </c>
      <c r="D8" s="11">
        <f>COUNTIFS(Resp5[Vínculo],"docente",Resp5[5.31],B8)</f>
        <v>24</v>
      </c>
      <c r="E8" s="11">
        <f>COUNTIF(Resp5[5.31],B8)</f>
        <v>98</v>
      </c>
      <c r="F8" s="14">
        <f t="shared" si="0"/>
        <v>6.97</v>
      </c>
      <c r="G8" s="14">
        <f>ROUND($E8/SUM($E$7:$E$11)*100,3)</f>
        <v>35</v>
      </c>
      <c r="H8">
        <f>E8*8</f>
        <v>784</v>
      </c>
      <c r="J8" s="14">
        <f>(E11+E10)/SUM(E7:E11)</f>
        <v>9.6428571428571433E-2</v>
      </c>
      <c r="M8" s="17"/>
    </row>
    <row r="9" spans="1:13" ht="15" x14ac:dyDescent="0.25">
      <c r="B9" s="8" t="s">
        <v>237</v>
      </c>
      <c r="C9" s="11">
        <f>COUNTIFS(Resp5[Vínculo],"tecnico",Resp5[5.31],B9)</f>
        <v>35</v>
      </c>
      <c r="D9" s="11">
        <f>COUNTIFS(Resp5[Vínculo],"docente",Resp5[5.31],B9)</f>
        <v>21</v>
      </c>
      <c r="E9" s="11">
        <f>COUNTIF(Resp5[5.31],B9)</f>
        <v>56</v>
      </c>
      <c r="F9" s="14">
        <f t="shared" si="0"/>
        <v>3.98</v>
      </c>
      <c r="G9" s="14">
        <f>ROUND($E9/SUM($E$7:$E$11)*100,3)</f>
        <v>20</v>
      </c>
      <c r="H9">
        <f>E9*6</f>
        <v>336</v>
      </c>
      <c r="J9" s="14">
        <f>(E11+E10+E9)/SUM(E7:E11)</f>
        <v>0.29642857142857143</v>
      </c>
      <c r="M9" s="17"/>
    </row>
    <row r="10" spans="1:13" ht="15" x14ac:dyDescent="0.25">
      <c r="B10" s="8" t="s">
        <v>242</v>
      </c>
      <c r="C10" s="11">
        <f>COUNTIFS(Resp5[Vínculo],"tecnico",Resp5[5.31],B10)</f>
        <v>9</v>
      </c>
      <c r="D10" s="11">
        <f>COUNTIFS(Resp5[Vínculo],"docente",Resp5[5.31],B10)</f>
        <v>6</v>
      </c>
      <c r="E10" s="11">
        <f>COUNTIF(Resp5[5.31],B10)</f>
        <v>15</v>
      </c>
      <c r="F10" s="14">
        <f t="shared" si="0"/>
        <v>1.07</v>
      </c>
      <c r="G10" s="14">
        <f>ROUND($E10/SUM($E$7:$E$11)*100,3)</f>
        <v>5.3570000000000002</v>
      </c>
      <c r="H10">
        <f>E10*4</f>
        <v>60</v>
      </c>
      <c r="J10" s="14">
        <f>(E11+E10+E9+E8)/SUM(E7:E11)</f>
        <v>0.64642857142857146</v>
      </c>
      <c r="M10" s="17"/>
    </row>
    <row r="11" spans="1:13" ht="15" x14ac:dyDescent="0.25">
      <c r="B11" s="16" t="s">
        <v>241</v>
      </c>
      <c r="C11" s="11">
        <f>COUNTIFS(Resp5[Vínculo],"tecnico",Resp5[5.31],B11)</f>
        <v>6</v>
      </c>
      <c r="D11" s="11">
        <f>COUNTIFS(Resp5[Vínculo],"docente",Resp5[5.31],B11)</f>
        <v>6</v>
      </c>
      <c r="E11" s="11">
        <f>COUNTIF(Resp5[5.31],B11)</f>
        <v>12</v>
      </c>
      <c r="F11" s="14">
        <f t="shared" si="0"/>
        <v>0.85</v>
      </c>
      <c r="G11" s="14">
        <f>ROUND($E11/SUM($E$7:$E$11)*100,3)</f>
        <v>4.2859999999999996</v>
      </c>
      <c r="H11">
        <f>E11*2</f>
        <v>24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7.8357142857142854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15</v>
      </c>
      <c r="E16" s="19">
        <f>ROUND(D16/SUM(D$16:D$18)*100,3)</f>
        <v>7.4630000000000001</v>
      </c>
    </row>
    <row r="17" spans="2:5" ht="15" x14ac:dyDescent="0.25">
      <c r="B17" s="36" t="s">
        <v>316</v>
      </c>
      <c r="C17" s="36" t="s">
        <v>24</v>
      </c>
      <c r="D17" s="18">
        <f>C9</f>
        <v>35</v>
      </c>
      <c r="E17" s="19">
        <f>ROUND(D17/SUM(D$16:D$18)*100,3)</f>
        <v>17.413</v>
      </c>
    </row>
    <row r="18" spans="2:5" ht="15" x14ac:dyDescent="0.25">
      <c r="B18" s="39" t="s">
        <v>317</v>
      </c>
      <c r="C18" s="39" t="s">
        <v>26</v>
      </c>
      <c r="D18" s="26">
        <f>SUM(C7:C8)</f>
        <v>151</v>
      </c>
      <c r="E18" s="27">
        <f>ROUND(D18/SUM(D$16:D$18)*100,3)</f>
        <v>75.123999999999995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12</v>
      </c>
      <c r="E22" s="19">
        <f>ROUND(D22/SUM(D$22:D$24)*100,3)</f>
        <v>15.19</v>
      </c>
    </row>
    <row r="23" spans="2:5" ht="15" x14ac:dyDescent="0.25">
      <c r="B23" s="36" t="s">
        <v>316</v>
      </c>
      <c r="C23" s="36" t="s">
        <v>24</v>
      </c>
      <c r="D23" s="18">
        <f>D9</f>
        <v>21</v>
      </c>
      <c r="E23" s="19">
        <f>ROUND(D23/SUM(D$22:D$24)*100,3)</f>
        <v>26.582000000000001</v>
      </c>
    </row>
    <row r="24" spans="2:5" ht="15" x14ac:dyDescent="0.25">
      <c r="B24" s="39" t="s">
        <v>317</v>
      </c>
      <c r="C24" s="39" t="s">
        <v>26</v>
      </c>
      <c r="D24" s="26">
        <f>SUM(D7:D8)</f>
        <v>46</v>
      </c>
      <c r="E24" s="27">
        <f>ROUND(D24/SUM(D$22:D$24)*100,3)</f>
        <v>58.228000000000002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7.8357142857142854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62</v>
      </c>
      <c r="B1" s="8"/>
      <c r="C1" s="8"/>
    </row>
    <row r="2" spans="1:13" ht="15" x14ac:dyDescent="0.25">
      <c r="A2" s="8" t="str">
        <f>TEXT(A1,"0.000")</f>
        <v>5.32</v>
      </c>
      <c r="B2" s="8" t="str">
        <f>VLOOKUP(A$2, Eixo5[], 3, FALSE)</f>
        <v xml:space="preserve">Avalie os serviços prestados pelas unidades da PRA que você utilizou em 2021: [Coordenadoria de Logística - DELOG (terceirizados, suprimentos, patrimônio, atendimento, almoxarifado)] </v>
      </c>
    </row>
    <row r="3" spans="1:13" ht="15" x14ac:dyDescent="0.25">
      <c r="A3" s="8" t="s">
        <v>301</v>
      </c>
      <c r="B3" s="8" t="str">
        <f>VLOOKUP(A$2, Eixo5[], 4, FALSE)</f>
        <v>Eixo 5: questão 32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667</v>
      </c>
      <c r="D6" s="8">
        <f>COUNTIF(Resp5[],"docente")-SUM(D$7:D$11)</f>
        <v>543</v>
      </c>
      <c r="E6" s="11">
        <f>E12-SUM(E7:E11)</f>
        <v>1210</v>
      </c>
      <c r="F6" s="14">
        <f>ROUND($E6/E$12*100,2)</f>
        <v>86</v>
      </c>
      <c r="G6" s="14"/>
      <c r="J6" s="29"/>
    </row>
    <row r="7" spans="1:13" ht="15" x14ac:dyDescent="0.25">
      <c r="B7" s="8" t="s">
        <v>244</v>
      </c>
      <c r="C7" s="11">
        <f>COUNTIFS(Resp5[Vínculo],"tecnico",Resp5[5.32],B7)</f>
        <v>79</v>
      </c>
      <c r="D7" s="11">
        <f>COUNTIFS(Resp5[Vínculo],"docente",Resp5[5.32],B7)</f>
        <v>11</v>
      </c>
      <c r="E7" s="11">
        <f>COUNTIF(Resp5[5.32],B7)</f>
        <v>90</v>
      </c>
      <c r="F7" s="14">
        <f t="shared" ref="F7:F12" si="0">ROUND($E7/E$12*100,2)</f>
        <v>6.4</v>
      </c>
      <c r="G7" s="14">
        <f>ROUND($E7/SUM($E$7:$E$11)*100,3)</f>
        <v>45.685000000000002</v>
      </c>
      <c r="H7">
        <f>E7*10</f>
        <v>900</v>
      </c>
      <c r="J7" s="14">
        <f>E11/SUM(E7:E11)</f>
        <v>2.030456852791878E-2</v>
      </c>
      <c r="M7" s="17"/>
    </row>
    <row r="8" spans="1:13" ht="15" x14ac:dyDescent="0.25">
      <c r="B8" s="8" t="s">
        <v>239</v>
      </c>
      <c r="C8" s="11">
        <f>COUNTIFS(Resp5[Vínculo],"tecnico",Resp5[5.32],B8)</f>
        <v>68</v>
      </c>
      <c r="D8" s="11">
        <f>COUNTIFS(Resp5[Vínculo],"docente",Resp5[5.32],B8)</f>
        <v>10</v>
      </c>
      <c r="E8" s="11">
        <f>COUNTIF(Resp5[5.32],B8)</f>
        <v>78</v>
      </c>
      <c r="F8" s="14">
        <f t="shared" si="0"/>
        <v>5.54</v>
      </c>
      <c r="G8" s="14">
        <f>ROUND($E8/SUM($E$7:$E$11)*100,3)</f>
        <v>39.594000000000001</v>
      </c>
      <c r="H8">
        <f>E8*8</f>
        <v>624</v>
      </c>
      <c r="J8" s="14">
        <f>(E11+E10)/SUM(E7:E11)</f>
        <v>4.5685279187817257E-2</v>
      </c>
      <c r="M8" s="17"/>
    </row>
    <row r="9" spans="1:13" ht="15" x14ac:dyDescent="0.25">
      <c r="B9" s="8" t="s">
        <v>237</v>
      </c>
      <c r="C9" s="11">
        <f>COUNTIFS(Resp5[Vínculo],"tecnico",Resp5[5.32],B9)</f>
        <v>15</v>
      </c>
      <c r="D9" s="11">
        <f>COUNTIFS(Resp5[Vínculo],"docente",Resp5[5.32],B9)</f>
        <v>5</v>
      </c>
      <c r="E9" s="11">
        <f>COUNTIF(Resp5[5.32],B9)</f>
        <v>20</v>
      </c>
      <c r="F9" s="14">
        <f t="shared" si="0"/>
        <v>1.42</v>
      </c>
      <c r="G9" s="14">
        <f>ROUND($E9/SUM($E$7:$E$11)*100,3)</f>
        <v>10.151999999999999</v>
      </c>
      <c r="H9">
        <f>E9*6</f>
        <v>120</v>
      </c>
      <c r="J9" s="14">
        <f>(E11+E10+E9)/SUM(E7:E11)</f>
        <v>0.14720812182741116</v>
      </c>
      <c r="M9" s="17"/>
    </row>
    <row r="10" spans="1:13" ht="15" x14ac:dyDescent="0.25">
      <c r="B10" s="8" t="s">
        <v>242</v>
      </c>
      <c r="C10" s="11">
        <f>COUNTIFS(Resp5[Vínculo],"tecnico",Resp5[5.32],B10)</f>
        <v>2</v>
      </c>
      <c r="D10" s="11">
        <f>COUNTIFS(Resp5[Vínculo],"docente",Resp5[5.32],B10)</f>
        <v>3</v>
      </c>
      <c r="E10" s="11">
        <f>COUNTIF(Resp5[5.32],B10)</f>
        <v>5</v>
      </c>
      <c r="F10" s="14">
        <f t="shared" si="0"/>
        <v>0.36</v>
      </c>
      <c r="G10" s="14">
        <f>ROUND($E10/SUM($E$7:$E$11)*100,3)</f>
        <v>2.5379999999999998</v>
      </c>
      <c r="H10">
        <f>E10*4</f>
        <v>20</v>
      </c>
      <c r="J10" s="14">
        <f>(E11+E10+E9+E8)/SUM(E7:E11)</f>
        <v>0.54314720812182737</v>
      </c>
      <c r="M10" s="17"/>
    </row>
    <row r="11" spans="1:13" ht="15" x14ac:dyDescent="0.25">
      <c r="B11" s="16" t="s">
        <v>241</v>
      </c>
      <c r="C11" s="11">
        <f>COUNTIFS(Resp5[Vínculo],"tecnico",Resp5[5.32],B11)</f>
        <v>2</v>
      </c>
      <c r="D11" s="11">
        <f>COUNTIFS(Resp5[Vínculo],"docente",Resp5[5.32],B11)</f>
        <v>2</v>
      </c>
      <c r="E11" s="11">
        <f>COUNTIF(Resp5[5.32],B11)</f>
        <v>4</v>
      </c>
      <c r="F11" s="14">
        <f t="shared" si="0"/>
        <v>0.28000000000000003</v>
      </c>
      <c r="G11" s="14">
        <f>ROUND($E11/SUM($E$7:$E$11)*100,3)</f>
        <v>2.0299999999999998</v>
      </c>
      <c r="H11">
        <f>E11*2</f>
        <v>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99.998999999999995</v>
      </c>
      <c r="H12">
        <f>SUM(H7:H11)/SUM(E7:E11)</f>
        <v>8.4873096446700504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4</v>
      </c>
      <c r="E16" s="19">
        <f>ROUND(D16/SUM(D$16:D$18)*100,3)</f>
        <v>2.41</v>
      </c>
    </row>
    <row r="17" spans="2:5" ht="15" x14ac:dyDescent="0.25">
      <c r="B17" s="36" t="s">
        <v>316</v>
      </c>
      <c r="C17" s="36" t="s">
        <v>24</v>
      </c>
      <c r="D17" s="18">
        <f>C9</f>
        <v>15</v>
      </c>
      <c r="E17" s="19">
        <f>ROUND(D17/SUM(D$16:D$18)*100,3)</f>
        <v>9.0359999999999996</v>
      </c>
    </row>
    <row r="18" spans="2:5" ht="15" x14ac:dyDescent="0.25">
      <c r="B18" s="39" t="s">
        <v>317</v>
      </c>
      <c r="C18" s="39" t="s">
        <v>26</v>
      </c>
      <c r="D18" s="26">
        <f>SUM(C7:C8)</f>
        <v>147</v>
      </c>
      <c r="E18" s="27">
        <f>ROUND(D18/SUM(D$16:D$18)*100,3)</f>
        <v>88.554000000000002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5</v>
      </c>
      <c r="E22" s="19">
        <f>ROUND(D22/SUM(D$22:D$24)*100,3)</f>
        <v>16.129000000000001</v>
      </c>
    </row>
    <row r="23" spans="2:5" ht="15" x14ac:dyDescent="0.25">
      <c r="B23" s="36" t="s">
        <v>316</v>
      </c>
      <c r="C23" s="36" t="s">
        <v>24</v>
      </c>
      <c r="D23" s="18">
        <f>D9</f>
        <v>5</v>
      </c>
      <c r="E23" s="19">
        <f>ROUND(D23/SUM(D$22:D$24)*100,3)</f>
        <v>16.129000000000001</v>
      </c>
    </row>
    <row r="24" spans="2:5" ht="15" x14ac:dyDescent="0.25">
      <c r="B24" s="39" t="s">
        <v>317</v>
      </c>
      <c r="C24" s="39" t="s">
        <v>26</v>
      </c>
      <c r="D24" s="26">
        <f>SUM(D7:D8)</f>
        <v>21</v>
      </c>
      <c r="E24" s="27">
        <f>ROUND(D24/SUM(D$22:D$24)*100,3)</f>
        <v>67.742000000000004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8.4873096446700504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Q5.28 PRA</vt:lpstr>
      <vt:lpstr>Q5.29</vt:lpstr>
      <vt:lpstr>Q5.30</vt:lpstr>
      <vt:lpstr>Q5.31</vt:lpstr>
      <vt:lpstr>Q5.32</vt:lpstr>
      <vt:lpstr>Q5.33</vt:lpstr>
      <vt:lpstr>Q5.34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2022-01-14T17:18:08Z</dcterms:modified>
  <cp:category/>
  <cp:contentStatus/>
</cp:coreProperties>
</file>